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3D1A710C-6663-3D7B-7F91-EC182F24A4BC}"/>
  <workbookPr showInkAnnotation="0" codeName="ThisWorkbook"/>
  <mc:AlternateContent xmlns:mc="http://schemas.openxmlformats.org/markup-compatibility/2006">
    <mc:Choice Requires="x15">
      <x15ac:absPath xmlns:x15ac="http://schemas.microsoft.com/office/spreadsheetml/2010/11/ac" url="C:\Users\madis\Documents\Repositories\DeepSpace00\Awohali\hardware\electronics\mainBoard\design\LM25148\"/>
    </mc:Choice>
  </mc:AlternateContent>
  <xr:revisionPtr revIDLastSave="0" documentId="13_ncr:1_{86C39D1F-577E-4F89-9EB2-54BFB3A06056}" xr6:coauthVersionLast="47" xr6:coauthVersionMax="47" xr10:uidLastSave="{00000000-0000-0000-0000-000000000000}"/>
  <workbookProtection workbookAlgorithmName="SHA-512" workbookHashValue="z5FqPcKKBi5N5vWNRvcYhJXgQpCVhA6Nlkt2y6dNUxC67iEK3bipfR2nj7F8lthz3hfo8uuKqtD3glDULCo3lg==" workbookSaltValue="jp688ZIxTdWp8B4uuQx0XQ==" workbookSpinCount="100000" lockStructure="1"/>
  <bookViews>
    <workbookView xWindow="45972" yWindow="-4932" windowWidth="17496" windowHeight="30936" tabRatio="329" xr2:uid="{00000000-000D-0000-FFFF-FFFF00000000}"/>
  </bookViews>
  <sheets>
    <sheet name="Design Regulator" sheetId="1" r:id="rId1"/>
    <sheet name="Input Filters" sheetId="29" state="hidden" r:id="rId2"/>
    <sheet name="Design Input Filter" sheetId="28" state="hidden" r:id="rId3"/>
    <sheet name="BOM &amp; Schematic" sheetId="16" r:id="rId4"/>
    <sheet name="EVM" sheetId="14" r:id="rId5"/>
    <sheet name="Variable Management" sheetId="2" state="hidden" r:id="rId6"/>
    <sheet name="Schematic Management" sheetId="22" state="hidden" r:id="rId7"/>
    <sheet name="Stability Calculations" sheetId="17" state="hidden" r:id="rId8"/>
    <sheet name="Bode Plot Management" sheetId="24" state="hidden" r:id="rId9"/>
    <sheet name="Efficiency Calculations" sheetId="21" state="hidden" r:id="rId10"/>
    <sheet name="Efficiency Plot Management" sheetId="19" state="hidden" r:id="rId11"/>
    <sheet name="Input Filter Calculations" sheetId="27" state="hidden" r:id="rId12"/>
    <sheet name="Standard Value Calculator" sheetId="8" state="hidden" r:id="rId13"/>
    <sheet name="Snubber" sheetId="11" state="hidden" r:id="rId14"/>
    <sheet name="Parallel Output Caps" sheetId="6"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rhp" localSheetId="8">'Variable Management'!#REF!</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8">'Variable Management'!#REF!</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2" localSheetId="3">INDIRECT('Schematic Management'!$A$2)</definedName>
    <definedName name="PICTURE2" localSheetId="0">INDIRECT('Schematic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_xlnm.Print_Area" localSheetId="3">'BOM &amp; Schematic'!$A$1:$J$61</definedName>
    <definedName name="_xlnm.Print_Area" localSheetId="0">'Design Regulator'!$A$1:$P$106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6" i="16" l="1"/>
  <c r="D56" i="16"/>
  <c r="A452" i="2"/>
  <c r="B73" i="2"/>
  <c r="P29" i="2"/>
  <c r="C56" i="16" s="1"/>
  <c r="P31" i="2"/>
  <c r="P30" i="2"/>
  <c r="E404" i="2"/>
  <c r="B448" i="2"/>
  <c r="B395" i="2"/>
  <c r="B381" i="2"/>
  <c r="B379" i="2"/>
  <c r="B184" i="2" l="1"/>
  <c r="B441" i="2"/>
  <c r="D385" i="2" l="1"/>
  <c r="E104" i="1" l="1"/>
  <c r="AE6" i="27" l="1"/>
  <c r="AE5" i="27"/>
  <c r="AE4" i="27"/>
  <c r="AE3" i="27"/>
  <c r="C12" i="29"/>
  <c r="C11" i="29"/>
  <c r="C10" i="29"/>
  <c r="C9" i="29"/>
  <c r="D58" i="1" l="1"/>
  <c r="M6" i="27"/>
  <c r="M5" i="27"/>
  <c r="M4" i="27"/>
  <c r="M3" i="27"/>
  <c r="E57" i="1" l="1"/>
  <c r="B442" i="2" s="1"/>
  <c r="B186" i="2" l="1"/>
  <c r="B183" i="2"/>
  <c r="B187" i="2" l="1"/>
  <c r="R41" i="8" s="1"/>
  <c r="S41" i="8" s="1"/>
  <c r="B189" i="2" s="1"/>
  <c r="B422" i="2" s="1"/>
  <c r="R40" i="8"/>
  <c r="S40" i="8" s="1"/>
  <c r="B188" i="2" s="1"/>
  <c r="B421" i="2" s="1"/>
  <c r="E55" i="1" l="1"/>
  <c r="E56" i="1"/>
  <c r="B266" i="2"/>
  <c r="B263" i="2"/>
  <c r="B200" i="2" l="1"/>
  <c r="R13" i="8" l="1"/>
  <c r="D248" i="2" l="1"/>
  <c r="D249" i="2"/>
  <c r="A245" i="2"/>
  <c r="E385" i="2"/>
  <c r="C385" i="2"/>
  <c r="B385" i="2"/>
  <c r="A385" i="2"/>
  <c r="B13" i="27" l="1"/>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D293" i="2" l="1"/>
  <c r="D296" i="2"/>
  <c r="D295" i="2"/>
  <c r="B287" i="2"/>
  <c r="B386" i="2" l="1"/>
  <c r="A386" i="2"/>
  <c r="B389" i="2"/>
  <c r="B387" i="2"/>
  <c r="C8" i="28"/>
  <c r="D292" i="2"/>
  <c r="F9" i="28"/>
  <c r="B9" i="28" l="1"/>
  <c r="E57" i="27"/>
  <c r="R57" i="27" s="1"/>
  <c r="E58" i="27"/>
  <c r="R58" i="27" s="1"/>
  <c r="E59" i="27"/>
  <c r="R59" i="27" s="1"/>
  <c r="E60" i="27"/>
  <c r="R60" i="27" s="1"/>
  <c r="E61" i="27"/>
  <c r="R61" i="27" s="1"/>
  <c r="E62" i="27"/>
  <c r="R62" i="27" s="1"/>
  <c r="E63" i="27"/>
  <c r="R63" i="27" s="1"/>
  <c r="E64" i="27"/>
  <c r="R64" i="27" s="1"/>
  <c r="E65" i="27"/>
  <c r="R65" i="27" s="1"/>
  <c r="E66" i="27"/>
  <c r="R66" i="27" s="1"/>
  <c r="E67" i="27"/>
  <c r="R67" i="27" s="1"/>
  <c r="E68" i="27"/>
  <c r="R68" i="27" s="1"/>
  <c r="D57" i="27"/>
  <c r="S57" i="27" s="1"/>
  <c r="D58" i="27"/>
  <c r="S58" i="27" s="1"/>
  <c r="D59" i="27"/>
  <c r="S59" i="27" s="1"/>
  <c r="D60" i="27"/>
  <c r="S60" i="27" s="1"/>
  <c r="D61" i="27"/>
  <c r="S61" i="27" s="1"/>
  <c r="D62" i="27"/>
  <c r="S62" i="27" s="1"/>
  <c r="D63" i="27"/>
  <c r="S63" i="27" s="1"/>
  <c r="D64" i="27"/>
  <c r="S64" i="27" s="1"/>
  <c r="D65" i="27"/>
  <c r="S65" i="27" s="1"/>
  <c r="D66" i="27"/>
  <c r="S66" i="27" s="1"/>
  <c r="D67" i="27"/>
  <c r="S67" i="27" s="1"/>
  <c r="D68" i="27"/>
  <c r="S68" i="27" s="1"/>
  <c r="C57" i="27"/>
  <c r="C58" i="27"/>
  <c r="C59" i="27"/>
  <c r="C60" i="27"/>
  <c r="C61" i="27"/>
  <c r="C62" i="27"/>
  <c r="C63" i="27"/>
  <c r="AD63" i="27" s="1"/>
  <c r="AE63" i="27" s="1"/>
  <c r="AH63" i="27" s="1"/>
  <c r="C64" i="27"/>
  <c r="C65" i="27"/>
  <c r="AD65" i="27" s="1"/>
  <c r="AE65" i="27" s="1"/>
  <c r="AH65" i="27" s="1"/>
  <c r="C66" i="27"/>
  <c r="C67" i="27"/>
  <c r="C68" i="27"/>
  <c r="AD68" i="27" s="1"/>
  <c r="AE68" i="27" s="1"/>
  <c r="AH68" i="27" s="1"/>
  <c r="Q67" i="27" l="1"/>
  <c r="AD67" i="27"/>
  <c r="AE67" i="27" s="1"/>
  <c r="AH67" i="27" s="1"/>
  <c r="Q59" i="27"/>
  <c r="AD59" i="27"/>
  <c r="AE59" i="27" s="1"/>
  <c r="AH59" i="27" s="1"/>
  <c r="Q66" i="27"/>
  <c r="AD66" i="27"/>
  <c r="AE66" i="27" s="1"/>
  <c r="AH66" i="27" s="1"/>
  <c r="Q58" i="27"/>
  <c r="AD58" i="27"/>
  <c r="AE58" i="27" s="1"/>
  <c r="AH58" i="27" s="1"/>
  <c r="Q62" i="27"/>
  <c r="AD62" i="27"/>
  <c r="AE62" i="27" s="1"/>
  <c r="AH62" i="27" s="1"/>
  <c r="Q61" i="27"/>
  <c r="AD61" i="27"/>
  <c r="AE61" i="27" s="1"/>
  <c r="AH61" i="27" s="1"/>
  <c r="Q57" i="27"/>
  <c r="AD57" i="27"/>
  <c r="AE57" i="27" s="1"/>
  <c r="AH57" i="27" s="1"/>
  <c r="Q64" i="27"/>
  <c r="AD64" i="27"/>
  <c r="AE64" i="27" s="1"/>
  <c r="AH64" i="27" s="1"/>
  <c r="Q60" i="27"/>
  <c r="AD60" i="27"/>
  <c r="AE60" i="27" s="1"/>
  <c r="AH60" i="27" s="1"/>
  <c r="I63" i="27"/>
  <c r="Q63" i="27"/>
  <c r="I68" i="27"/>
  <c r="Q68" i="27"/>
  <c r="I65" i="27"/>
  <c r="Q65" i="27"/>
  <c r="I66" i="27"/>
  <c r="I67" i="27"/>
  <c r="I60" i="27"/>
  <c r="I57" i="27"/>
  <c r="I64" i="27"/>
  <c r="I61" i="27"/>
  <c r="I58" i="27"/>
  <c r="I59" i="27"/>
  <c r="I62" i="27"/>
  <c r="C54" i="27"/>
  <c r="D54" i="27"/>
  <c r="S54" i="27" s="1"/>
  <c r="E54" i="27"/>
  <c r="R54" i="27" s="1"/>
  <c r="C55" i="27"/>
  <c r="D55" i="27"/>
  <c r="S55" i="27" s="1"/>
  <c r="E55" i="27"/>
  <c r="R55" i="27" s="1"/>
  <c r="C56" i="27"/>
  <c r="D56" i="27"/>
  <c r="S56" i="27" s="1"/>
  <c r="E56" i="27"/>
  <c r="R56" i="27" s="1"/>
  <c r="C78" i="27"/>
  <c r="D78" i="27"/>
  <c r="S78" i="27" s="1"/>
  <c r="E78" i="27"/>
  <c r="R78" i="27" s="1"/>
  <c r="C72" i="27"/>
  <c r="D72" i="27"/>
  <c r="S72" i="27" s="1"/>
  <c r="E72" i="27"/>
  <c r="R72" i="27" s="1"/>
  <c r="C73" i="27"/>
  <c r="D73" i="27"/>
  <c r="S73" i="27" s="1"/>
  <c r="E73" i="27"/>
  <c r="R73" i="27" s="1"/>
  <c r="C74" i="27"/>
  <c r="D74" i="27"/>
  <c r="S74" i="27" s="1"/>
  <c r="E74" i="27"/>
  <c r="R74" i="27" s="1"/>
  <c r="C75" i="27"/>
  <c r="D75" i="27"/>
  <c r="S75" i="27" s="1"/>
  <c r="E75" i="27"/>
  <c r="R75" i="27" s="1"/>
  <c r="C76" i="27"/>
  <c r="D76" i="27"/>
  <c r="S76" i="27" s="1"/>
  <c r="E76" i="27"/>
  <c r="R76" i="27" s="1"/>
  <c r="C77" i="27"/>
  <c r="D77" i="27"/>
  <c r="S77" i="27" s="1"/>
  <c r="E77" i="27"/>
  <c r="R77" i="27" s="1"/>
  <c r="C50" i="27"/>
  <c r="D50" i="27"/>
  <c r="S50" i="27" s="1"/>
  <c r="E50" i="27"/>
  <c r="R50" i="27" s="1"/>
  <c r="C51" i="27"/>
  <c r="D51" i="27"/>
  <c r="S51" i="27" s="1"/>
  <c r="E51" i="27"/>
  <c r="R51" i="27" s="1"/>
  <c r="C52" i="27"/>
  <c r="D52" i="27"/>
  <c r="S52" i="27" s="1"/>
  <c r="E52" i="27"/>
  <c r="R52" i="27" s="1"/>
  <c r="C53" i="27"/>
  <c r="D53" i="27"/>
  <c r="S53" i="27" s="1"/>
  <c r="E53" i="27"/>
  <c r="R53" i="27" s="1"/>
  <c r="Q50" i="27" l="1"/>
  <c r="AD50" i="27"/>
  <c r="AE50" i="27" s="1"/>
  <c r="AH50" i="27" s="1"/>
  <c r="Q74" i="27"/>
  <c r="AD74" i="27"/>
  <c r="AE74" i="27" s="1"/>
  <c r="AH74" i="27" s="1"/>
  <c r="Q56" i="27"/>
  <c r="AD56" i="27"/>
  <c r="AE56" i="27" s="1"/>
  <c r="AH56" i="27" s="1"/>
  <c r="Q51" i="27"/>
  <c r="AD51" i="27"/>
  <c r="AE51" i="27" s="1"/>
  <c r="AH51" i="27" s="1"/>
  <c r="Q75" i="27"/>
  <c r="AD75" i="27"/>
  <c r="AE75" i="27" s="1"/>
  <c r="AH75" i="27" s="1"/>
  <c r="Q78" i="27"/>
  <c r="AD78" i="27"/>
  <c r="AE78" i="27" s="1"/>
  <c r="AH78" i="27" s="1"/>
  <c r="Q52" i="27"/>
  <c r="AD52" i="27"/>
  <c r="AE52" i="27" s="1"/>
  <c r="AH52" i="27" s="1"/>
  <c r="Q76" i="27"/>
  <c r="AD76" i="27"/>
  <c r="AE76" i="27" s="1"/>
  <c r="AH76" i="27" s="1"/>
  <c r="Q72" i="27"/>
  <c r="AD72" i="27"/>
  <c r="AE72" i="27" s="1"/>
  <c r="AH72" i="27" s="1"/>
  <c r="Q54" i="27"/>
  <c r="AD54" i="27"/>
  <c r="AE54" i="27" s="1"/>
  <c r="AH54" i="27" s="1"/>
  <c r="Q53" i="27"/>
  <c r="AD53" i="27"/>
  <c r="AE53" i="27" s="1"/>
  <c r="AH53" i="27" s="1"/>
  <c r="Q77" i="27"/>
  <c r="AD77" i="27"/>
  <c r="AE77" i="27" s="1"/>
  <c r="AH77" i="27" s="1"/>
  <c r="Q73" i="27"/>
  <c r="AD73" i="27"/>
  <c r="AE73" i="27" s="1"/>
  <c r="AH73" i="27" s="1"/>
  <c r="Q55" i="27"/>
  <c r="AD55" i="27"/>
  <c r="AE55" i="27" s="1"/>
  <c r="AH55" i="27" s="1"/>
  <c r="I52" i="27"/>
  <c r="I53" i="27"/>
  <c r="I77" i="27"/>
  <c r="I73" i="27"/>
  <c r="I55" i="27"/>
  <c r="I74" i="27"/>
  <c r="I56" i="27"/>
  <c r="I50" i="27"/>
  <c r="I51" i="27"/>
  <c r="I75" i="27"/>
  <c r="I78" i="27"/>
  <c r="I76" i="27"/>
  <c r="I72" i="27"/>
  <c r="I54" i="27"/>
  <c r="E14" i="27"/>
  <c r="R14" i="27" s="1"/>
  <c r="E15" i="27"/>
  <c r="R15" i="27" s="1"/>
  <c r="E16" i="27"/>
  <c r="R16" i="27" s="1"/>
  <c r="E17" i="27"/>
  <c r="R17" i="27" s="1"/>
  <c r="E18" i="27"/>
  <c r="R18" i="27" s="1"/>
  <c r="E19" i="27"/>
  <c r="R19" i="27" s="1"/>
  <c r="E20" i="27"/>
  <c r="R20" i="27" s="1"/>
  <c r="E21" i="27"/>
  <c r="R21" i="27" s="1"/>
  <c r="E22" i="27"/>
  <c r="R22" i="27" s="1"/>
  <c r="E23" i="27"/>
  <c r="R23" i="27" s="1"/>
  <c r="E24" i="27"/>
  <c r="R24" i="27" s="1"/>
  <c r="E25" i="27"/>
  <c r="R25" i="27" s="1"/>
  <c r="E26" i="27"/>
  <c r="R26" i="27" s="1"/>
  <c r="E27" i="27"/>
  <c r="R27" i="27" s="1"/>
  <c r="E28" i="27"/>
  <c r="R28" i="27" s="1"/>
  <c r="E29" i="27"/>
  <c r="R29" i="27" s="1"/>
  <c r="E30" i="27"/>
  <c r="R30" i="27" s="1"/>
  <c r="E31" i="27"/>
  <c r="R31" i="27" s="1"/>
  <c r="E32" i="27"/>
  <c r="R32" i="27" s="1"/>
  <c r="E33" i="27"/>
  <c r="R33" i="27" s="1"/>
  <c r="E34" i="27"/>
  <c r="R34" i="27" s="1"/>
  <c r="E35" i="27"/>
  <c r="R35" i="27" s="1"/>
  <c r="E36" i="27"/>
  <c r="R36" i="27" s="1"/>
  <c r="E37" i="27"/>
  <c r="R37" i="27" s="1"/>
  <c r="E38" i="27"/>
  <c r="R38" i="27" s="1"/>
  <c r="E39" i="27"/>
  <c r="R39" i="27" s="1"/>
  <c r="E40" i="27"/>
  <c r="R40" i="27" s="1"/>
  <c r="E41" i="27"/>
  <c r="R41" i="27" s="1"/>
  <c r="E42" i="27"/>
  <c r="R42" i="27" s="1"/>
  <c r="E43" i="27"/>
  <c r="R43" i="27" s="1"/>
  <c r="E44" i="27"/>
  <c r="R44" i="27" s="1"/>
  <c r="E45" i="27"/>
  <c r="R45" i="27" s="1"/>
  <c r="E46" i="27"/>
  <c r="R46" i="27" s="1"/>
  <c r="E47" i="27"/>
  <c r="R47" i="27" s="1"/>
  <c r="E48" i="27"/>
  <c r="R48" i="27" s="1"/>
  <c r="E49" i="27"/>
  <c r="R49" i="27" s="1"/>
  <c r="E69" i="27"/>
  <c r="R69" i="27" s="1"/>
  <c r="E70" i="27"/>
  <c r="R70" i="27" s="1"/>
  <c r="E71" i="27"/>
  <c r="R71" i="27" s="1"/>
  <c r="E79" i="27"/>
  <c r="R79" i="27" s="1"/>
  <c r="E80" i="27"/>
  <c r="R80" i="27" s="1"/>
  <c r="E81" i="27"/>
  <c r="R81" i="27" s="1"/>
  <c r="E82" i="27"/>
  <c r="R82" i="27" s="1"/>
  <c r="E83" i="27"/>
  <c r="R83" i="27" s="1"/>
  <c r="E84" i="27"/>
  <c r="R84" i="27" s="1"/>
  <c r="E85" i="27"/>
  <c r="R85" i="27" s="1"/>
  <c r="E86" i="27"/>
  <c r="R86" i="27" s="1"/>
  <c r="E87" i="27"/>
  <c r="R87" i="27" s="1"/>
  <c r="E88" i="27"/>
  <c r="R88" i="27" s="1"/>
  <c r="E89" i="27"/>
  <c r="R89" i="27" s="1"/>
  <c r="E90" i="27"/>
  <c r="R90" i="27" s="1"/>
  <c r="E91" i="27"/>
  <c r="R91" i="27" s="1"/>
  <c r="E92" i="27"/>
  <c r="R92" i="27" s="1"/>
  <c r="E93" i="27"/>
  <c r="R93" i="27" s="1"/>
  <c r="E94" i="27"/>
  <c r="R94" i="27" s="1"/>
  <c r="E95" i="27"/>
  <c r="R95" i="27" s="1"/>
  <c r="E96" i="27"/>
  <c r="R96" i="27" s="1"/>
  <c r="E13" i="27"/>
  <c r="R13" i="27" s="1"/>
  <c r="D14" i="27"/>
  <c r="S14" i="27" s="1"/>
  <c r="D15" i="27"/>
  <c r="S15" i="27" s="1"/>
  <c r="D16" i="27"/>
  <c r="S16" i="27" s="1"/>
  <c r="D17" i="27"/>
  <c r="S17" i="27" s="1"/>
  <c r="D18" i="27"/>
  <c r="S18" i="27" s="1"/>
  <c r="D19" i="27"/>
  <c r="S19" i="27" s="1"/>
  <c r="D20" i="27"/>
  <c r="S20" i="27" s="1"/>
  <c r="D21" i="27"/>
  <c r="S21" i="27" s="1"/>
  <c r="D22" i="27"/>
  <c r="S22" i="27" s="1"/>
  <c r="D23" i="27"/>
  <c r="S23" i="27" s="1"/>
  <c r="D24" i="27"/>
  <c r="S24" i="27" s="1"/>
  <c r="D25" i="27"/>
  <c r="S25" i="27" s="1"/>
  <c r="D26" i="27"/>
  <c r="S26" i="27" s="1"/>
  <c r="D27" i="27"/>
  <c r="S27" i="27" s="1"/>
  <c r="D28" i="27"/>
  <c r="S28" i="27" s="1"/>
  <c r="D29" i="27"/>
  <c r="S29" i="27" s="1"/>
  <c r="D30" i="27"/>
  <c r="S30" i="27" s="1"/>
  <c r="D31" i="27"/>
  <c r="S31" i="27" s="1"/>
  <c r="D32" i="27"/>
  <c r="S32" i="27" s="1"/>
  <c r="D33" i="27"/>
  <c r="S33" i="27" s="1"/>
  <c r="D34" i="27"/>
  <c r="S34" i="27" s="1"/>
  <c r="D35" i="27"/>
  <c r="S35" i="27" s="1"/>
  <c r="D36" i="27"/>
  <c r="S36" i="27" s="1"/>
  <c r="D37" i="27"/>
  <c r="S37" i="27" s="1"/>
  <c r="D38" i="27"/>
  <c r="S38" i="27" s="1"/>
  <c r="D39" i="27"/>
  <c r="S39" i="27" s="1"/>
  <c r="D40" i="27"/>
  <c r="S40" i="27" s="1"/>
  <c r="D41" i="27"/>
  <c r="S41" i="27" s="1"/>
  <c r="D42" i="27"/>
  <c r="S42" i="27" s="1"/>
  <c r="D43" i="27"/>
  <c r="S43" i="27" s="1"/>
  <c r="D44" i="27"/>
  <c r="S44" i="27" s="1"/>
  <c r="D45" i="27"/>
  <c r="S45" i="27" s="1"/>
  <c r="D46" i="27"/>
  <c r="S46" i="27" s="1"/>
  <c r="D47" i="27"/>
  <c r="S47" i="27" s="1"/>
  <c r="D48" i="27"/>
  <c r="S48" i="27" s="1"/>
  <c r="D49" i="27"/>
  <c r="S49" i="27" s="1"/>
  <c r="D69" i="27"/>
  <c r="S69" i="27" s="1"/>
  <c r="D70" i="27"/>
  <c r="S70" i="27" s="1"/>
  <c r="D71" i="27"/>
  <c r="S71" i="27" s="1"/>
  <c r="D79" i="27"/>
  <c r="S79" i="27" s="1"/>
  <c r="D80" i="27"/>
  <c r="S80" i="27" s="1"/>
  <c r="D81" i="27"/>
  <c r="S81" i="27" s="1"/>
  <c r="D82" i="27"/>
  <c r="S82" i="27" s="1"/>
  <c r="D83" i="27"/>
  <c r="S83" i="27" s="1"/>
  <c r="D84" i="27"/>
  <c r="S84" i="27" s="1"/>
  <c r="D85" i="27"/>
  <c r="S85" i="27" s="1"/>
  <c r="D86" i="27"/>
  <c r="S86" i="27" s="1"/>
  <c r="D87" i="27"/>
  <c r="S87" i="27" s="1"/>
  <c r="D88" i="27"/>
  <c r="S88" i="27" s="1"/>
  <c r="D89" i="27"/>
  <c r="S89" i="27" s="1"/>
  <c r="D90" i="27"/>
  <c r="S90" i="27" s="1"/>
  <c r="D91" i="27"/>
  <c r="S91" i="27" s="1"/>
  <c r="D92" i="27"/>
  <c r="S92" i="27" s="1"/>
  <c r="D93" i="27"/>
  <c r="S93" i="27" s="1"/>
  <c r="D94" i="27"/>
  <c r="S94" i="27" s="1"/>
  <c r="D95" i="27"/>
  <c r="S95" i="27" s="1"/>
  <c r="D96" i="27"/>
  <c r="S96" i="27" s="1"/>
  <c r="D13" i="27"/>
  <c r="S13" i="27" s="1"/>
  <c r="C14" i="27"/>
  <c r="C15" i="27"/>
  <c r="C16" i="27"/>
  <c r="C17"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69" i="27"/>
  <c r="C70" i="27"/>
  <c r="C71" i="27"/>
  <c r="C79" i="27"/>
  <c r="C80" i="27"/>
  <c r="C81" i="27"/>
  <c r="C82" i="27"/>
  <c r="C83" i="27"/>
  <c r="C84" i="27"/>
  <c r="C85" i="27"/>
  <c r="C86" i="27"/>
  <c r="C87" i="27"/>
  <c r="C88" i="27"/>
  <c r="C89" i="27"/>
  <c r="C90" i="27"/>
  <c r="C91" i="27"/>
  <c r="C92" i="27"/>
  <c r="C93" i="27"/>
  <c r="C94" i="27"/>
  <c r="C95" i="27"/>
  <c r="C96" i="27"/>
  <c r="C13" i="27"/>
  <c r="Q13" i="27" l="1"/>
  <c r="AD13" i="27"/>
  <c r="Q89" i="27"/>
  <c r="AD89" i="27"/>
  <c r="AE89" i="27" s="1"/>
  <c r="AH89" i="27" s="1"/>
  <c r="Q81" i="27"/>
  <c r="AD81" i="27"/>
  <c r="AE81" i="27" s="1"/>
  <c r="AH81" i="27" s="1"/>
  <c r="Q47" i="27"/>
  <c r="AD47" i="27"/>
  <c r="AE47" i="27" s="1"/>
  <c r="AH47" i="27" s="1"/>
  <c r="Q43" i="27"/>
  <c r="AD43" i="27"/>
  <c r="AE43" i="27" s="1"/>
  <c r="AH43" i="27" s="1"/>
  <c r="Q35" i="27"/>
  <c r="AD35" i="27"/>
  <c r="AE35" i="27" s="1"/>
  <c r="AH35" i="27" s="1"/>
  <c r="Q27" i="27"/>
  <c r="AD27" i="27"/>
  <c r="AE27" i="27" s="1"/>
  <c r="AH27" i="27" s="1"/>
  <c r="Q19" i="27"/>
  <c r="AD19" i="27"/>
  <c r="AE19" i="27" s="1"/>
  <c r="AH19" i="27" s="1"/>
  <c r="Q15" i="27"/>
  <c r="AD15" i="27"/>
  <c r="AE15" i="27" s="1"/>
  <c r="AH15" i="27" s="1"/>
  <c r="Q96" i="27"/>
  <c r="AD96" i="27"/>
  <c r="AE96" i="27" s="1"/>
  <c r="AH96" i="27" s="1"/>
  <c r="Q88" i="27"/>
  <c r="AD88" i="27"/>
  <c r="AE88" i="27" s="1"/>
  <c r="AH88" i="27" s="1"/>
  <c r="Q80" i="27"/>
  <c r="AD80" i="27"/>
  <c r="AE80" i="27" s="1"/>
  <c r="AH80" i="27" s="1"/>
  <c r="Q69" i="27"/>
  <c r="AD69" i="27"/>
  <c r="AE69" i="27" s="1"/>
  <c r="AH69" i="27" s="1"/>
  <c r="Q42" i="27"/>
  <c r="AD42" i="27"/>
  <c r="AE42" i="27" s="1"/>
  <c r="AH42" i="27" s="1"/>
  <c r="Q34" i="27"/>
  <c r="AD34" i="27"/>
  <c r="AE34" i="27" s="1"/>
  <c r="AH34" i="27" s="1"/>
  <c r="Q30" i="27"/>
  <c r="AD30" i="27"/>
  <c r="AE30" i="27" s="1"/>
  <c r="AH30" i="27" s="1"/>
  <c r="Q22" i="27"/>
  <c r="AD22" i="27"/>
  <c r="AE22" i="27" s="1"/>
  <c r="AH22" i="27" s="1"/>
  <c r="Q18" i="27"/>
  <c r="AD18" i="27"/>
  <c r="AE18" i="27" s="1"/>
  <c r="AH18" i="27" s="1"/>
  <c r="Q14" i="27"/>
  <c r="AD14" i="27"/>
  <c r="AE14" i="27" s="1"/>
  <c r="AH14" i="27" s="1"/>
  <c r="Q95" i="27"/>
  <c r="AD95" i="27"/>
  <c r="AE95" i="27" s="1"/>
  <c r="AH95" i="27" s="1"/>
  <c r="Q91" i="27"/>
  <c r="AD91" i="27"/>
  <c r="AE91" i="27" s="1"/>
  <c r="AH91" i="27" s="1"/>
  <c r="Q87" i="27"/>
  <c r="AD87" i="27"/>
  <c r="AE87" i="27" s="1"/>
  <c r="AH87" i="27" s="1"/>
  <c r="Q83" i="27"/>
  <c r="AD83" i="27"/>
  <c r="AE83" i="27" s="1"/>
  <c r="AH83" i="27" s="1"/>
  <c r="Q79" i="27"/>
  <c r="AD79" i="27"/>
  <c r="AE79" i="27" s="1"/>
  <c r="AH79" i="27" s="1"/>
  <c r="Q49" i="27"/>
  <c r="AD49" i="27"/>
  <c r="AE49" i="27" s="1"/>
  <c r="AH49" i="27" s="1"/>
  <c r="Q45" i="27"/>
  <c r="AD45" i="27"/>
  <c r="AE45" i="27" s="1"/>
  <c r="AH45" i="27" s="1"/>
  <c r="Q41" i="27"/>
  <c r="AD41" i="27"/>
  <c r="AE41" i="27" s="1"/>
  <c r="AH41" i="27" s="1"/>
  <c r="Q37" i="27"/>
  <c r="AD37" i="27"/>
  <c r="AE37" i="27" s="1"/>
  <c r="AH37" i="27" s="1"/>
  <c r="Q33" i="27"/>
  <c r="AD33" i="27"/>
  <c r="AE33" i="27" s="1"/>
  <c r="AH33" i="27" s="1"/>
  <c r="Q29" i="27"/>
  <c r="AD29" i="27"/>
  <c r="AE29" i="27" s="1"/>
  <c r="AH29" i="27" s="1"/>
  <c r="Q25" i="27"/>
  <c r="AD25" i="27"/>
  <c r="AE25" i="27" s="1"/>
  <c r="AH25" i="27" s="1"/>
  <c r="Q21" i="27"/>
  <c r="AD21" i="27"/>
  <c r="AE21" i="27" s="1"/>
  <c r="AH21" i="27" s="1"/>
  <c r="Q17" i="27"/>
  <c r="AD17" i="27"/>
  <c r="AE17" i="27" s="1"/>
  <c r="AH17" i="27" s="1"/>
  <c r="Q93" i="27"/>
  <c r="AD93" i="27"/>
  <c r="AE93" i="27" s="1"/>
  <c r="AH93" i="27" s="1"/>
  <c r="Q85" i="27"/>
  <c r="AD85" i="27"/>
  <c r="AE85" i="27" s="1"/>
  <c r="AH85" i="27" s="1"/>
  <c r="Q70" i="27"/>
  <c r="AD70" i="27"/>
  <c r="AE70" i="27" s="1"/>
  <c r="AH70" i="27" s="1"/>
  <c r="Q39" i="27"/>
  <c r="AD39" i="27"/>
  <c r="AE39" i="27" s="1"/>
  <c r="AH39" i="27" s="1"/>
  <c r="Q31" i="27"/>
  <c r="AD31" i="27"/>
  <c r="AE31" i="27" s="1"/>
  <c r="AH31" i="27" s="1"/>
  <c r="Q23" i="27"/>
  <c r="AD23" i="27"/>
  <c r="AE23" i="27" s="1"/>
  <c r="AH23" i="27" s="1"/>
  <c r="Q92" i="27"/>
  <c r="AD92" i="27"/>
  <c r="AE92" i="27" s="1"/>
  <c r="AH92" i="27" s="1"/>
  <c r="Q84" i="27"/>
  <c r="AD84" i="27"/>
  <c r="AE84" i="27" s="1"/>
  <c r="AH84" i="27" s="1"/>
  <c r="Q46" i="27"/>
  <c r="AD46" i="27"/>
  <c r="AE46" i="27" s="1"/>
  <c r="AH46" i="27" s="1"/>
  <c r="Q38" i="27"/>
  <c r="AD38" i="27"/>
  <c r="AE38" i="27" s="1"/>
  <c r="AH38" i="27" s="1"/>
  <c r="Q26" i="27"/>
  <c r="AD26" i="27"/>
  <c r="AE26" i="27" s="1"/>
  <c r="AH26" i="27" s="1"/>
  <c r="Q94" i="27"/>
  <c r="AD94" i="27"/>
  <c r="AE94" i="27" s="1"/>
  <c r="AH94" i="27" s="1"/>
  <c r="Q90" i="27"/>
  <c r="AD90" i="27"/>
  <c r="AE90" i="27" s="1"/>
  <c r="AH90" i="27" s="1"/>
  <c r="Q86" i="27"/>
  <c r="AD86" i="27"/>
  <c r="AE86" i="27" s="1"/>
  <c r="AH86" i="27" s="1"/>
  <c r="Q82" i="27"/>
  <c r="AD82" i="27"/>
  <c r="AE82" i="27" s="1"/>
  <c r="AH82" i="27" s="1"/>
  <c r="Q71" i="27"/>
  <c r="AD71" i="27"/>
  <c r="AE71" i="27" s="1"/>
  <c r="AH71" i="27" s="1"/>
  <c r="Q48" i="27"/>
  <c r="AD48" i="27"/>
  <c r="AE48" i="27" s="1"/>
  <c r="AH48" i="27" s="1"/>
  <c r="Q44" i="27"/>
  <c r="AD44" i="27"/>
  <c r="AE44" i="27" s="1"/>
  <c r="AH44" i="27" s="1"/>
  <c r="Q40" i="27"/>
  <c r="AD40" i="27"/>
  <c r="AE40" i="27" s="1"/>
  <c r="AH40" i="27" s="1"/>
  <c r="Q36" i="27"/>
  <c r="AD36" i="27"/>
  <c r="AE36" i="27" s="1"/>
  <c r="AH36" i="27" s="1"/>
  <c r="Q32" i="27"/>
  <c r="AD32" i="27"/>
  <c r="AE32" i="27" s="1"/>
  <c r="AH32" i="27" s="1"/>
  <c r="Q28" i="27"/>
  <c r="AD28" i="27"/>
  <c r="AE28" i="27" s="1"/>
  <c r="AH28" i="27" s="1"/>
  <c r="Q24" i="27"/>
  <c r="AD24" i="27"/>
  <c r="AE24" i="27" s="1"/>
  <c r="AH24" i="27" s="1"/>
  <c r="Q20" i="27"/>
  <c r="AD20" i="27"/>
  <c r="AE20" i="27" s="1"/>
  <c r="AH20" i="27" s="1"/>
  <c r="Q16" i="27"/>
  <c r="AD16" i="27"/>
  <c r="AE16" i="27" s="1"/>
  <c r="AH16" i="27" s="1"/>
  <c r="I96" i="27"/>
  <c r="I88" i="27"/>
  <c r="I80" i="27"/>
  <c r="I46" i="27"/>
  <c r="I38" i="27"/>
  <c r="I30" i="27"/>
  <c r="I22" i="27"/>
  <c r="I18" i="27"/>
  <c r="I95" i="27"/>
  <c r="I91" i="27"/>
  <c r="I87" i="27"/>
  <c r="I83" i="27"/>
  <c r="I79" i="27"/>
  <c r="I49" i="27"/>
  <c r="I45" i="27"/>
  <c r="I41" i="27"/>
  <c r="I37" i="27"/>
  <c r="I33" i="27"/>
  <c r="I29" i="27"/>
  <c r="I25" i="27"/>
  <c r="I21" i="27"/>
  <c r="I17" i="27"/>
  <c r="I90" i="27"/>
  <c r="I82" i="27"/>
  <c r="I48" i="27"/>
  <c r="I40" i="27"/>
  <c r="I32" i="27"/>
  <c r="I24" i="27"/>
  <c r="I86" i="27"/>
  <c r="I71" i="27"/>
  <c r="I44" i="27"/>
  <c r="I36" i="27"/>
  <c r="I28" i="27"/>
  <c r="I20" i="27"/>
  <c r="I16" i="27"/>
  <c r="I13" i="27"/>
  <c r="I93" i="27"/>
  <c r="I89" i="27"/>
  <c r="I85" i="27"/>
  <c r="I81" i="27"/>
  <c r="I70" i="27"/>
  <c r="I47" i="27"/>
  <c r="I43" i="27"/>
  <c r="I39" i="27"/>
  <c r="I35" i="27"/>
  <c r="I31" i="27"/>
  <c r="I27" i="27"/>
  <c r="I23" i="27"/>
  <c r="I19" i="27"/>
  <c r="I15" i="27"/>
  <c r="I94" i="27"/>
  <c r="I92" i="27"/>
  <c r="I84" i="27"/>
  <c r="I69" i="27"/>
  <c r="I42" i="27"/>
  <c r="I34" i="27"/>
  <c r="I26" i="27"/>
  <c r="I14" i="27"/>
  <c r="D3" i="27"/>
  <c r="I33" i="16" l="1"/>
  <c r="A379" i="2" l="1"/>
  <c r="D336" i="2" l="1"/>
  <c r="D335" i="2"/>
  <c r="B336" i="2"/>
  <c r="B335" i="2"/>
  <c r="K37" i="1" l="1"/>
  <c r="P37" i="1"/>
  <c r="K35" i="1"/>
  <c r="K38" i="1"/>
  <c r="D70" i="1" l="1"/>
  <c r="U15" i="2"/>
  <c r="B397" i="2" s="1"/>
  <c r="B310" i="2" l="1"/>
  <c r="A2" i="19"/>
  <c r="A2" i="24"/>
  <c r="F6" i="24"/>
  <c r="Z8" i="2" l="1"/>
  <c r="K8" i="2"/>
  <c r="B12" i="2" l="1"/>
  <c r="A43" i="16"/>
  <c r="B137" i="2" l="1"/>
  <c r="J11" i="2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417" i="2" l="1"/>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B11" i="2"/>
  <c r="U13" i="2"/>
  <c r="Z9" i="2" s="1"/>
  <c r="B173" i="2"/>
  <c r="B174" i="2" s="1"/>
  <c r="R17" i="8" s="1"/>
  <c r="B93" i="2"/>
  <c r="E407" i="2" l="1"/>
  <c r="C407" i="2"/>
  <c r="D148" i="2"/>
  <c r="L17" i="2"/>
  <c r="L33" i="2"/>
  <c r="A2" i="22" s="1"/>
  <c r="C444" i="2"/>
  <c r="B16" i="2"/>
  <c r="K9" i="2"/>
  <c r="D395" i="2"/>
  <c r="D397" i="2"/>
  <c r="D381" i="2"/>
  <c r="D379" i="2"/>
  <c r="I88" i="21"/>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L21" i="2"/>
  <c r="G3" i="8"/>
  <c r="D67" i="1" l="1"/>
  <c r="B417" i="2"/>
  <c r="B255" i="2"/>
  <c r="B267" i="2" s="1"/>
  <c r="Q3" i="17" s="1"/>
  <c r="O13" i="17" s="1"/>
  <c r="A419" i="2"/>
  <c r="D65" i="1"/>
  <c r="D419" i="2"/>
  <c r="D66" i="1" s="1"/>
  <c r="D418" i="2"/>
  <c r="C416" i="2"/>
  <c r="B268" i="2" l="1"/>
  <c r="B264" i="2"/>
  <c r="I3" i="8"/>
  <c r="R8" i="8"/>
  <c r="S8" i="8" s="1"/>
  <c r="R36" i="8" s="1"/>
  <c r="B60" i="21"/>
  <c r="B55" i="21"/>
  <c r="B35" i="21"/>
  <c r="B33" i="21"/>
  <c r="B28" i="21"/>
  <c r="B21" i="21"/>
  <c r="B15" i="21"/>
  <c r="Q5" i="17" l="1"/>
  <c r="S36" i="8"/>
  <c r="D351" i="2"/>
  <c r="D350" i="2"/>
  <c r="D345" i="2"/>
  <c r="D343" i="2"/>
  <c r="D342" i="2"/>
  <c r="B53" i="21" s="1"/>
  <c r="D339" i="2"/>
  <c r="D338" i="2"/>
  <c r="D337" i="2"/>
  <c r="B52" i="21" s="1"/>
  <c r="D334" i="2"/>
  <c r="D333" i="2"/>
  <c r="D332" i="2"/>
  <c r="B51" i="21" s="1"/>
  <c r="D330" i="2"/>
  <c r="B49" i="21" s="1"/>
  <c r="P15" i="17" l="1"/>
  <c r="P31" i="17"/>
  <c r="P47" i="17"/>
  <c r="P63" i="17"/>
  <c r="P20" i="17"/>
  <c r="P36" i="17"/>
  <c r="P52" i="17"/>
  <c r="P68" i="17"/>
  <c r="P84" i="17"/>
  <c r="P100" i="17"/>
  <c r="P116" i="17"/>
  <c r="P132" i="17"/>
  <c r="P148" i="17"/>
  <c r="P164" i="17"/>
  <c r="P180" i="17"/>
  <c r="P196" i="17"/>
  <c r="P212" i="17"/>
  <c r="P228" i="17"/>
  <c r="P244" i="17"/>
  <c r="P260" i="17"/>
  <c r="P276" i="17"/>
  <c r="P292" i="17"/>
  <c r="P308" i="17"/>
  <c r="P324" i="17"/>
  <c r="P340" i="17"/>
  <c r="P17" i="17"/>
  <c r="P33" i="17"/>
  <c r="P49" i="17"/>
  <c r="P65" i="17"/>
  <c r="P81" i="17"/>
  <c r="P97" i="17"/>
  <c r="P113" i="17"/>
  <c r="P129" i="17"/>
  <c r="P145" i="17"/>
  <c r="P161" i="17"/>
  <c r="P177" i="17"/>
  <c r="P193" i="17"/>
  <c r="P209" i="17"/>
  <c r="P225" i="17"/>
  <c r="P241" i="17"/>
  <c r="P257" i="17"/>
  <c r="P273" i="17"/>
  <c r="P289" i="17"/>
  <c r="P305" i="17"/>
  <c r="P321" i="17"/>
  <c r="P337" i="17"/>
  <c r="P353" i="17"/>
  <c r="P30" i="17"/>
  <c r="P46" i="17"/>
  <c r="P62" i="17"/>
  <c r="P78" i="17"/>
  <c r="P94" i="17"/>
  <c r="P110" i="17"/>
  <c r="P126" i="17"/>
  <c r="P142" i="17"/>
  <c r="P158" i="17"/>
  <c r="P174" i="17"/>
  <c r="P190" i="17"/>
  <c r="P206" i="17"/>
  <c r="P222" i="17"/>
  <c r="P238" i="17"/>
  <c r="P254" i="17"/>
  <c r="P270" i="17"/>
  <c r="P286" i="17"/>
  <c r="P302" i="17"/>
  <c r="P318" i="17"/>
  <c r="P334" i="17"/>
  <c r="P107" i="17"/>
  <c r="P171" i="17"/>
  <c r="P235" i="17"/>
  <c r="P299" i="17"/>
  <c r="P351" i="17"/>
  <c r="P369" i="17"/>
  <c r="P385" i="17"/>
  <c r="P401" i="17"/>
  <c r="P417" i="17"/>
  <c r="P433" i="17"/>
  <c r="P449" i="17"/>
  <c r="P465" i="17"/>
  <c r="P481" i="17"/>
  <c r="P497" i="17"/>
  <c r="P513" i="17"/>
  <c r="P529" i="17"/>
  <c r="P545" i="17"/>
  <c r="P561" i="17"/>
  <c r="P19" i="17"/>
  <c r="P35" i="17"/>
  <c r="P51" i="17"/>
  <c r="P67" i="17"/>
  <c r="P24" i="17"/>
  <c r="P40" i="17"/>
  <c r="P56" i="17"/>
  <c r="P72" i="17"/>
  <c r="P88" i="17"/>
  <c r="P104" i="17"/>
  <c r="P120" i="17"/>
  <c r="P136" i="17"/>
  <c r="P152" i="17"/>
  <c r="P168" i="17"/>
  <c r="P184" i="17"/>
  <c r="P200" i="17"/>
  <c r="P216" i="17"/>
  <c r="P232" i="17"/>
  <c r="P248" i="17"/>
  <c r="P264" i="17"/>
  <c r="P280" i="17"/>
  <c r="P296" i="17"/>
  <c r="P312" i="17"/>
  <c r="P328" i="17"/>
  <c r="P344" i="17"/>
  <c r="P21" i="17"/>
  <c r="P37" i="17"/>
  <c r="P53" i="17"/>
  <c r="P69" i="17"/>
  <c r="P85" i="17"/>
  <c r="P101" i="17"/>
  <c r="P117" i="17"/>
  <c r="P133" i="17"/>
  <c r="P149" i="17"/>
  <c r="P165" i="17"/>
  <c r="P181" i="17"/>
  <c r="P197" i="17"/>
  <c r="P213" i="17"/>
  <c r="P229" i="17"/>
  <c r="P245" i="17"/>
  <c r="P261" i="17"/>
  <c r="P277" i="17"/>
  <c r="P293" i="17"/>
  <c r="P309" i="17"/>
  <c r="P325" i="17"/>
  <c r="P341" i="17"/>
  <c r="P18" i="17"/>
  <c r="P34" i="17"/>
  <c r="P50" i="17"/>
  <c r="P66" i="17"/>
  <c r="P82" i="17"/>
  <c r="P98" i="17"/>
  <c r="P114" i="17"/>
  <c r="P130" i="17"/>
  <c r="P146" i="17"/>
  <c r="P162" i="17"/>
  <c r="P178" i="17"/>
  <c r="P194" i="17"/>
  <c r="P210" i="17"/>
  <c r="P226" i="17"/>
  <c r="P242" i="17"/>
  <c r="P23" i="17"/>
  <c r="P39" i="17"/>
  <c r="P55" i="17"/>
  <c r="P71" i="17"/>
  <c r="P28" i="17"/>
  <c r="P44" i="17"/>
  <c r="P60" i="17"/>
  <c r="P76" i="17"/>
  <c r="P92" i="17"/>
  <c r="P108" i="17"/>
  <c r="P124" i="17"/>
  <c r="P140" i="17"/>
  <c r="P156" i="17"/>
  <c r="P172" i="17"/>
  <c r="P188" i="17"/>
  <c r="P204" i="17"/>
  <c r="P220" i="17"/>
  <c r="P236" i="17"/>
  <c r="P252" i="17"/>
  <c r="P268" i="17"/>
  <c r="P284" i="17"/>
  <c r="P300" i="17"/>
  <c r="P316" i="17"/>
  <c r="P332" i="17"/>
  <c r="P348" i="17"/>
  <c r="P25" i="17"/>
  <c r="P41" i="17"/>
  <c r="P57" i="17"/>
  <c r="P73" i="17"/>
  <c r="P89" i="17"/>
  <c r="P105" i="17"/>
  <c r="P121" i="17"/>
  <c r="P137" i="17"/>
  <c r="P153" i="17"/>
  <c r="P169" i="17"/>
  <c r="P185" i="17"/>
  <c r="P201" i="17"/>
  <c r="P217" i="17"/>
  <c r="P233" i="17"/>
  <c r="P249" i="17"/>
  <c r="P265" i="17"/>
  <c r="P281" i="17"/>
  <c r="P297" i="17"/>
  <c r="P313" i="17"/>
  <c r="P329" i="17"/>
  <c r="P345" i="17"/>
  <c r="P22" i="17"/>
  <c r="P38" i="17"/>
  <c r="P54" i="17"/>
  <c r="P70" i="17"/>
  <c r="P86" i="17"/>
  <c r="P102" i="17"/>
  <c r="P118" i="17"/>
  <c r="P134" i="17"/>
  <c r="P150" i="17"/>
  <c r="P166" i="17"/>
  <c r="P182" i="17"/>
  <c r="P198" i="17"/>
  <c r="P214" i="17"/>
  <c r="P230" i="17"/>
  <c r="P246" i="17"/>
  <c r="P262" i="17"/>
  <c r="P278" i="17"/>
  <c r="P294" i="17"/>
  <c r="P310" i="17"/>
  <c r="P326" i="17"/>
  <c r="P75" i="17"/>
  <c r="P139" i="17"/>
  <c r="P203" i="17"/>
  <c r="P267" i="17"/>
  <c r="P331" i="17"/>
  <c r="P361" i="17"/>
  <c r="P377" i="17"/>
  <c r="P393" i="17"/>
  <c r="P409" i="17"/>
  <c r="P425" i="17"/>
  <c r="P441" i="17"/>
  <c r="P457" i="17"/>
  <c r="P473" i="17"/>
  <c r="P489" i="17"/>
  <c r="P505" i="17"/>
  <c r="P521" i="17"/>
  <c r="P537" i="17"/>
  <c r="P553" i="17"/>
  <c r="P27" i="17"/>
  <c r="P32" i="17"/>
  <c r="P96" i="17"/>
  <c r="P160" i="17"/>
  <c r="P224" i="17"/>
  <c r="P288" i="17"/>
  <c r="P352" i="17"/>
  <c r="P77" i="17"/>
  <c r="P141" i="17"/>
  <c r="P205" i="17"/>
  <c r="P269" i="17"/>
  <c r="P333" i="17"/>
  <c r="P58" i="17"/>
  <c r="P122" i="17"/>
  <c r="P186" i="17"/>
  <c r="P250" i="17"/>
  <c r="P282" i="17"/>
  <c r="P314" i="17"/>
  <c r="P91" i="17"/>
  <c r="P219" i="17"/>
  <c r="P343" i="17"/>
  <c r="P381" i="17"/>
  <c r="P413" i="17"/>
  <c r="P445" i="17"/>
  <c r="P477" i="17"/>
  <c r="P509" i="17"/>
  <c r="P541" i="17"/>
  <c r="P569" i="17"/>
  <c r="P585" i="17"/>
  <c r="P601" i="17"/>
  <c r="O16" i="17"/>
  <c r="P127" i="17"/>
  <c r="P191" i="17"/>
  <c r="P255" i="17"/>
  <c r="P319" i="17"/>
  <c r="P358" i="17"/>
  <c r="P374" i="17"/>
  <c r="P390" i="17"/>
  <c r="P406" i="17"/>
  <c r="P422" i="17"/>
  <c r="P438" i="17"/>
  <c r="P454" i="17"/>
  <c r="P470" i="17"/>
  <c r="P486" i="17"/>
  <c r="P502" i="17"/>
  <c r="P518" i="17"/>
  <c r="P534" i="17"/>
  <c r="P550" i="17"/>
  <c r="P566" i="17"/>
  <c r="P582" i="17"/>
  <c r="P131" i="17"/>
  <c r="P195" i="17"/>
  <c r="P259" i="17"/>
  <c r="P323" i="17"/>
  <c r="P359" i="17"/>
  <c r="P375" i="17"/>
  <c r="P391" i="17"/>
  <c r="P407" i="17"/>
  <c r="P423" i="17"/>
  <c r="P439" i="17"/>
  <c r="P455" i="17"/>
  <c r="P471" i="17"/>
  <c r="P487" i="17"/>
  <c r="P503" i="17"/>
  <c r="P519" i="17"/>
  <c r="P535" i="17"/>
  <c r="P551" i="17"/>
  <c r="P567" i="17"/>
  <c r="P583" i="17"/>
  <c r="P599" i="17"/>
  <c r="P279" i="17"/>
  <c r="P396" i="17"/>
  <c r="P460" i="17"/>
  <c r="P524" i="17"/>
  <c r="P586" i="17"/>
  <c r="P612" i="17"/>
  <c r="O29" i="17"/>
  <c r="O45" i="17"/>
  <c r="O61" i="17"/>
  <c r="O77" i="17"/>
  <c r="O93" i="17"/>
  <c r="O109" i="17"/>
  <c r="O125" i="17"/>
  <c r="O141" i="17"/>
  <c r="O157" i="17"/>
  <c r="O173" i="17"/>
  <c r="O189" i="17"/>
  <c r="O205" i="17"/>
  <c r="O221" i="17"/>
  <c r="O237" i="17"/>
  <c r="O253" i="17"/>
  <c r="P43" i="17"/>
  <c r="P48" i="17"/>
  <c r="P112" i="17"/>
  <c r="P176" i="17"/>
  <c r="P240" i="17"/>
  <c r="P304" i="17"/>
  <c r="P29" i="17"/>
  <c r="P93" i="17"/>
  <c r="P157" i="17"/>
  <c r="P221" i="17"/>
  <c r="P285" i="17"/>
  <c r="P349" i="17"/>
  <c r="P74" i="17"/>
  <c r="P138" i="17"/>
  <c r="P202" i="17"/>
  <c r="P258" i="17"/>
  <c r="P290" i="17"/>
  <c r="P322" i="17"/>
  <c r="P123" i="17"/>
  <c r="P251" i="17"/>
  <c r="P357" i="17"/>
  <c r="P389" i="17"/>
  <c r="P421" i="17"/>
  <c r="P453" i="17"/>
  <c r="P485" i="17"/>
  <c r="P517" i="17"/>
  <c r="P549" i="17"/>
  <c r="P573" i="17"/>
  <c r="P589" i="17"/>
  <c r="P605" i="17"/>
  <c r="P79" i="17"/>
  <c r="P143" i="17"/>
  <c r="P207" i="17"/>
  <c r="P271" i="17"/>
  <c r="P335" i="17"/>
  <c r="P362" i="17"/>
  <c r="P378" i="17"/>
  <c r="P394" i="17"/>
  <c r="P410" i="17"/>
  <c r="P426" i="17"/>
  <c r="P442" i="17"/>
  <c r="P458" i="17"/>
  <c r="P474" i="17"/>
  <c r="P490" i="17"/>
  <c r="P506" i="17"/>
  <c r="P522" i="17"/>
  <c r="P538" i="17"/>
  <c r="P554" i="17"/>
  <c r="P570" i="17"/>
  <c r="P83" i="17"/>
  <c r="P147" i="17"/>
  <c r="P211" i="17"/>
  <c r="P275" i="17"/>
  <c r="P339" i="17"/>
  <c r="P363" i="17"/>
  <c r="P379" i="17"/>
  <c r="P395" i="17"/>
  <c r="P411" i="17"/>
  <c r="P427" i="17"/>
  <c r="P443" i="17"/>
  <c r="P459" i="17"/>
  <c r="P475" i="17"/>
  <c r="P491" i="17"/>
  <c r="P507" i="17"/>
  <c r="P523" i="17"/>
  <c r="P539" i="17"/>
  <c r="P555" i="17"/>
  <c r="P571" i="17"/>
  <c r="P587" i="17"/>
  <c r="P59" i="17"/>
  <c r="P64" i="17"/>
  <c r="P128" i="17"/>
  <c r="P192" i="17"/>
  <c r="P256" i="17"/>
  <c r="P320" i="17"/>
  <c r="P45" i="17"/>
  <c r="P109" i="17"/>
  <c r="P173" i="17"/>
  <c r="P237" i="17"/>
  <c r="P301" i="17"/>
  <c r="P26" i="17"/>
  <c r="P90" i="17"/>
  <c r="P154" i="17"/>
  <c r="P218" i="17"/>
  <c r="P266" i="17"/>
  <c r="P298" i="17"/>
  <c r="P330" i="17"/>
  <c r="P155" i="17"/>
  <c r="P283" i="17"/>
  <c r="P365" i="17"/>
  <c r="P397" i="17"/>
  <c r="P429" i="17"/>
  <c r="P461" i="17"/>
  <c r="P493" i="17"/>
  <c r="P525" i="17"/>
  <c r="P557" i="17"/>
  <c r="P577" i="17"/>
  <c r="P593" i="17"/>
  <c r="P609" i="17"/>
  <c r="P95" i="17"/>
  <c r="P159" i="17"/>
  <c r="P223" i="17"/>
  <c r="P287" i="17"/>
  <c r="P346" i="17"/>
  <c r="P366" i="17"/>
  <c r="P382" i="17"/>
  <c r="P398" i="17"/>
  <c r="P414" i="17"/>
  <c r="P430" i="17"/>
  <c r="P446" i="17"/>
  <c r="P462" i="17"/>
  <c r="P478" i="17"/>
  <c r="P494" i="17"/>
  <c r="P510" i="17"/>
  <c r="P526" i="17"/>
  <c r="P542" i="17"/>
  <c r="P558" i="17"/>
  <c r="P574" i="17"/>
  <c r="P99" i="17"/>
  <c r="P163" i="17"/>
  <c r="P227" i="17"/>
  <c r="P291" i="17"/>
  <c r="P347" i="17"/>
  <c r="P367" i="17"/>
  <c r="P383" i="17"/>
  <c r="P399" i="17"/>
  <c r="P415" i="17"/>
  <c r="P431" i="17"/>
  <c r="P447" i="17"/>
  <c r="P463" i="17"/>
  <c r="P479" i="17"/>
  <c r="P495" i="17"/>
  <c r="P511" i="17"/>
  <c r="P527" i="17"/>
  <c r="P543" i="17"/>
  <c r="P559" i="17"/>
  <c r="P575" i="17"/>
  <c r="P591" i="17"/>
  <c r="P151" i="17"/>
  <c r="P364" i="17"/>
  <c r="P428" i="17"/>
  <c r="P492" i="17"/>
  <c r="P556" i="17"/>
  <c r="P602" i="17"/>
  <c r="O21" i="17"/>
  <c r="O37" i="17"/>
  <c r="O53" i="17"/>
  <c r="O69" i="17"/>
  <c r="O85" i="17"/>
  <c r="O101" i="17"/>
  <c r="O117" i="17"/>
  <c r="O133" i="17"/>
  <c r="O149" i="17"/>
  <c r="O165" i="17"/>
  <c r="P16" i="17"/>
  <c r="P272" i="17"/>
  <c r="P189" i="17"/>
  <c r="P106" i="17"/>
  <c r="P306" i="17"/>
  <c r="P373" i="17"/>
  <c r="P501" i="17"/>
  <c r="P597" i="17"/>
  <c r="P239" i="17"/>
  <c r="P386" i="17"/>
  <c r="P450" i="17"/>
  <c r="P514" i="17"/>
  <c r="P578" i="17"/>
  <c r="P307" i="17"/>
  <c r="P403" i="17"/>
  <c r="P467" i="17"/>
  <c r="P531" i="17"/>
  <c r="P595" i="17"/>
  <c r="P380" i="17"/>
  <c r="P508" i="17"/>
  <c r="P607" i="17"/>
  <c r="O41" i="17"/>
  <c r="O73" i="17"/>
  <c r="O105" i="17"/>
  <c r="O137" i="17"/>
  <c r="O169" i="17"/>
  <c r="O193" i="17"/>
  <c r="O213" i="17"/>
  <c r="O233" i="17"/>
  <c r="O257" i="17"/>
  <c r="O273" i="17"/>
  <c r="O289" i="17"/>
  <c r="O305" i="17"/>
  <c r="O321" i="17"/>
  <c r="O337" i="17"/>
  <c r="P103" i="17"/>
  <c r="P350" i="17"/>
  <c r="P416" i="17"/>
  <c r="P480" i="17"/>
  <c r="P544" i="17"/>
  <c r="P596" i="17"/>
  <c r="O18" i="17"/>
  <c r="O34" i="17"/>
  <c r="O50" i="17"/>
  <c r="O66" i="17"/>
  <c r="O82" i="17"/>
  <c r="O98" i="17"/>
  <c r="O114" i="17"/>
  <c r="O130" i="17"/>
  <c r="O146" i="17"/>
  <c r="O162" i="17"/>
  <c r="O178" i="17"/>
  <c r="O194" i="17"/>
  <c r="O210" i="17"/>
  <c r="O226" i="17"/>
  <c r="O242" i="17"/>
  <c r="O258" i="17"/>
  <c r="O274" i="17"/>
  <c r="O290" i="17"/>
  <c r="O306" i="17"/>
  <c r="P183" i="17"/>
  <c r="P372" i="17"/>
  <c r="P436" i="17"/>
  <c r="P500" i="17"/>
  <c r="P564" i="17"/>
  <c r="P604" i="17"/>
  <c r="O23" i="17"/>
  <c r="O39" i="17"/>
  <c r="O55" i="17"/>
  <c r="O71" i="17"/>
  <c r="P80" i="17"/>
  <c r="P336" i="17"/>
  <c r="P253" i="17"/>
  <c r="P170" i="17"/>
  <c r="P338" i="17"/>
  <c r="P405" i="17"/>
  <c r="P533" i="17"/>
  <c r="P613" i="17"/>
  <c r="P303" i="17"/>
  <c r="P402" i="17"/>
  <c r="P466" i="17"/>
  <c r="P530" i="17"/>
  <c r="P115" i="17"/>
  <c r="P355" i="17"/>
  <c r="P419" i="17"/>
  <c r="P483" i="17"/>
  <c r="P547" i="17"/>
  <c r="P87" i="17"/>
  <c r="P412" i="17"/>
  <c r="P540" i="17"/>
  <c r="O17" i="17"/>
  <c r="O49" i="17"/>
  <c r="O81" i="17"/>
  <c r="O113" i="17"/>
  <c r="O145" i="17"/>
  <c r="O177" i="17"/>
  <c r="O197" i="17"/>
  <c r="O217" i="17"/>
  <c r="O241" i="17"/>
  <c r="O261" i="17"/>
  <c r="O277" i="17"/>
  <c r="O293" i="17"/>
  <c r="O309" i="17"/>
  <c r="O325" i="17"/>
  <c r="O341" i="17"/>
  <c r="P167" i="17"/>
  <c r="P368" i="17"/>
  <c r="P432" i="17"/>
  <c r="P496" i="17"/>
  <c r="P560" i="17"/>
  <c r="P603" i="17"/>
  <c r="O22" i="17"/>
  <c r="O38" i="17"/>
  <c r="O54" i="17"/>
  <c r="O70" i="17"/>
  <c r="O86" i="17"/>
  <c r="O102" i="17"/>
  <c r="O118" i="17"/>
  <c r="O134" i="17"/>
  <c r="O150" i="17"/>
  <c r="O166" i="17"/>
  <c r="O182" i="17"/>
  <c r="O198" i="17"/>
  <c r="O214" i="17"/>
  <c r="O230" i="17"/>
  <c r="O246" i="17"/>
  <c r="O262" i="17"/>
  <c r="O278" i="17"/>
  <c r="O294" i="17"/>
  <c r="O310" i="17"/>
  <c r="P247" i="17"/>
  <c r="P388" i="17"/>
  <c r="P452" i="17"/>
  <c r="P516" i="17"/>
  <c r="P580" i="17"/>
  <c r="P610" i="17"/>
  <c r="O27" i="17"/>
  <c r="O43" i="17"/>
  <c r="O59" i="17"/>
  <c r="O75" i="17"/>
  <c r="O91" i="17"/>
  <c r="O107" i="17"/>
  <c r="O123" i="17"/>
  <c r="O139" i="17"/>
  <c r="O155" i="17"/>
  <c r="O171" i="17"/>
  <c r="O187" i="17"/>
  <c r="O203" i="17"/>
  <c r="O219" i="17"/>
  <c r="O235" i="17"/>
  <c r="O251" i="17"/>
  <c r="P360" i="17"/>
  <c r="P600" i="17"/>
  <c r="O68" i="17"/>
  <c r="O132" i="17"/>
  <c r="P144" i="17"/>
  <c r="P61" i="17"/>
  <c r="P317" i="17"/>
  <c r="P234" i="17"/>
  <c r="P187" i="17"/>
  <c r="P437" i="17"/>
  <c r="P565" i="17"/>
  <c r="P111" i="17"/>
  <c r="P354" i="17"/>
  <c r="P418" i="17"/>
  <c r="P482" i="17"/>
  <c r="P546" i="17"/>
  <c r="P179" i="17"/>
  <c r="P371" i="17"/>
  <c r="P435" i="17"/>
  <c r="P499" i="17"/>
  <c r="P563" i="17"/>
  <c r="P215" i="17"/>
  <c r="P444" i="17"/>
  <c r="P572" i="17"/>
  <c r="O25" i="17"/>
  <c r="O57" i="17"/>
  <c r="O89" i="17"/>
  <c r="O121" i="17"/>
  <c r="O153" i="17"/>
  <c r="O181" i="17"/>
  <c r="O201" i="17"/>
  <c r="O225" i="17"/>
  <c r="O245" i="17"/>
  <c r="O265" i="17"/>
  <c r="O281" i="17"/>
  <c r="O297" i="17"/>
  <c r="O313" i="17"/>
  <c r="O329" i="17"/>
  <c r="O345" i="17"/>
  <c r="P231" i="17"/>
  <c r="P384" i="17"/>
  <c r="P448" i="17"/>
  <c r="P512" i="17"/>
  <c r="P576" i="17"/>
  <c r="P608" i="17"/>
  <c r="O26" i="17"/>
  <c r="O42" i="17"/>
  <c r="O58" i="17"/>
  <c r="O74" i="17"/>
  <c r="O90" i="17"/>
  <c r="O106" i="17"/>
  <c r="O122" i="17"/>
  <c r="O138" i="17"/>
  <c r="O154" i="17"/>
  <c r="O170" i="17"/>
  <c r="O186" i="17"/>
  <c r="O202" i="17"/>
  <c r="O218" i="17"/>
  <c r="O234" i="17"/>
  <c r="O250" i="17"/>
  <c r="O266" i="17"/>
  <c r="O282" i="17"/>
  <c r="O298" i="17"/>
  <c r="O314" i="17"/>
  <c r="P311" i="17"/>
  <c r="P404" i="17"/>
  <c r="P468" i="17"/>
  <c r="P532" i="17"/>
  <c r="P590" i="17"/>
  <c r="P13" i="17"/>
  <c r="O31" i="17"/>
  <c r="O47" i="17"/>
  <c r="O63" i="17"/>
  <c r="O79" i="17"/>
  <c r="O95" i="17"/>
  <c r="O111" i="17"/>
  <c r="O127" i="17"/>
  <c r="O143" i="17"/>
  <c r="O159" i="17"/>
  <c r="O175" i="17"/>
  <c r="O191" i="17"/>
  <c r="O207" i="17"/>
  <c r="O223" i="17"/>
  <c r="O239" i="17"/>
  <c r="O255" i="17"/>
  <c r="P424" i="17"/>
  <c r="O20" i="17"/>
  <c r="O84" i="17"/>
  <c r="O148" i="17"/>
  <c r="O212" i="17"/>
  <c r="O268" i="17"/>
  <c r="O300" i="17"/>
  <c r="O327" i="17"/>
  <c r="O348" i="17"/>
  <c r="O365" i="17"/>
  <c r="O381" i="17"/>
  <c r="O397" i="17"/>
  <c r="O413" i="17"/>
  <c r="O429" i="17"/>
  <c r="O445" i="17"/>
  <c r="O461" i="17"/>
  <c r="O477" i="17"/>
  <c r="O493" i="17"/>
  <c r="O509" i="17"/>
  <c r="O525" i="17"/>
  <c r="O541" i="17"/>
  <c r="P208" i="17"/>
  <c r="P315" i="17"/>
  <c r="P370" i="17"/>
  <c r="P243" i="17"/>
  <c r="P579" i="17"/>
  <c r="O33" i="17"/>
  <c r="O161" i="17"/>
  <c r="O249" i="17"/>
  <c r="O317" i="17"/>
  <c r="P400" i="17"/>
  <c r="P14" i="17"/>
  <c r="O78" i="17"/>
  <c r="O142" i="17"/>
  <c r="O206" i="17"/>
  <c r="O270" i="17"/>
  <c r="P356" i="17"/>
  <c r="P598" i="17"/>
  <c r="O67" i="17"/>
  <c r="O103" i="17"/>
  <c r="O135" i="17"/>
  <c r="O167" i="17"/>
  <c r="O199" i="17"/>
  <c r="O231" i="17"/>
  <c r="P135" i="17"/>
  <c r="O52" i="17"/>
  <c r="O180" i="17"/>
  <c r="O260" i="17"/>
  <c r="O308" i="17"/>
  <c r="O338" i="17"/>
  <c r="O361" i="17"/>
  <c r="O385" i="17"/>
  <c r="O405" i="17"/>
  <c r="O425" i="17"/>
  <c r="O449" i="17"/>
  <c r="O469" i="17"/>
  <c r="O489" i="17"/>
  <c r="O513" i="17"/>
  <c r="O533" i="17"/>
  <c r="O553" i="17"/>
  <c r="O569" i="17"/>
  <c r="O585" i="17"/>
  <c r="O601" i="17"/>
  <c r="P199" i="17"/>
  <c r="P568" i="17"/>
  <c r="O56" i="17"/>
  <c r="O120" i="17"/>
  <c r="O184" i="17"/>
  <c r="O248" i="17"/>
  <c r="O287" i="17"/>
  <c r="O318" i="17"/>
  <c r="O339" i="17"/>
  <c r="O358" i="17"/>
  <c r="O374" i="17"/>
  <c r="O390" i="17"/>
  <c r="O406" i="17"/>
  <c r="O422" i="17"/>
  <c r="O438" i="17"/>
  <c r="O454" i="17"/>
  <c r="O470" i="17"/>
  <c r="O486" i="17"/>
  <c r="O502" i="17"/>
  <c r="O518" i="17"/>
  <c r="O534" i="17"/>
  <c r="O550" i="17"/>
  <c r="O566" i="17"/>
  <c r="O582" i="17"/>
  <c r="O598" i="17"/>
  <c r="P456" i="17"/>
  <c r="O28" i="17"/>
  <c r="O92" i="17"/>
  <c r="O156" i="17"/>
  <c r="O220" i="17"/>
  <c r="O272" i="17"/>
  <c r="O304" i="17"/>
  <c r="O330" i="17"/>
  <c r="O351" i="17"/>
  <c r="O367" i="17"/>
  <c r="O383" i="17"/>
  <c r="O399" i="17"/>
  <c r="O415" i="17"/>
  <c r="O431" i="17"/>
  <c r="O447" i="17"/>
  <c r="O463" i="17"/>
  <c r="O479" i="17"/>
  <c r="O495" i="17"/>
  <c r="O511" i="17"/>
  <c r="O527" i="17"/>
  <c r="O543" i="17"/>
  <c r="O559" i="17"/>
  <c r="O575" i="17"/>
  <c r="O591" i="17"/>
  <c r="O607" i="17"/>
  <c r="P327" i="17"/>
  <c r="O192" i="17"/>
  <c r="O342" i="17"/>
  <c r="O408" i="17"/>
  <c r="O472" i="17"/>
  <c r="O536" i="17"/>
  <c r="O600" i="17"/>
  <c r="P125" i="17"/>
  <c r="P469" i="17"/>
  <c r="P434" i="17"/>
  <c r="P387" i="17"/>
  <c r="P342" i="17"/>
  <c r="O65" i="17"/>
  <c r="O185" i="17"/>
  <c r="O269" i="17"/>
  <c r="O333" i="17"/>
  <c r="P464" i="17"/>
  <c r="O30" i="17"/>
  <c r="O94" i="17"/>
  <c r="O158" i="17"/>
  <c r="O222" i="17"/>
  <c r="O286" i="17"/>
  <c r="P420" i="17"/>
  <c r="O19" i="17"/>
  <c r="O83" i="17"/>
  <c r="O115" i="17"/>
  <c r="O147" i="17"/>
  <c r="O179" i="17"/>
  <c r="O211" i="17"/>
  <c r="O243" i="17"/>
  <c r="P488" i="17"/>
  <c r="O100" i="17"/>
  <c r="O196" i="17"/>
  <c r="O276" i="17"/>
  <c r="O316" i="17"/>
  <c r="O343" i="17"/>
  <c r="O369" i="17"/>
  <c r="O389" i="17"/>
  <c r="O409" i="17"/>
  <c r="O433" i="17"/>
  <c r="O453" i="17"/>
  <c r="O473" i="17"/>
  <c r="O497" i="17"/>
  <c r="O517" i="17"/>
  <c r="O537" i="17"/>
  <c r="O557" i="17"/>
  <c r="O573" i="17"/>
  <c r="O589" i="17"/>
  <c r="O605" i="17"/>
  <c r="P376" i="17"/>
  <c r="P606" i="17"/>
  <c r="O72" i="17"/>
  <c r="O136" i="17"/>
  <c r="O200" i="17"/>
  <c r="O263" i="17"/>
  <c r="O295" i="17"/>
  <c r="O323" i="17"/>
  <c r="O344" i="17"/>
  <c r="O362" i="17"/>
  <c r="O378" i="17"/>
  <c r="O394" i="17"/>
  <c r="O410" i="17"/>
  <c r="O426" i="17"/>
  <c r="O442" i="17"/>
  <c r="O458" i="17"/>
  <c r="O474" i="17"/>
  <c r="O490" i="17"/>
  <c r="O506" i="17"/>
  <c r="O522" i="17"/>
  <c r="O538" i="17"/>
  <c r="O554" i="17"/>
  <c r="O570" i="17"/>
  <c r="O586" i="17"/>
  <c r="O602" i="17"/>
  <c r="P520" i="17"/>
  <c r="O44" i="17"/>
  <c r="O108" i="17"/>
  <c r="O172" i="17"/>
  <c r="O236" i="17"/>
  <c r="O280" i="17"/>
  <c r="O312" i="17"/>
  <c r="O335" i="17"/>
  <c r="O355" i="17"/>
  <c r="O371" i="17"/>
  <c r="O387" i="17"/>
  <c r="O403" i="17"/>
  <c r="O419" i="17"/>
  <c r="O435" i="17"/>
  <c r="O451" i="17"/>
  <c r="O467" i="17"/>
  <c r="O483" i="17"/>
  <c r="O499" i="17"/>
  <c r="O515" i="17"/>
  <c r="O531" i="17"/>
  <c r="O547" i="17"/>
  <c r="O563" i="17"/>
  <c r="O579" i="17"/>
  <c r="O595" i="17"/>
  <c r="O611" i="17"/>
  <c r="P592" i="17"/>
  <c r="O256" i="17"/>
  <c r="O360" i="17"/>
  <c r="O424" i="17"/>
  <c r="O488" i="17"/>
  <c r="O552" i="17"/>
  <c r="P42" i="17"/>
  <c r="P498" i="17"/>
  <c r="P476" i="17"/>
  <c r="O209" i="17"/>
  <c r="O349" i="17"/>
  <c r="O46" i="17"/>
  <c r="O174" i="17"/>
  <c r="O302" i="17"/>
  <c r="O35" i="17"/>
  <c r="O119" i="17"/>
  <c r="O183" i="17"/>
  <c r="O247" i="17"/>
  <c r="O116" i="17"/>
  <c r="O284" i="17"/>
  <c r="O353" i="17"/>
  <c r="O393" i="17"/>
  <c r="O437" i="17"/>
  <c r="O481" i="17"/>
  <c r="O521" i="17"/>
  <c r="O561" i="17"/>
  <c r="O593" i="17"/>
  <c r="O24" i="17"/>
  <c r="O152" i="17"/>
  <c r="O271" i="17"/>
  <c r="O328" i="17"/>
  <c r="O366" i="17"/>
  <c r="O398" i="17"/>
  <c r="O430" i="17"/>
  <c r="O462" i="17"/>
  <c r="O494" i="17"/>
  <c r="O526" i="17"/>
  <c r="O558" i="17"/>
  <c r="O590" i="17"/>
  <c r="P584" i="17"/>
  <c r="O124" i="17"/>
  <c r="O252" i="17"/>
  <c r="O319" i="17"/>
  <c r="O359" i="17"/>
  <c r="O391" i="17"/>
  <c r="O423" i="17"/>
  <c r="O455" i="17"/>
  <c r="O487" i="17"/>
  <c r="O519" i="17"/>
  <c r="O551" i="17"/>
  <c r="O583" i="17"/>
  <c r="O64" i="17"/>
  <c r="O376" i="17"/>
  <c r="O504" i="17"/>
  <c r="P408" i="17"/>
  <c r="O208" i="17"/>
  <c r="O347" i="17"/>
  <c r="O412" i="17"/>
  <c r="O476" i="17"/>
  <c r="O540" i="17"/>
  <c r="O604" i="17"/>
  <c r="O96" i="17"/>
  <c r="O307" i="17"/>
  <c r="O384" i="17"/>
  <c r="O448" i="17"/>
  <c r="O512" i="17"/>
  <c r="O576" i="17"/>
  <c r="P274" i="17"/>
  <c r="P562" i="17"/>
  <c r="P594" i="17"/>
  <c r="O229" i="17"/>
  <c r="P295" i="17"/>
  <c r="O62" i="17"/>
  <c r="O190" i="17"/>
  <c r="P119" i="17"/>
  <c r="O51" i="17"/>
  <c r="O131" i="17"/>
  <c r="O195" i="17"/>
  <c r="O259" i="17"/>
  <c r="O164" i="17"/>
  <c r="O292" i="17"/>
  <c r="O357" i="17"/>
  <c r="O401" i="17"/>
  <c r="O441" i="17"/>
  <c r="O485" i="17"/>
  <c r="O529" i="17"/>
  <c r="O565" i="17"/>
  <c r="O597" i="17"/>
  <c r="O40" i="17"/>
  <c r="O168" i="17"/>
  <c r="O279" i="17"/>
  <c r="O334" i="17"/>
  <c r="O370" i="17"/>
  <c r="O402" i="17"/>
  <c r="O434" i="17"/>
  <c r="O466" i="17"/>
  <c r="O498" i="17"/>
  <c r="O530" i="17"/>
  <c r="O562" i="17"/>
  <c r="O594" i="17"/>
  <c r="P611" i="17"/>
  <c r="O140" i="17"/>
  <c r="O264" i="17"/>
  <c r="O324" i="17"/>
  <c r="O363" i="17"/>
  <c r="O395" i="17"/>
  <c r="O427" i="17"/>
  <c r="O459" i="17"/>
  <c r="O491" i="17"/>
  <c r="O523" i="17"/>
  <c r="O555" i="17"/>
  <c r="O587" i="17"/>
  <c r="O128" i="17"/>
  <c r="O392" i="17"/>
  <c r="O520" i="17"/>
  <c r="O15" i="17"/>
  <c r="O267" i="17"/>
  <c r="O364" i="17"/>
  <c r="O428" i="17"/>
  <c r="O492" i="17"/>
  <c r="O556" i="17"/>
  <c r="O160" i="17"/>
  <c r="O331" i="17"/>
  <c r="O400" i="17"/>
  <c r="O464" i="17"/>
  <c r="O528" i="17"/>
  <c r="O592" i="17"/>
  <c r="P581" i="17"/>
  <c r="O97" i="17"/>
  <c r="P528" i="17"/>
  <c r="O238" i="17"/>
  <c r="O87" i="17"/>
  <c r="O215" i="17"/>
  <c r="O228" i="17"/>
  <c r="O373" i="17"/>
  <c r="O457" i="17"/>
  <c r="O545" i="17"/>
  <c r="O609" i="17"/>
  <c r="O88" i="17"/>
  <c r="O303" i="17"/>
  <c r="O382" i="17"/>
  <c r="O446" i="17"/>
  <c r="O510" i="17"/>
  <c r="O574" i="17"/>
  <c r="P263" i="17"/>
  <c r="O188" i="17"/>
  <c r="O340" i="17"/>
  <c r="O407" i="17"/>
  <c r="O471" i="17"/>
  <c r="O535" i="17"/>
  <c r="O599" i="17"/>
  <c r="O291" i="17"/>
  <c r="O568" i="17"/>
  <c r="O299" i="17"/>
  <c r="O444" i="17"/>
  <c r="O572" i="17"/>
  <c r="O224" i="17"/>
  <c r="O416" i="17"/>
  <c r="O544" i="17"/>
  <c r="O420" i="17"/>
  <c r="O48" i="17"/>
  <c r="O500" i="17"/>
  <c r="O336" i="17"/>
  <c r="O388" i="17"/>
  <c r="O596" i="17"/>
  <c r="P451" i="17"/>
  <c r="O110" i="17"/>
  <c r="P552" i="17"/>
  <c r="O417" i="17"/>
  <c r="O577" i="17"/>
  <c r="O216" i="17"/>
  <c r="O414" i="17"/>
  <c r="O542" i="17"/>
  <c r="O60" i="17"/>
  <c r="O439" i="17"/>
  <c r="O567" i="17"/>
  <c r="O380" i="17"/>
  <c r="P472" i="17"/>
  <c r="O480" i="17"/>
  <c r="O240" i="17"/>
  <c r="O532" i="17"/>
  <c r="P175" i="17"/>
  <c r="O129" i="17"/>
  <c r="P588" i="17"/>
  <c r="O254" i="17"/>
  <c r="O99" i="17"/>
  <c r="O227" i="17"/>
  <c r="O244" i="17"/>
  <c r="O377" i="17"/>
  <c r="O465" i="17"/>
  <c r="O549" i="17"/>
  <c r="O613" i="17"/>
  <c r="O104" i="17"/>
  <c r="O311" i="17"/>
  <c r="O386" i="17"/>
  <c r="O450" i="17"/>
  <c r="O514" i="17"/>
  <c r="O578" i="17"/>
  <c r="P392" i="17"/>
  <c r="O204" i="17"/>
  <c r="O346" i="17"/>
  <c r="O411" i="17"/>
  <c r="O475" i="17"/>
  <c r="O539" i="17"/>
  <c r="O603" i="17"/>
  <c r="O320" i="17"/>
  <c r="O584" i="17"/>
  <c r="O326" i="17"/>
  <c r="O460" i="17"/>
  <c r="O588" i="17"/>
  <c r="O275" i="17"/>
  <c r="O432" i="17"/>
  <c r="O560" i="17"/>
  <c r="P536" i="17"/>
  <c r="O484" i="17"/>
  <c r="O283" i="17"/>
  <c r="O564" i="17"/>
  <c r="O468" i="17"/>
  <c r="O452" i="17"/>
  <c r="O285" i="17"/>
  <c r="P484" i="17"/>
  <c r="O151" i="17"/>
  <c r="O322" i="17"/>
  <c r="O501" i="17"/>
  <c r="P440" i="17"/>
  <c r="O350" i="17"/>
  <c r="O478" i="17"/>
  <c r="O606" i="17"/>
  <c r="O288" i="17"/>
  <c r="O375" i="17"/>
  <c r="O503" i="17"/>
  <c r="O440" i="17"/>
  <c r="O80" i="17"/>
  <c r="O508" i="17"/>
  <c r="O352" i="17"/>
  <c r="O608" i="17"/>
  <c r="O548" i="17"/>
  <c r="O372" i="17"/>
  <c r="P515" i="17"/>
  <c r="O163" i="17"/>
  <c r="O505" i="17"/>
  <c r="O418" i="17"/>
  <c r="O76" i="17"/>
  <c r="O507" i="17"/>
  <c r="O524" i="17"/>
  <c r="O368" i="17"/>
  <c r="O612" i="17"/>
  <c r="O436" i="17"/>
  <c r="O516" i="17"/>
  <c r="O332" i="17"/>
  <c r="O546" i="17"/>
  <c r="O379" i="17"/>
  <c r="O144" i="17"/>
  <c r="O14" i="17"/>
  <c r="P548" i="17"/>
  <c r="O421" i="17"/>
  <c r="O610" i="17"/>
  <c r="O443" i="17"/>
  <c r="O32" i="17"/>
  <c r="O356" i="17"/>
  <c r="O315" i="17"/>
  <c r="O301" i="17"/>
  <c r="O36" i="17"/>
  <c r="O581" i="17"/>
  <c r="P504" i="17"/>
  <c r="O482" i="17"/>
  <c r="O296" i="17"/>
  <c r="O571" i="17"/>
  <c r="O496" i="17"/>
  <c r="O580" i="17"/>
  <c r="O126" i="17"/>
  <c r="O232" i="17"/>
  <c r="O112" i="17"/>
  <c r="O176" i="17"/>
  <c r="O354" i="17"/>
  <c r="O456" i="17"/>
  <c r="O396" i="17"/>
  <c r="O404" i="17"/>
  <c r="D340" i="2"/>
  <c r="B54" i="21"/>
  <c r="B56" i="21"/>
  <c r="K128" i="2"/>
  <c r="B402" i="2"/>
  <c r="A42" i="16"/>
  <c r="B377" i="2" l="1"/>
  <c r="A377" i="2"/>
  <c r="D376" i="2"/>
  <c r="B398" i="2"/>
  <c r="A397" i="2"/>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Z206" i="17"/>
  <c r="Z207" i="17"/>
  <c r="Z208" i="17"/>
  <c r="Z209" i="17"/>
  <c r="Z210" i="17"/>
  <c r="Z211" i="17"/>
  <c r="Z212" i="17"/>
  <c r="Z213" i="17"/>
  <c r="Z214" i="17"/>
  <c r="Z215" i="17"/>
  <c r="Z216" i="17"/>
  <c r="Z217" i="17"/>
  <c r="Z218" i="17"/>
  <c r="Z219" i="17"/>
  <c r="Z220" i="17"/>
  <c r="Z221" i="17"/>
  <c r="Z222" i="17"/>
  <c r="Z223" i="17"/>
  <c r="Z224" i="17"/>
  <c r="Z225" i="17"/>
  <c r="Z226" i="17"/>
  <c r="Z227" i="17"/>
  <c r="Z228" i="17"/>
  <c r="Z229" i="17"/>
  <c r="Z230" i="17"/>
  <c r="Z231" i="17"/>
  <c r="Z232" i="17"/>
  <c r="Z233" i="17"/>
  <c r="Z234" i="17"/>
  <c r="Z235" i="17"/>
  <c r="Z236" i="17"/>
  <c r="Z237" i="17"/>
  <c r="Z238" i="17"/>
  <c r="Z239" i="17"/>
  <c r="Z240" i="17"/>
  <c r="Z241" i="17"/>
  <c r="Z242" i="17"/>
  <c r="Z243" i="17"/>
  <c r="Z244" i="17"/>
  <c r="Z245" i="17"/>
  <c r="Z246" i="17"/>
  <c r="Z247" i="17"/>
  <c r="Z248" i="17"/>
  <c r="Z249" i="17"/>
  <c r="Z250" i="17"/>
  <c r="Z251" i="17"/>
  <c r="Z252" i="17"/>
  <c r="Z253" i="17"/>
  <c r="Z254" i="17"/>
  <c r="Z255" i="17"/>
  <c r="Z256" i="17"/>
  <c r="Z257" i="17"/>
  <c r="Z258" i="17"/>
  <c r="Z259" i="17"/>
  <c r="Z260" i="17"/>
  <c r="Z261" i="17"/>
  <c r="Z262" i="17"/>
  <c r="Z263" i="17"/>
  <c r="Z264" i="17"/>
  <c r="Z265" i="17"/>
  <c r="Z266" i="17"/>
  <c r="Z267" i="17"/>
  <c r="Z268" i="17"/>
  <c r="Z269" i="17"/>
  <c r="Z270" i="17"/>
  <c r="Z271" i="17"/>
  <c r="Z272" i="17"/>
  <c r="Z273" i="17"/>
  <c r="Z274" i="17"/>
  <c r="Z275" i="17"/>
  <c r="Z276" i="17"/>
  <c r="Z277" i="17"/>
  <c r="Z278" i="17"/>
  <c r="Z279" i="17"/>
  <c r="Z280" i="17"/>
  <c r="Z281" i="17"/>
  <c r="Z282" i="17"/>
  <c r="Z283" i="17"/>
  <c r="Z284" i="17"/>
  <c r="Z285" i="17"/>
  <c r="Z286" i="17"/>
  <c r="Z287" i="17"/>
  <c r="Z288" i="17"/>
  <c r="Z289" i="17"/>
  <c r="Z290" i="17"/>
  <c r="Z291" i="17"/>
  <c r="Z292" i="17"/>
  <c r="Z293" i="17"/>
  <c r="Z294" i="17"/>
  <c r="Z295" i="17"/>
  <c r="Z296" i="17"/>
  <c r="Z297" i="17"/>
  <c r="Z298" i="17"/>
  <c r="Z299" i="17"/>
  <c r="Z300" i="17"/>
  <c r="Z301" i="17"/>
  <c r="Z302" i="17"/>
  <c r="Z303" i="17"/>
  <c r="Z304" i="17"/>
  <c r="Z305" i="17"/>
  <c r="Z306" i="17"/>
  <c r="Z307" i="17"/>
  <c r="Z308" i="17"/>
  <c r="Z309" i="17"/>
  <c r="Z310" i="17"/>
  <c r="Z311" i="17"/>
  <c r="Z312" i="17"/>
  <c r="Z313" i="17"/>
  <c r="Z314" i="17"/>
  <c r="Z315" i="17"/>
  <c r="Z316" i="17"/>
  <c r="Z317" i="17"/>
  <c r="Z318" i="17"/>
  <c r="Z319" i="17"/>
  <c r="Z320" i="17"/>
  <c r="Z321" i="17"/>
  <c r="Z322" i="17"/>
  <c r="Z323" i="17"/>
  <c r="Z324" i="17"/>
  <c r="Z325" i="17"/>
  <c r="Z326" i="17"/>
  <c r="Z327" i="17"/>
  <c r="Z328" i="17"/>
  <c r="Z329" i="17"/>
  <c r="Z330" i="17"/>
  <c r="Z331" i="17"/>
  <c r="Z332" i="17"/>
  <c r="Z333" i="17"/>
  <c r="Z334" i="17"/>
  <c r="Z335" i="17"/>
  <c r="Z336" i="17"/>
  <c r="Z337" i="17"/>
  <c r="Z338" i="17"/>
  <c r="Z339" i="17"/>
  <c r="Z340" i="17"/>
  <c r="Z341" i="17"/>
  <c r="Z342" i="17"/>
  <c r="Z343" i="17"/>
  <c r="Z344" i="17"/>
  <c r="Z345" i="17"/>
  <c r="Z346" i="17"/>
  <c r="Z347" i="17"/>
  <c r="Z348" i="17"/>
  <c r="Z349" i="17"/>
  <c r="Z350" i="17"/>
  <c r="Z351" i="17"/>
  <c r="Z352" i="17"/>
  <c r="Z353" i="17"/>
  <c r="Z354" i="17"/>
  <c r="Z355" i="17"/>
  <c r="Z356" i="17"/>
  <c r="Z357" i="17"/>
  <c r="Z358" i="17"/>
  <c r="Z359" i="17"/>
  <c r="Z360" i="17"/>
  <c r="Z361" i="17"/>
  <c r="Z362" i="17"/>
  <c r="Z363" i="17"/>
  <c r="Z364" i="17"/>
  <c r="Z365" i="17"/>
  <c r="Z366" i="17"/>
  <c r="Z367" i="17"/>
  <c r="Z368" i="17"/>
  <c r="Z369" i="17"/>
  <c r="Z370" i="17"/>
  <c r="Z371" i="17"/>
  <c r="Z372" i="17"/>
  <c r="Z373" i="17"/>
  <c r="Z374" i="17"/>
  <c r="Z375" i="17"/>
  <c r="Z376" i="17"/>
  <c r="Z377" i="17"/>
  <c r="Z378" i="17"/>
  <c r="Z379" i="17"/>
  <c r="Z380" i="17"/>
  <c r="Z381" i="17"/>
  <c r="Z382" i="17"/>
  <c r="Z383" i="17"/>
  <c r="Z384" i="17"/>
  <c r="Z385" i="17"/>
  <c r="Z386" i="17"/>
  <c r="Z387" i="17"/>
  <c r="Z388" i="17"/>
  <c r="Z389" i="17"/>
  <c r="Z390" i="17"/>
  <c r="Z391" i="17"/>
  <c r="Z392" i="17"/>
  <c r="Z393" i="17"/>
  <c r="Z394" i="17"/>
  <c r="Z395" i="17"/>
  <c r="Z396" i="17"/>
  <c r="Z397" i="17"/>
  <c r="Z398" i="17"/>
  <c r="Z399" i="17"/>
  <c r="Z400" i="17"/>
  <c r="Z401" i="17"/>
  <c r="Z402" i="17"/>
  <c r="Z403" i="17"/>
  <c r="Z404" i="17"/>
  <c r="Z405" i="17"/>
  <c r="Z406" i="17"/>
  <c r="Z407" i="17"/>
  <c r="Z408" i="17"/>
  <c r="Z409" i="17"/>
  <c r="Z410" i="17"/>
  <c r="Z411" i="17"/>
  <c r="Z412" i="17"/>
  <c r="Z413" i="17"/>
  <c r="Z414" i="17"/>
  <c r="Z415" i="17"/>
  <c r="Z416" i="17"/>
  <c r="Z417" i="17"/>
  <c r="Z418" i="17"/>
  <c r="Z419" i="17"/>
  <c r="Z420" i="17"/>
  <c r="Z421" i="17"/>
  <c r="Z422" i="17"/>
  <c r="Z423" i="17"/>
  <c r="Z424" i="17"/>
  <c r="Z425" i="17"/>
  <c r="Z426" i="17"/>
  <c r="Z427" i="17"/>
  <c r="Z428" i="17"/>
  <c r="Z429" i="17"/>
  <c r="Z430" i="17"/>
  <c r="Z431" i="17"/>
  <c r="Z432" i="17"/>
  <c r="Z433" i="17"/>
  <c r="Z434" i="17"/>
  <c r="Z435" i="17"/>
  <c r="Z436" i="17"/>
  <c r="Z437" i="17"/>
  <c r="Z438" i="17"/>
  <c r="Z439" i="17"/>
  <c r="Z440" i="17"/>
  <c r="Z441" i="17"/>
  <c r="Z442" i="17"/>
  <c r="Z443" i="17"/>
  <c r="Z444" i="17"/>
  <c r="Z445" i="17"/>
  <c r="Z446" i="17"/>
  <c r="Z447" i="17"/>
  <c r="Z448" i="17"/>
  <c r="Z449" i="17"/>
  <c r="Z450" i="17"/>
  <c r="Z451" i="17"/>
  <c r="Z452" i="17"/>
  <c r="Z453" i="17"/>
  <c r="Z454" i="17"/>
  <c r="Z455" i="17"/>
  <c r="Z456" i="17"/>
  <c r="Z457" i="17"/>
  <c r="Z458" i="17"/>
  <c r="Z459" i="17"/>
  <c r="Z460" i="17"/>
  <c r="Z461" i="17"/>
  <c r="Z462" i="17"/>
  <c r="Z463" i="17"/>
  <c r="Z464" i="17"/>
  <c r="Z465" i="17"/>
  <c r="Z466" i="17"/>
  <c r="Z467" i="17"/>
  <c r="Z468" i="17"/>
  <c r="Z469" i="17"/>
  <c r="Z470" i="17"/>
  <c r="Z471" i="17"/>
  <c r="Z472" i="17"/>
  <c r="Z473" i="17"/>
  <c r="Z474" i="17"/>
  <c r="Z475" i="17"/>
  <c r="Z476" i="17"/>
  <c r="Z477" i="17"/>
  <c r="Z478" i="17"/>
  <c r="Z479" i="17"/>
  <c r="Z480" i="17"/>
  <c r="Z481" i="17"/>
  <c r="Z482" i="17"/>
  <c r="Z483" i="17"/>
  <c r="Z484" i="17"/>
  <c r="Z485" i="17"/>
  <c r="Z486" i="17"/>
  <c r="Z487" i="17"/>
  <c r="Z488" i="17"/>
  <c r="Z489" i="17"/>
  <c r="Z490" i="17"/>
  <c r="Z491" i="17"/>
  <c r="Z492" i="17"/>
  <c r="Z493" i="17"/>
  <c r="Z494" i="17"/>
  <c r="Z495" i="17"/>
  <c r="Z496" i="17"/>
  <c r="Z497" i="17"/>
  <c r="Z498" i="17"/>
  <c r="Z499" i="17"/>
  <c r="Z500" i="17"/>
  <c r="Z501" i="17"/>
  <c r="Z502" i="17"/>
  <c r="Z503" i="17"/>
  <c r="Z504" i="17"/>
  <c r="Z505" i="17"/>
  <c r="Z506" i="17"/>
  <c r="Z507" i="17"/>
  <c r="Z508" i="17"/>
  <c r="Z509" i="17"/>
  <c r="Z510" i="17"/>
  <c r="Z511" i="17"/>
  <c r="Z512" i="17"/>
  <c r="Z513" i="17"/>
  <c r="Z514" i="17"/>
  <c r="Z515" i="17"/>
  <c r="Z516" i="17"/>
  <c r="Z517" i="17"/>
  <c r="Z518" i="17"/>
  <c r="Z519" i="17"/>
  <c r="Z520" i="17"/>
  <c r="Z521" i="17"/>
  <c r="Z522" i="17"/>
  <c r="Z523" i="17"/>
  <c r="Z524" i="17"/>
  <c r="Z525" i="17"/>
  <c r="Z526" i="17"/>
  <c r="Z527" i="17"/>
  <c r="Z528" i="17"/>
  <c r="Z529" i="17"/>
  <c r="Z530" i="17"/>
  <c r="Z531" i="17"/>
  <c r="Z532" i="17"/>
  <c r="Z533" i="17"/>
  <c r="Z534" i="17"/>
  <c r="Z535" i="17"/>
  <c r="Z536" i="17"/>
  <c r="Z537" i="17"/>
  <c r="Z538" i="17"/>
  <c r="Z539" i="17"/>
  <c r="Z540" i="17"/>
  <c r="Z541" i="17"/>
  <c r="Z542" i="17"/>
  <c r="Z543" i="17"/>
  <c r="Z544" i="17"/>
  <c r="Z545" i="17"/>
  <c r="Z546" i="17"/>
  <c r="Z547" i="17"/>
  <c r="Z548" i="17"/>
  <c r="Z549" i="17"/>
  <c r="Z550" i="17"/>
  <c r="Z551" i="17"/>
  <c r="Z552" i="17"/>
  <c r="Z553" i="17"/>
  <c r="Z554" i="17"/>
  <c r="Z555" i="17"/>
  <c r="Z556" i="17"/>
  <c r="Z557" i="17"/>
  <c r="Z558" i="17"/>
  <c r="Z559" i="17"/>
  <c r="Z560" i="17"/>
  <c r="Z561" i="17"/>
  <c r="Z562" i="17"/>
  <c r="Z563" i="17"/>
  <c r="Z564" i="17"/>
  <c r="Z565" i="17"/>
  <c r="Z566" i="17"/>
  <c r="Z567" i="17"/>
  <c r="Z568" i="17"/>
  <c r="Z569" i="17"/>
  <c r="Z570" i="17"/>
  <c r="Z571" i="17"/>
  <c r="Z572" i="17"/>
  <c r="Z573" i="17"/>
  <c r="Z574" i="17"/>
  <c r="Z575" i="17"/>
  <c r="Z576" i="17"/>
  <c r="Z577" i="17"/>
  <c r="Z578" i="17"/>
  <c r="Z579" i="17"/>
  <c r="Z580" i="17"/>
  <c r="Z581" i="17"/>
  <c r="Z582" i="17"/>
  <c r="Z583" i="17"/>
  <c r="Z584" i="17"/>
  <c r="Z585" i="17"/>
  <c r="Z586" i="17"/>
  <c r="Z587" i="17"/>
  <c r="Z588" i="17"/>
  <c r="Z589" i="17"/>
  <c r="Z590" i="17"/>
  <c r="Z591" i="17"/>
  <c r="Z592" i="17"/>
  <c r="Z593" i="17"/>
  <c r="Z594" i="17"/>
  <c r="Z595" i="17"/>
  <c r="Z596" i="17"/>
  <c r="Z597" i="17"/>
  <c r="Z598" i="17"/>
  <c r="Z599" i="17"/>
  <c r="Z600" i="17"/>
  <c r="Z601" i="17"/>
  <c r="Z602" i="17"/>
  <c r="Z603" i="17"/>
  <c r="Z604" i="17"/>
  <c r="Z605" i="17"/>
  <c r="Z606" i="17"/>
  <c r="Z607" i="17"/>
  <c r="Z608" i="17"/>
  <c r="Z609" i="17"/>
  <c r="Z610" i="17"/>
  <c r="Z611" i="17"/>
  <c r="Z612" i="17"/>
  <c r="Z613" i="17"/>
  <c r="I3" i="17" l="1"/>
  <c r="B413" i="2"/>
  <c r="A413" i="2"/>
  <c r="B219" i="2"/>
  <c r="B234" i="2" s="1"/>
  <c r="B95" i="2"/>
  <c r="E19" i="1" s="1"/>
  <c r="C49" i="16" l="1"/>
  <c r="B199" i="2"/>
  <c r="B412" i="2"/>
  <c r="A412" i="2"/>
  <c r="B411" i="2"/>
  <c r="A411" i="2"/>
  <c r="AI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21" i="2"/>
  <c r="U6" i="17"/>
  <c r="C6" i="17" l="1"/>
  <c r="A381" i="2"/>
  <c r="B191" i="2"/>
  <c r="B192" i="2" s="1"/>
  <c r="H3" i="8" s="1"/>
  <c r="B122" i="2"/>
  <c r="B77" i="2"/>
  <c r="B8" i="2"/>
  <c r="B449" i="2" s="1"/>
  <c r="B9" i="2"/>
  <c r="B383" i="2" l="1"/>
  <c r="F251"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B39" i="2"/>
  <c r="D131" i="2" s="1"/>
  <c r="B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436" i="2"/>
  <c r="B399" i="2"/>
  <c r="B227" i="2"/>
  <c r="B223" i="2"/>
  <c r="F135" i="2" l="1"/>
  <c r="F136" i="2"/>
  <c r="K132" i="2"/>
  <c r="K133" i="2"/>
  <c r="B16" i="21"/>
  <c r="A436" i="2"/>
  <c r="F3" i="17"/>
  <c r="B26" i="2" l="1"/>
  <c r="B42" i="2" s="1"/>
  <c r="B27" i="2" l="1"/>
  <c r="B206" i="2"/>
  <c r="B202" i="2" s="1"/>
  <c r="R12" i="8"/>
  <c r="B41" i="2"/>
  <c r="D240" i="2"/>
  <c r="B240" i="2" s="1"/>
  <c r="A97" i="27"/>
  <c r="B97" i="27" s="1"/>
  <c r="F443" i="2"/>
  <c r="D443" i="2"/>
  <c r="S13" i="8"/>
  <c r="B44" i="2"/>
  <c r="B13" i="21"/>
  <c r="B78" i="21"/>
  <c r="B29" i="2"/>
  <c r="B367" i="2"/>
  <c r="B238" i="2"/>
  <c r="N3" i="17"/>
  <c r="R21" i="8"/>
  <c r="D47" i="16"/>
  <c r="H22" i="2" l="1"/>
  <c r="B430" i="2"/>
  <c r="C97" i="27"/>
  <c r="H23" i="2"/>
  <c r="E97" i="27"/>
  <c r="R97" i="27" s="1"/>
  <c r="H443" i="2"/>
  <c r="B388" i="2"/>
  <c r="D97" i="27"/>
  <c r="S97" i="27" s="1"/>
  <c r="B289" i="2"/>
  <c r="B283" i="2"/>
  <c r="B297" i="2"/>
  <c r="D297" i="2" s="1"/>
  <c r="B391" i="2" s="1"/>
  <c r="B298" i="2"/>
  <c r="B25" i="2"/>
  <c r="N5" i="17"/>
  <c r="S12" i="8"/>
  <c r="J3" i="8"/>
  <c r="E26" i="1"/>
  <c r="A626" i="17"/>
  <c r="C636" i="17"/>
  <c r="I47" i="16"/>
  <c r="H24" i="2" l="1"/>
  <c r="Q97" i="27"/>
  <c r="AD97" i="27"/>
  <c r="AE97" i="27" s="1"/>
  <c r="AH97" i="27" s="1"/>
  <c r="I97" i="27"/>
  <c r="P626" i="17"/>
  <c r="O626" i="17"/>
  <c r="B31" i="2"/>
  <c r="B443" i="2" s="1"/>
  <c r="A390" i="2"/>
  <c r="B390" i="2"/>
  <c r="A391" i="2"/>
  <c r="B299" i="2"/>
  <c r="D299" i="2" s="1"/>
  <c r="C51" i="16"/>
  <c r="D51" i="16" s="1"/>
  <c r="D53" i="16"/>
  <c r="D55" i="16"/>
  <c r="C46" i="16"/>
  <c r="D45" i="16"/>
  <c r="D43" i="16"/>
  <c r="D42" i="16"/>
  <c r="D44" i="16"/>
  <c r="D39" i="16"/>
  <c r="F31" i="2" l="1"/>
  <c r="C443" i="2"/>
  <c r="E12" i="1" s="1"/>
  <c r="G59" i="27"/>
  <c r="A392" i="2"/>
  <c r="B392" i="2"/>
  <c r="G20" i="27"/>
  <c r="G42" i="27"/>
  <c r="L42" i="27" s="1"/>
  <c r="G54" i="27"/>
  <c r="G24" i="27"/>
  <c r="G48" i="27"/>
  <c r="G29" i="27"/>
  <c r="G49" i="27"/>
  <c r="G97" i="27"/>
  <c r="G34" i="27"/>
  <c r="G64" i="27"/>
  <c r="G33" i="27"/>
  <c r="G43" i="27"/>
  <c r="G65" i="27"/>
  <c r="G67" i="27"/>
  <c r="M67" i="27" s="1"/>
  <c r="G91" i="27"/>
  <c r="G73" i="27"/>
  <c r="G17" i="27"/>
  <c r="G63" i="27"/>
  <c r="M63" i="27" s="1"/>
  <c r="G32" i="27"/>
  <c r="G19" i="27"/>
  <c r="G68" i="27"/>
  <c r="G35" i="27"/>
  <c r="G92" i="27"/>
  <c r="G78" i="27"/>
  <c r="G87" i="27"/>
  <c r="G71" i="27"/>
  <c r="G16" i="27"/>
  <c r="G58" i="27"/>
  <c r="G60" i="27"/>
  <c r="G37" i="27"/>
  <c r="G86" i="27"/>
  <c r="G89" i="27"/>
  <c r="G80" i="27"/>
  <c r="G31" i="27"/>
  <c r="G50" i="27"/>
  <c r="G95" i="27"/>
  <c r="G51" i="27"/>
  <c r="G41" i="27"/>
  <c r="G40" i="27"/>
  <c r="G15" i="27"/>
  <c r="G52" i="27"/>
  <c r="G39" i="27"/>
  <c r="G47" i="27"/>
  <c r="G61" i="27"/>
  <c r="G28" i="27"/>
  <c r="G81" i="27"/>
  <c r="G21" i="27"/>
  <c r="G30" i="27"/>
  <c r="G25" i="27"/>
  <c r="G93" i="27"/>
  <c r="G57" i="27"/>
  <c r="G74" i="27"/>
  <c r="G55" i="27"/>
  <c r="G85" i="27"/>
  <c r="G72" i="27"/>
  <c r="G79" i="27"/>
  <c r="G69" i="27"/>
  <c r="G36" i="27"/>
  <c r="G27" i="27"/>
  <c r="G88" i="27"/>
  <c r="G22" i="27"/>
  <c r="G83" i="27"/>
  <c r="G62" i="27"/>
  <c r="G96" i="27"/>
  <c r="G18" i="27"/>
  <c r="G70" i="27"/>
  <c r="G76" i="27"/>
  <c r="G53" i="27"/>
  <c r="G45" i="27"/>
  <c r="G13" i="27"/>
  <c r="G82" i="27"/>
  <c r="G38" i="27"/>
  <c r="G77" i="27"/>
  <c r="G66" i="27"/>
  <c r="G90" i="27"/>
  <c r="G75" i="27"/>
  <c r="G23" i="27"/>
  <c r="G14" i="27"/>
  <c r="G94" i="27"/>
  <c r="G44" i="27"/>
  <c r="G26" i="27"/>
  <c r="G84" i="27"/>
  <c r="G46" i="27"/>
  <c r="G56" i="27"/>
  <c r="F63" i="1"/>
  <c r="L87" i="27" l="1"/>
  <c r="AF87" i="27"/>
  <c r="AG87" i="27"/>
  <c r="L65" i="27"/>
  <c r="AF65" i="27"/>
  <c r="AG65" i="27"/>
  <c r="L20" i="27"/>
  <c r="AF20" i="27"/>
  <c r="AG20" i="27"/>
  <c r="AF94" i="27"/>
  <c r="AG94" i="27"/>
  <c r="AF82" i="27"/>
  <c r="AG82" i="27"/>
  <c r="AF79" i="27"/>
  <c r="AG79" i="27"/>
  <c r="AF25" i="27"/>
  <c r="AG25" i="27"/>
  <c r="AF52" i="27"/>
  <c r="AG52" i="27"/>
  <c r="M71" i="27"/>
  <c r="AF71" i="27"/>
  <c r="AG71" i="27"/>
  <c r="L63" i="27"/>
  <c r="AF63" i="27"/>
  <c r="AG63" i="27"/>
  <c r="M64" i="27"/>
  <c r="AF64" i="27"/>
  <c r="AG64" i="27"/>
  <c r="M42" i="27"/>
  <c r="AF42" i="27"/>
  <c r="AG42" i="27"/>
  <c r="AF84" i="27"/>
  <c r="AG84" i="27"/>
  <c r="AF66" i="27"/>
  <c r="AG66" i="27"/>
  <c r="AF70" i="27"/>
  <c r="AG70" i="27"/>
  <c r="AF27" i="27"/>
  <c r="AG27" i="27"/>
  <c r="AF30" i="27"/>
  <c r="AG30" i="27"/>
  <c r="AF15" i="27"/>
  <c r="AG15" i="27"/>
  <c r="AF95" i="27"/>
  <c r="AG95" i="27"/>
  <c r="L80" i="27"/>
  <c r="AF80" i="27"/>
  <c r="AG80" i="27"/>
  <c r="M60" i="27"/>
  <c r="AF60" i="27"/>
  <c r="AG60" i="27"/>
  <c r="M68" i="27"/>
  <c r="AF68" i="27"/>
  <c r="AG68" i="27"/>
  <c r="L17" i="27"/>
  <c r="AF17" i="27"/>
  <c r="AG17" i="27"/>
  <c r="L34" i="27"/>
  <c r="AF34" i="27"/>
  <c r="AG34" i="27"/>
  <c r="L48" i="27"/>
  <c r="AF48" i="27"/>
  <c r="AG48" i="27"/>
  <c r="AF26" i="27"/>
  <c r="AG26" i="27"/>
  <c r="AF23" i="27"/>
  <c r="AG23" i="27"/>
  <c r="AF77" i="27"/>
  <c r="AG77" i="27"/>
  <c r="AF45" i="27"/>
  <c r="AG45" i="27"/>
  <c r="AF18" i="27"/>
  <c r="AG18" i="27"/>
  <c r="AF83" i="27"/>
  <c r="AG83" i="27"/>
  <c r="AF36" i="27"/>
  <c r="AG36" i="27"/>
  <c r="AF85" i="27"/>
  <c r="AG85" i="27"/>
  <c r="AF57" i="27"/>
  <c r="AG57" i="27"/>
  <c r="AF21" i="27"/>
  <c r="AG21" i="27"/>
  <c r="AF47" i="27"/>
  <c r="AG47" i="27"/>
  <c r="AF40" i="27"/>
  <c r="AG40" i="27"/>
  <c r="AF50" i="27"/>
  <c r="AG50" i="27"/>
  <c r="M89" i="27"/>
  <c r="AF89" i="27"/>
  <c r="AG89" i="27"/>
  <c r="M58" i="27"/>
  <c r="AF58" i="27"/>
  <c r="AG58" i="27"/>
  <c r="L78" i="27"/>
  <c r="AF78" i="27"/>
  <c r="AG78" i="27"/>
  <c r="M19" i="27"/>
  <c r="AF19" i="27"/>
  <c r="AG19" i="27"/>
  <c r="M73" i="27"/>
  <c r="AF73" i="27"/>
  <c r="AG73" i="27"/>
  <c r="L43" i="27"/>
  <c r="AF43" i="27"/>
  <c r="AG43" i="27"/>
  <c r="M97" i="27"/>
  <c r="AF97" i="27"/>
  <c r="AG97" i="27"/>
  <c r="M24" i="27"/>
  <c r="AF24" i="27"/>
  <c r="AG24" i="27"/>
  <c r="AF46" i="27"/>
  <c r="AG46" i="27"/>
  <c r="AF90" i="27"/>
  <c r="AG90" i="27"/>
  <c r="AF76" i="27"/>
  <c r="AG76" i="27"/>
  <c r="AF88" i="27"/>
  <c r="AG88" i="27"/>
  <c r="AF28" i="27"/>
  <c r="AG28" i="27"/>
  <c r="AF51" i="27"/>
  <c r="AG51" i="27"/>
  <c r="L37" i="27"/>
  <c r="AF37" i="27"/>
  <c r="AG37" i="27"/>
  <c r="M35" i="27"/>
  <c r="AF35" i="27"/>
  <c r="AG35" i="27"/>
  <c r="L67" i="27"/>
  <c r="AF67" i="27"/>
  <c r="AG67" i="27"/>
  <c r="L29" i="27"/>
  <c r="AF29" i="27"/>
  <c r="AG29" i="27"/>
  <c r="L59" i="27"/>
  <c r="AF59" i="27"/>
  <c r="AG59" i="27"/>
  <c r="AF14" i="27"/>
  <c r="AG14" i="27"/>
  <c r="AF13" i="27"/>
  <c r="AG13" i="27"/>
  <c r="AF62" i="27"/>
  <c r="AG62" i="27"/>
  <c r="AF72" i="27"/>
  <c r="AG72" i="27"/>
  <c r="AF74" i="27"/>
  <c r="AG74" i="27"/>
  <c r="AF61" i="27"/>
  <c r="AG61" i="27"/>
  <c r="AF56" i="27"/>
  <c r="AG56" i="27"/>
  <c r="AF44" i="27"/>
  <c r="AG44" i="27"/>
  <c r="AF75" i="27"/>
  <c r="AG75" i="27"/>
  <c r="AF38" i="27"/>
  <c r="AG38" i="27"/>
  <c r="AF53" i="27"/>
  <c r="AG53" i="27"/>
  <c r="AF96" i="27"/>
  <c r="AG96" i="27"/>
  <c r="AF22" i="27"/>
  <c r="AG22" i="27"/>
  <c r="AF69" i="27"/>
  <c r="AG69" i="27"/>
  <c r="AF55" i="27"/>
  <c r="AG55" i="27"/>
  <c r="AF93" i="27"/>
  <c r="AG93" i="27"/>
  <c r="AF81" i="27"/>
  <c r="AG81" i="27"/>
  <c r="AF39" i="27"/>
  <c r="AG39" i="27"/>
  <c r="AF41" i="27"/>
  <c r="AG41" i="27"/>
  <c r="AF31" i="27"/>
  <c r="AG31" i="27"/>
  <c r="L86" i="27"/>
  <c r="AF86" i="27"/>
  <c r="AG86" i="27"/>
  <c r="L16" i="27"/>
  <c r="AF16" i="27"/>
  <c r="AG16" i="27"/>
  <c r="L92" i="27"/>
  <c r="AF92" i="27"/>
  <c r="AG92" i="27"/>
  <c r="L32" i="27"/>
  <c r="AF32" i="27"/>
  <c r="AG32" i="27"/>
  <c r="L91" i="27"/>
  <c r="AF91" i="27"/>
  <c r="AG91" i="27"/>
  <c r="L33" i="27"/>
  <c r="AF33" i="27"/>
  <c r="AG33" i="27"/>
  <c r="L49" i="27"/>
  <c r="AF49" i="27"/>
  <c r="AG49" i="27"/>
  <c r="L54" i="27"/>
  <c r="AF54" i="27"/>
  <c r="AG54" i="27"/>
  <c r="L64" i="27"/>
  <c r="M59" i="27"/>
  <c r="M37" i="27"/>
  <c r="L35" i="27"/>
  <c r="L71" i="27"/>
  <c r="M29" i="27"/>
  <c r="M54" i="27"/>
  <c r="M34" i="27"/>
  <c r="M17" i="27"/>
  <c r="M48" i="27"/>
  <c r="L68" i="27"/>
  <c r="M87" i="27"/>
  <c r="M65" i="27"/>
  <c r="M20" i="27"/>
  <c r="M80" i="27"/>
  <c r="L60" i="27"/>
  <c r="M49" i="27"/>
  <c r="M33" i="27"/>
  <c r="M32" i="27"/>
  <c r="M92" i="27"/>
  <c r="L89" i="27"/>
  <c r="M43" i="27"/>
  <c r="L19" i="27"/>
  <c r="M78" i="27"/>
  <c r="L58" i="27"/>
  <c r="L24" i="27"/>
  <c r="L97" i="27"/>
  <c r="L73" i="27"/>
  <c r="M91" i="27"/>
  <c r="M16" i="27"/>
  <c r="M86" i="27"/>
  <c r="M66" i="27"/>
  <c r="L66" i="27"/>
  <c r="L52" i="27"/>
  <c r="M52" i="27"/>
  <c r="M26" i="27"/>
  <c r="L26" i="27"/>
  <c r="L45" i="27"/>
  <c r="M45" i="27"/>
  <c r="L22" i="27"/>
  <c r="M22" i="27"/>
  <c r="L30" i="27"/>
  <c r="M30" i="27"/>
  <c r="L61" i="27"/>
  <c r="M61" i="27"/>
  <c r="L15" i="27"/>
  <c r="M15" i="27"/>
  <c r="M95" i="27"/>
  <c r="L95" i="27"/>
  <c r="L84" i="27"/>
  <c r="M84" i="27"/>
  <c r="M13" i="27"/>
  <c r="L13" i="27"/>
  <c r="L83" i="27"/>
  <c r="M83" i="27"/>
  <c r="L85" i="27"/>
  <c r="M85" i="27"/>
  <c r="L25" i="27"/>
  <c r="M25" i="27"/>
  <c r="L51" i="27"/>
  <c r="M51" i="27"/>
  <c r="M23" i="27"/>
  <c r="L23" i="27"/>
  <c r="M18" i="27"/>
  <c r="L18" i="27"/>
  <c r="M69" i="27"/>
  <c r="L69" i="27"/>
  <c r="M56" i="27"/>
  <c r="L56" i="27"/>
  <c r="M44" i="27"/>
  <c r="L44" i="27"/>
  <c r="M75" i="27"/>
  <c r="L75" i="27"/>
  <c r="M38" i="27"/>
  <c r="L38" i="27"/>
  <c r="L53" i="27"/>
  <c r="M53" i="27"/>
  <c r="M96" i="27"/>
  <c r="L96" i="27"/>
  <c r="M88" i="27"/>
  <c r="L88" i="27"/>
  <c r="L79" i="27"/>
  <c r="M79" i="27"/>
  <c r="M57" i="27"/>
  <c r="L57" i="27"/>
  <c r="L21" i="27"/>
  <c r="M21" i="27"/>
  <c r="L47" i="27"/>
  <c r="M47" i="27"/>
  <c r="M40" i="27"/>
  <c r="L40" i="27"/>
  <c r="M50" i="27"/>
  <c r="L50" i="27"/>
  <c r="M14" i="27"/>
  <c r="L14" i="27"/>
  <c r="M70" i="27"/>
  <c r="L70" i="27"/>
  <c r="L36" i="27"/>
  <c r="M36" i="27"/>
  <c r="M28" i="27"/>
  <c r="L28" i="27"/>
  <c r="L77" i="27"/>
  <c r="M77" i="27"/>
  <c r="M55" i="27"/>
  <c r="L55" i="27"/>
  <c r="L74" i="27"/>
  <c r="M74" i="27"/>
  <c r="M46" i="27"/>
  <c r="L46" i="27"/>
  <c r="L94" i="27"/>
  <c r="M94" i="27"/>
  <c r="M90" i="27"/>
  <c r="L90" i="27"/>
  <c r="M82" i="27"/>
  <c r="L82" i="27"/>
  <c r="M76" i="27"/>
  <c r="L76" i="27"/>
  <c r="L62" i="27"/>
  <c r="M62" i="27"/>
  <c r="L27" i="27"/>
  <c r="M27" i="27"/>
  <c r="M72" i="27"/>
  <c r="L72" i="27"/>
  <c r="L93" i="27"/>
  <c r="M93" i="27"/>
  <c r="L81" i="27"/>
  <c r="M81" i="27"/>
  <c r="L39" i="27"/>
  <c r="M39" i="27"/>
  <c r="M41" i="27"/>
  <c r="L41" i="27"/>
  <c r="M31" i="27"/>
  <c r="L31" i="27"/>
  <c r="B126" i="2"/>
  <c r="B46" i="2"/>
  <c r="B140" i="2"/>
  <c r="B351" i="2"/>
  <c r="AM42" i="21" s="1"/>
  <c r="B337" i="2"/>
  <c r="B42" i="21" s="1"/>
  <c r="B47" i="2"/>
  <c r="B380" i="2" s="1"/>
  <c r="B7" i="2"/>
  <c r="B150" i="2"/>
  <c r="B330" i="2"/>
  <c r="R10" i="8"/>
  <c r="B350" i="2"/>
  <c r="B167" i="2"/>
  <c r="B332" i="2"/>
  <c r="B362" i="2" s="1"/>
  <c r="B342" i="2"/>
  <c r="B333" i="2"/>
  <c r="B334" i="2"/>
  <c r="B41" i="21" s="1"/>
  <c r="B339" i="2"/>
  <c r="B338" i="2"/>
  <c r="B43" i="21" s="1"/>
  <c r="B345" i="2"/>
  <c r="B312" i="2"/>
  <c r="B156" i="2"/>
  <c r="B331" i="2"/>
  <c r="D7" i="6"/>
  <c r="D6" i="6"/>
  <c r="D10" i="6"/>
  <c r="D9"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7" i="8" s="1"/>
  <c r="A69" i="8" s="1"/>
  <c r="A81" i="8" s="1"/>
  <c r="A93" i="8" s="1"/>
  <c r="A105" i="8" s="1"/>
  <c r="A117" i="8" s="1"/>
  <c r="A129" i="8" s="1"/>
  <c r="A141" i="8" s="1"/>
  <c r="A153" i="8" s="1"/>
  <c r="A50" i="8"/>
  <c r="A62" i="8" s="1"/>
  <c r="A74" i="8" s="1"/>
  <c r="A86" i="8" s="1"/>
  <c r="A98" i="8" s="1"/>
  <c r="A110" i="8" s="1"/>
  <c r="A122" i="8" s="1"/>
  <c r="A134" i="8" s="1"/>
  <c r="A146" i="8" s="1"/>
  <c r="A158" i="8" s="1"/>
  <c r="A56" i="8"/>
  <c r="A68" i="8" s="1"/>
  <c r="A80" i="8" s="1"/>
  <c r="A92" i="8" s="1"/>
  <c r="A104" i="8" s="1"/>
  <c r="A116" i="8" s="1"/>
  <c r="A128" i="8" s="1"/>
  <c r="A140" i="8" s="1"/>
  <c r="A152" i="8" s="1"/>
  <c r="B116" i="2"/>
  <c r="A395" i="2"/>
  <c r="A417" i="2"/>
  <c r="B447" i="2"/>
  <c r="A36" i="16" l="1"/>
  <c r="B146" i="2"/>
  <c r="B143" i="2"/>
  <c r="D147" i="2"/>
  <c r="B404" i="2"/>
  <c r="B301" i="2"/>
  <c r="R14" i="8" s="1"/>
  <c r="S14" i="8" s="1"/>
  <c r="D301" i="2" s="1"/>
  <c r="B405" i="2" s="1"/>
  <c r="AI49" i="27"/>
  <c r="AK49" i="27" s="1"/>
  <c r="AM49" i="27" s="1"/>
  <c r="AI92" i="27"/>
  <c r="AK92" i="27" s="1"/>
  <c r="AM92" i="27" s="1"/>
  <c r="AI29" i="27"/>
  <c r="AK29" i="27" s="1"/>
  <c r="AM29" i="27" s="1"/>
  <c r="AI51" i="27"/>
  <c r="AK51" i="27" s="1"/>
  <c r="AM51" i="27" s="1"/>
  <c r="AI88" i="27"/>
  <c r="AK88" i="27" s="1"/>
  <c r="AM88" i="27" s="1"/>
  <c r="AI90" i="27"/>
  <c r="AK90" i="27" s="1"/>
  <c r="AN90" i="27" s="1"/>
  <c r="AI24" i="27"/>
  <c r="AK24" i="27" s="1"/>
  <c r="AN24" i="27" s="1"/>
  <c r="AI19" i="27"/>
  <c r="AK19" i="27" s="1"/>
  <c r="AN19" i="27" s="1"/>
  <c r="AI50" i="27"/>
  <c r="AK50" i="27" s="1"/>
  <c r="AN50" i="27" s="1"/>
  <c r="AI47" i="27"/>
  <c r="AK47" i="27" s="1"/>
  <c r="AN47" i="27" s="1"/>
  <c r="AI57" i="27"/>
  <c r="AK57" i="27" s="1"/>
  <c r="AN57" i="27" s="1"/>
  <c r="AI36" i="27"/>
  <c r="AK36" i="27" s="1"/>
  <c r="AN36" i="27" s="1"/>
  <c r="AI18" i="27"/>
  <c r="AK18" i="27" s="1"/>
  <c r="AM18" i="27" s="1"/>
  <c r="AI77" i="27"/>
  <c r="AK77" i="27" s="1"/>
  <c r="AN77" i="27" s="1"/>
  <c r="AI26" i="27"/>
  <c r="AK26" i="27" s="1"/>
  <c r="AM26" i="27" s="1"/>
  <c r="AI17" i="27"/>
  <c r="AK17" i="27" s="1"/>
  <c r="AN17" i="27" s="1"/>
  <c r="AI95" i="27"/>
  <c r="AK95" i="27" s="1"/>
  <c r="AN95" i="27" s="1"/>
  <c r="AI30" i="27"/>
  <c r="AK30" i="27" s="1"/>
  <c r="AM30" i="27" s="1"/>
  <c r="AI70" i="27"/>
  <c r="AK70" i="27" s="1"/>
  <c r="AM70" i="27" s="1"/>
  <c r="AI84" i="27"/>
  <c r="AK84" i="27" s="1"/>
  <c r="AM84" i="27" s="1"/>
  <c r="AI91" i="27"/>
  <c r="AK91" i="27" s="1"/>
  <c r="AM91" i="27" s="1"/>
  <c r="AI86" i="27"/>
  <c r="AK86" i="27" s="1"/>
  <c r="AM86" i="27" s="1"/>
  <c r="AI35" i="27"/>
  <c r="AK35" i="27" s="1"/>
  <c r="AN35" i="27" s="1"/>
  <c r="AI76" i="27"/>
  <c r="AK76" i="27" s="1"/>
  <c r="AM76" i="27" s="1"/>
  <c r="AI46" i="27"/>
  <c r="AK46" i="27" s="1"/>
  <c r="AN46" i="27" s="1"/>
  <c r="AI43" i="27"/>
  <c r="AK43" i="27" s="1"/>
  <c r="AN43" i="27" s="1"/>
  <c r="AI58" i="27"/>
  <c r="AK58" i="27" s="1"/>
  <c r="AM58" i="27" s="1"/>
  <c r="AI40" i="27"/>
  <c r="AK40" i="27" s="1"/>
  <c r="AN40" i="27" s="1"/>
  <c r="AI21" i="27"/>
  <c r="AK21" i="27" s="1"/>
  <c r="AM21" i="27" s="1"/>
  <c r="AI85" i="27"/>
  <c r="AK85" i="27" s="1"/>
  <c r="AM85" i="27" s="1"/>
  <c r="AI83" i="27"/>
  <c r="AK83" i="27" s="1"/>
  <c r="AM83" i="27" s="1"/>
  <c r="AI45" i="27"/>
  <c r="AK45" i="27" s="1"/>
  <c r="AM45" i="27" s="1"/>
  <c r="AI23" i="27"/>
  <c r="AK23" i="27" s="1"/>
  <c r="AN23" i="27" s="1"/>
  <c r="AI48" i="27"/>
  <c r="AK48" i="27" s="1"/>
  <c r="AN48" i="27" s="1"/>
  <c r="AI63" i="27"/>
  <c r="AK63" i="27" s="1"/>
  <c r="AM63" i="27" s="1"/>
  <c r="AI15" i="27"/>
  <c r="AK15" i="27" s="1"/>
  <c r="AN15" i="27" s="1"/>
  <c r="AI25" i="27"/>
  <c r="AK25" i="27" s="1"/>
  <c r="AM25" i="27" s="1"/>
  <c r="AI82" i="27"/>
  <c r="AK82" i="27" s="1"/>
  <c r="AN82" i="27" s="1"/>
  <c r="AI20" i="27"/>
  <c r="AK20" i="27" s="1"/>
  <c r="AN20" i="27" s="1"/>
  <c r="AI27" i="27"/>
  <c r="AK27" i="27" s="1"/>
  <c r="AM27" i="27" s="1"/>
  <c r="AI87" i="27"/>
  <c r="AK87" i="27" s="1"/>
  <c r="AN87" i="27" s="1"/>
  <c r="AI66" i="27"/>
  <c r="AK66" i="27" s="1"/>
  <c r="AN66" i="27" s="1"/>
  <c r="AI42" i="27"/>
  <c r="AK42" i="27" s="1"/>
  <c r="AM42" i="27" s="1"/>
  <c r="AI52" i="27"/>
  <c r="AK52" i="27" s="1"/>
  <c r="AN52" i="27" s="1"/>
  <c r="AI54" i="27"/>
  <c r="AK54" i="27" s="1"/>
  <c r="AI32" i="27"/>
  <c r="AK32" i="27" s="1"/>
  <c r="AI31" i="27"/>
  <c r="AK31" i="27" s="1"/>
  <c r="AI39" i="27"/>
  <c r="AK39" i="27" s="1"/>
  <c r="AI93" i="27"/>
  <c r="AK93" i="27" s="1"/>
  <c r="AI69" i="27"/>
  <c r="AK69" i="27" s="1"/>
  <c r="AI96" i="27"/>
  <c r="AK96" i="27" s="1"/>
  <c r="AI38" i="27"/>
  <c r="AK38" i="27" s="1"/>
  <c r="AI44" i="27"/>
  <c r="AK44" i="27" s="1"/>
  <c r="AI61" i="27"/>
  <c r="AK61" i="27" s="1"/>
  <c r="AI72" i="27"/>
  <c r="AK72" i="27" s="1"/>
  <c r="AI59" i="27"/>
  <c r="AK59" i="27" s="1"/>
  <c r="AI37" i="27"/>
  <c r="AK37" i="27" s="1"/>
  <c r="AI28" i="27"/>
  <c r="AK28" i="27" s="1"/>
  <c r="AI73" i="27"/>
  <c r="AK73" i="27" s="1"/>
  <c r="AI89" i="27"/>
  <c r="AK89" i="27" s="1"/>
  <c r="AI34" i="27"/>
  <c r="AK34" i="27" s="1"/>
  <c r="AI60" i="27"/>
  <c r="AK60" i="27" s="1"/>
  <c r="AI80" i="27"/>
  <c r="AK80" i="27" s="1"/>
  <c r="AI64" i="27"/>
  <c r="AK64" i="27" s="1"/>
  <c r="AI79" i="27"/>
  <c r="AK79" i="27" s="1"/>
  <c r="AI94" i="27"/>
  <c r="AK94" i="27" s="1"/>
  <c r="AI33" i="27"/>
  <c r="AK33" i="27" s="1"/>
  <c r="AI16" i="27"/>
  <c r="AK16" i="27" s="1"/>
  <c r="AI41" i="27"/>
  <c r="AK41" i="27" s="1"/>
  <c r="AI81" i="27"/>
  <c r="AK81" i="27" s="1"/>
  <c r="AI55" i="27"/>
  <c r="AK55" i="27" s="1"/>
  <c r="AI22" i="27"/>
  <c r="AK22" i="27" s="1"/>
  <c r="AI53" i="27"/>
  <c r="AK53" i="27" s="1"/>
  <c r="AI75" i="27"/>
  <c r="AK75" i="27" s="1"/>
  <c r="AI56" i="27"/>
  <c r="AK56" i="27" s="1"/>
  <c r="AI74" i="27"/>
  <c r="AK74" i="27" s="1"/>
  <c r="AI62" i="27"/>
  <c r="AK62" i="27" s="1"/>
  <c r="AI14" i="27"/>
  <c r="AK14" i="27" s="1"/>
  <c r="AI67" i="27"/>
  <c r="AK67" i="27" s="1"/>
  <c r="AI97" i="27"/>
  <c r="AK97" i="27" s="1"/>
  <c r="AI78" i="27"/>
  <c r="AK78" i="27" s="1"/>
  <c r="AI68" i="27"/>
  <c r="AK68" i="27" s="1"/>
  <c r="AI71" i="27"/>
  <c r="AK71" i="27" s="1"/>
  <c r="AI65" i="27"/>
  <c r="AK65" i="27" s="1"/>
  <c r="B169"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AM67" i="21"/>
  <c r="AM100" i="21"/>
  <c r="AM23" i="21"/>
  <c r="AM11" i="21"/>
  <c r="AM33" i="21"/>
  <c r="AM69" i="21"/>
  <c r="AM43" i="21"/>
  <c r="AM64" i="21"/>
  <c r="AM77" i="21"/>
  <c r="AM55" i="21"/>
  <c r="AM82" i="21"/>
  <c r="AM99" i="21"/>
  <c r="AM27" i="21"/>
  <c r="AM44" i="21"/>
  <c r="AM101" i="21"/>
  <c r="AM53" i="21"/>
  <c r="AM104" i="21"/>
  <c r="AM46" i="21"/>
  <c r="AM21" i="21"/>
  <c r="AM13" i="21"/>
  <c r="AM65" i="21"/>
  <c r="AM45" i="21"/>
  <c r="AM81" i="21"/>
  <c r="AM48" i="21"/>
  <c r="AM57" i="21"/>
  <c r="AM105" i="21"/>
  <c r="AM80" i="21"/>
  <c r="AM29" i="21"/>
  <c r="AM61" i="21"/>
  <c r="AM72" i="21"/>
  <c r="AM89" i="21"/>
  <c r="AM93" i="21"/>
  <c r="AM56" i="21"/>
  <c r="AM92" i="21"/>
  <c r="AM91" i="21"/>
  <c r="AM49" i="21"/>
  <c r="AM12" i="21"/>
  <c r="AM24" i="21"/>
  <c r="AM10" i="21"/>
  <c r="AM73" i="21"/>
  <c r="AM70" i="21"/>
  <c r="AM34" i="21"/>
  <c r="AM54" i="21"/>
  <c r="AM39" i="21"/>
  <c r="AM90" i="21"/>
  <c r="AM109" i="21"/>
  <c r="AM38" i="21"/>
  <c r="AM28" i="21"/>
  <c r="AM15" i="21"/>
  <c r="AM88" i="21"/>
  <c r="AM83" i="21"/>
  <c r="AM87" i="21"/>
  <c r="AM75" i="21"/>
  <c r="AM9" i="21"/>
  <c r="AM51" i="21"/>
  <c r="AM17" i="21"/>
  <c r="AM103" i="21"/>
  <c r="AM63" i="21"/>
  <c r="AM32" i="21"/>
  <c r="AM31" i="21"/>
  <c r="AM94" i="21"/>
  <c r="AM62" i="21"/>
  <c r="AM50" i="21"/>
  <c r="AM20" i="21"/>
  <c r="AM85" i="21"/>
  <c r="AM26" i="21"/>
  <c r="AM41" i="21"/>
  <c r="AM68" i="21"/>
  <c r="AM86" i="21"/>
  <c r="AM37" i="21"/>
  <c r="AM58" i="21"/>
  <c r="AM96" i="21"/>
  <c r="AM107" i="21"/>
  <c r="AM66" i="21"/>
  <c r="AM59" i="21"/>
  <c r="AM76" i="21"/>
  <c r="AM35" i="21"/>
  <c r="AM19" i="21"/>
  <c r="AM14" i="21"/>
  <c r="AM74" i="21"/>
  <c r="AM98" i="21"/>
  <c r="AM30" i="21"/>
  <c r="AM95" i="21"/>
  <c r="AM47" i="21"/>
  <c r="AM60" i="21"/>
  <c r="AM97" i="21"/>
  <c r="AM22" i="21"/>
  <c r="AM71" i="21"/>
  <c r="AM106" i="21"/>
  <c r="AM18" i="21"/>
  <c r="AM102" i="21"/>
  <c r="AM79" i="21"/>
  <c r="AM16" i="21"/>
  <c r="AM78" i="21"/>
  <c r="AM25" i="21"/>
  <c r="AM52" i="21"/>
  <c r="AM36" i="21"/>
  <c r="AM84" i="21"/>
  <c r="AM108" i="21"/>
  <c r="AM40" i="21"/>
  <c r="B144" i="2"/>
  <c r="B340" i="2"/>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80" i="2"/>
  <c r="B54" i="2"/>
  <c r="B53" i="2"/>
  <c r="B52" i="2"/>
  <c r="B164" i="2" s="1"/>
  <c r="B36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D46" i="16"/>
  <c r="G251" i="2"/>
  <c r="B58" i="21"/>
  <c r="AL9" i="21"/>
  <c r="B37" i="21"/>
  <c r="M9" i="21"/>
  <c r="N9" i="21" s="1"/>
  <c r="B204" i="2"/>
  <c r="B203" i="2"/>
  <c r="B207" i="2" s="1"/>
  <c r="B118" i="2"/>
  <c r="B37" i="2"/>
  <c r="B19" i="2"/>
  <c r="B450"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68" i="2"/>
  <c r="B403" i="2"/>
  <c r="A380" i="2"/>
  <c r="B49" i="2"/>
  <c r="B256" i="2"/>
  <c r="R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4" i="2"/>
  <c r="B34" i="2"/>
  <c r="B401" i="2"/>
  <c r="R4" i="8"/>
  <c r="S4" i="8" s="1"/>
  <c r="S10" i="8"/>
  <c r="F66" i="1"/>
  <c r="B314"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1"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3" i="6" s="1"/>
  <c r="B14" i="6" s="1"/>
  <c r="B72" i="2"/>
  <c r="B237" i="2"/>
  <c r="B168"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AM57" i="27" l="1"/>
  <c r="AM50" i="27"/>
  <c r="AN49" i="27"/>
  <c r="AN58" i="27"/>
  <c r="AN70" i="27"/>
  <c r="AN29" i="27"/>
  <c r="AN26" i="27"/>
  <c r="AM24" i="27"/>
  <c r="AM43" i="27"/>
  <c r="AM47" i="27"/>
  <c r="AM48" i="27"/>
  <c r="B142" i="2"/>
  <c r="B147" i="2" s="1"/>
  <c r="B134" i="2"/>
  <c r="D132" i="2"/>
  <c r="AM90" i="27"/>
  <c r="AM77" i="27"/>
  <c r="AN85" i="27"/>
  <c r="AN86" i="27"/>
  <c r="AM82" i="27"/>
  <c r="AM66" i="27"/>
  <c r="AN92" i="27"/>
  <c r="AN88" i="27"/>
  <c r="AN21" i="27"/>
  <c r="AN30" i="27"/>
  <c r="AN83" i="27"/>
  <c r="AM35" i="27"/>
  <c r="AM20" i="27"/>
  <c r="AN63" i="27"/>
  <c r="AN84" i="27"/>
  <c r="AM17" i="27"/>
  <c r="AM19" i="27"/>
  <c r="AN51" i="27"/>
  <c r="AM36" i="27"/>
  <c r="AN25" i="27"/>
  <c r="AM46" i="27"/>
  <c r="AM95" i="27"/>
  <c r="AN18" i="27"/>
  <c r="AM40" i="27"/>
  <c r="AN76" i="27"/>
  <c r="AN42" i="27"/>
  <c r="AM15" i="27"/>
  <c r="AN45" i="27"/>
  <c r="AN91" i="27"/>
  <c r="AM23" i="27"/>
  <c r="AM87" i="27"/>
  <c r="AN27" i="27"/>
  <c r="AM52" i="27"/>
  <c r="AM62" i="27"/>
  <c r="AN62" i="27"/>
  <c r="AM41" i="27"/>
  <c r="AN41" i="27"/>
  <c r="AN80" i="27"/>
  <c r="AM80" i="27"/>
  <c r="AM73" i="27"/>
  <c r="AN73" i="27"/>
  <c r="AN72" i="27"/>
  <c r="AM72" i="27"/>
  <c r="AN96" i="27"/>
  <c r="AM96" i="27"/>
  <c r="AN31" i="27"/>
  <c r="AM31" i="27"/>
  <c r="AM65" i="27"/>
  <c r="AN65" i="27"/>
  <c r="AM97" i="27"/>
  <c r="E16" i="29" s="1"/>
  <c r="AN97" i="27"/>
  <c r="AN74" i="27"/>
  <c r="AM74" i="27"/>
  <c r="AM22" i="27"/>
  <c r="AN22" i="27"/>
  <c r="AN16" i="27"/>
  <c r="AM16" i="27"/>
  <c r="AN60" i="27"/>
  <c r="AM60" i="27"/>
  <c r="AN28" i="27"/>
  <c r="AM28" i="27"/>
  <c r="AM61" i="27"/>
  <c r="AN61" i="27"/>
  <c r="AM69" i="27"/>
  <c r="AN69" i="27"/>
  <c r="AM32" i="27"/>
  <c r="AN32" i="27"/>
  <c r="AN79" i="27"/>
  <c r="AM79" i="27"/>
  <c r="AN71" i="27"/>
  <c r="AM71" i="27"/>
  <c r="AM67" i="27"/>
  <c r="AN67" i="27"/>
  <c r="AN56" i="27"/>
  <c r="AM56" i="27"/>
  <c r="AM55" i="27"/>
  <c r="AN55" i="27"/>
  <c r="AN33" i="27"/>
  <c r="AM33" i="27"/>
  <c r="AN34" i="27"/>
  <c r="AM34" i="27"/>
  <c r="AM37" i="27"/>
  <c r="AN37" i="27"/>
  <c r="AM44" i="27"/>
  <c r="AN44" i="27"/>
  <c r="AM93" i="27"/>
  <c r="AN93" i="27"/>
  <c r="AM54" i="27"/>
  <c r="AN54" i="27"/>
  <c r="AM78" i="27"/>
  <c r="AN78" i="27"/>
  <c r="AN53" i="27"/>
  <c r="AM53" i="27"/>
  <c r="AN68" i="27"/>
  <c r="AM68" i="27"/>
  <c r="AM14" i="27"/>
  <c r="AN14" i="27"/>
  <c r="AM75" i="27"/>
  <c r="AN75" i="27"/>
  <c r="AN81" i="27"/>
  <c r="AM81" i="27"/>
  <c r="AN94" i="27"/>
  <c r="AM94" i="27"/>
  <c r="AN64" i="27"/>
  <c r="AM64" i="27"/>
  <c r="AN89" i="27"/>
  <c r="AM89" i="27"/>
  <c r="AM59" i="27"/>
  <c r="AN59" i="27"/>
  <c r="AN38" i="27"/>
  <c r="AM38" i="27"/>
  <c r="AN39" i="27"/>
  <c r="AM39" i="27"/>
  <c r="C451" i="2"/>
  <c r="B451" i="2"/>
  <c r="M131" i="2"/>
  <c r="B58" i="2"/>
  <c r="K131" i="2"/>
  <c r="K134" i="2" s="1"/>
  <c r="B57" i="2"/>
  <c r="B68" i="2" s="1"/>
  <c r="E29" i="1" s="1"/>
  <c r="P9" i="21"/>
  <c r="Q9" i="21" s="1"/>
  <c r="AE9" i="21" s="1"/>
  <c r="O9" i="21"/>
  <c r="B363" i="2"/>
  <c r="B364" i="2" s="1"/>
  <c r="E103" i="1" s="1"/>
  <c r="E102" i="1"/>
  <c r="AL70" i="21"/>
  <c r="AL54" i="21"/>
  <c r="AL10" i="21"/>
  <c r="AL95" i="21"/>
  <c r="AL79" i="21"/>
  <c r="AL63" i="21"/>
  <c r="AL31" i="21"/>
  <c r="AL84" i="21"/>
  <c r="AL68" i="21"/>
  <c r="AL52" i="21"/>
  <c r="AL20" i="21"/>
  <c r="AL109" i="21"/>
  <c r="AL93" i="21"/>
  <c r="AL77" i="21"/>
  <c r="AL61" i="21"/>
  <c r="AL45" i="21"/>
  <c r="AL21" i="21"/>
  <c r="B68" i="21"/>
  <c r="B69" i="21" s="1"/>
  <c r="AL98" i="21"/>
  <c r="AL90" i="21"/>
  <c r="AL82" i="21"/>
  <c r="AL74" i="21"/>
  <c r="AL66" i="21"/>
  <c r="AL58" i="21"/>
  <c r="AL34" i="21"/>
  <c r="AL18" i="21"/>
  <c r="AL99" i="21"/>
  <c r="AL91" i="21"/>
  <c r="AL83" i="21"/>
  <c r="AL75" i="21"/>
  <c r="AL67" i="21"/>
  <c r="AL59" i="21"/>
  <c r="AL35" i="21"/>
  <c r="AL27" i="21"/>
  <c r="AL38" i="21"/>
  <c r="AL78" i="21"/>
  <c r="AL62" i="21"/>
  <c r="AL46" i="21"/>
  <c r="AL30" i="21"/>
  <c r="AL14" i="21"/>
  <c r="AL103" i="21"/>
  <c r="AL87" i="21"/>
  <c r="AL71" i="21"/>
  <c r="AL55" i="21"/>
  <c r="AL39" i="21"/>
  <c r="AL15" i="21"/>
  <c r="AL108" i="21"/>
  <c r="AL60" i="21"/>
  <c r="AL44" i="21"/>
  <c r="AL85" i="21"/>
  <c r="AL69" i="21"/>
  <c r="AL13" i="21"/>
  <c r="AL88" i="21"/>
  <c r="AL80" i="21"/>
  <c r="AL72" i="21"/>
  <c r="AL56" i="21"/>
  <c r="AL24" i="21"/>
  <c r="AL16" i="21"/>
  <c r="AL97" i="21"/>
  <c r="AL89" i="21"/>
  <c r="AL81" i="21"/>
  <c r="AL73" i="21"/>
  <c r="AL33" i="21"/>
  <c r="AL25" i="21"/>
  <c r="AL17" i="21"/>
  <c r="AL104" i="21"/>
  <c r="AL11" i="21"/>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S38" i="8"/>
  <c r="R38" i="8"/>
  <c r="I4" i="8"/>
  <c r="B56" i="2"/>
  <c r="B131" i="2" s="1"/>
  <c r="K3" i="17"/>
  <c r="E563" i="17" s="1"/>
  <c r="B210" i="2"/>
  <c r="B214" i="2" s="1"/>
  <c r="B213" i="2"/>
  <c r="B9" i="8"/>
  <c r="B8" i="8" s="1"/>
  <c r="B7" i="8" s="1"/>
  <c r="B6" i="8" s="1"/>
  <c r="B4" i="8" s="1"/>
  <c r="B444" i="2"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58" i="2"/>
  <c r="B193" i="2"/>
  <c r="B416" i="2" s="1"/>
  <c r="B359" i="2"/>
  <c r="B230" i="2"/>
  <c r="B208" i="2"/>
  <c r="B23" i="2"/>
  <c r="B21" i="2"/>
  <c r="B22"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S11" i="8"/>
  <c r="B257" i="2" s="1"/>
  <c r="B418" i="2" s="1"/>
  <c r="C50" i="16"/>
  <c r="D50" i="16" s="1"/>
  <c r="B50" i="2"/>
  <c r="E62" i="1"/>
  <c r="B151" i="2" l="1"/>
  <c r="B148" i="2"/>
  <c r="B153" i="2"/>
  <c r="B152" i="2"/>
  <c r="B159" i="2"/>
  <c r="B158" i="2"/>
  <c r="B161" i="2"/>
  <c r="B113" i="2"/>
  <c r="B160" i="2"/>
  <c r="B69"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AN51" i="21" s="1"/>
  <c r="BE51" i="21" s="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AN83" i="21" s="1"/>
  <c r="BE83" i="21" s="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97" i="2"/>
  <c r="B101" i="2" s="1"/>
  <c r="B60" i="2"/>
  <c r="B67" i="2"/>
  <c r="B79" i="2"/>
  <c r="B225" i="2"/>
  <c r="B232" i="2"/>
  <c r="B224" i="2"/>
  <c r="AN9" i="21"/>
  <c r="S9" i="21"/>
  <c r="B111" i="2"/>
  <c r="E110" i="17"/>
  <c r="F329" i="17"/>
  <c r="E203" i="17"/>
  <c r="AF72" i="21"/>
  <c r="AF62" i="21"/>
  <c r="AF107" i="21"/>
  <c r="AF100" i="21"/>
  <c r="AF41" i="21"/>
  <c r="AF69" i="21"/>
  <c r="AF101" i="21"/>
  <c r="AF12" i="21"/>
  <c r="AF68" i="21"/>
  <c r="AF86" i="21"/>
  <c r="AF25" i="21"/>
  <c r="AF40" i="21"/>
  <c r="AF104" i="21"/>
  <c r="AF36" i="21"/>
  <c r="AF24" i="21"/>
  <c r="AF94" i="21"/>
  <c r="AF106" i="21"/>
  <c r="AF13" i="21"/>
  <c r="AF71" i="21"/>
  <c r="AF45" i="21"/>
  <c r="AF81" i="21"/>
  <c r="AF32" i="21"/>
  <c r="AF11" i="21"/>
  <c r="AF29" i="21"/>
  <c r="AF78" i="21"/>
  <c r="AF79" i="21"/>
  <c r="AF10" i="21"/>
  <c r="AF70" i="21"/>
  <c r="F64" i="17"/>
  <c r="AF35" i="21"/>
  <c r="AF51" i="21"/>
  <c r="AF83" i="21"/>
  <c r="AF34" i="21"/>
  <c r="AF50" i="21"/>
  <c r="AF66" i="21"/>
  <c r="AF98" i="21"/>
  <c r="AF84" i="2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V52" i="21"/>
  <c r="AJ52" i="21"/>
  <c r="V20" i="21"/>
  <c r="AJ20" i="21"/>
  <c r="V56" i="21"/>
  <c r="AJ56" i="21"/>
  <c r="V88" i="21"/>
  <c r="R88" i="21"/>
  <c r="AJ88" i="21"/>
  <c r="V61" i="21"/>
  <c r="R61" i="21"/>
  <c r="V64" i="21"/>
  <c r="R64" i="21"/>
  <c r="V89" i="21"/>
  <c r="R89" i="21"/>
  <c r="V67" i="21"/>
  <c r="R67" i="21"/>
  <c r="AJ67" i="21"/>
  <c r="V99" i="21"/>
  <c r="R99" i="21"/>
  <c r="V30" i="21"/>
  <c r="AJ30" i="21"/>
  <c r="R30" i="21"/>
  <c r="AJ35" i="21"/>
  <c r="R35" i="21"/>
  <c r="AJ84" i="21"/>
  <c r="AJ25" i="21"/>
  <c r="AJ24" i="21"/>
  <c r="R32" i="21"/>
  <c r="R29" i="21"/>
  <c r="V19" i="21"/>
  <c r="AJ19" i="21"/>
  <c r="V91" i="21"/>
  <c r="R91" i="21"/>
  <c r="AJ91" i="21"/>
  <c r="V21" i="21"/>
  <c r="AJ21" i="21"/>
  <c r="R21" i="21"/>
  <c r="V44" i="21"/>
  <c r="R44" i="21"/>
  <c r="AJ44" i="21"/>
  <c r="V23" i="21"/>
  <c r="AJ23" i="21"/>
  <c r="R23" i="21"/>
  <c r="V97" i="21"/>
  <c r="AJ97" i="21"/>
  <c r="R97" i="21"/>
  <c r="V51" i="21"/>
  <c r="AJ51" i="21"/>
  <c r="V42" i="21"/>
  <c r="AJ42" i="21"/>
  <c r="R42" i="21"/>
  <c r="V92" i="21"/>
  <c r="R92" i="21"/>
  <c r="AJ92" i="21"/>
  <c r="V95" i="21"/>
  <c r="AJ95" i="21"/>
  <c r="R95" i="21"/>
  <c r="V33" i="21"/>
  <c r="R33" i="21"/>
  <c r="AJ33" i="21"/>
  <c r="V48" i="21"/>
  <c r="R48" i="21"/>
  <c r="AJ48" i="21"/>
  <c r="V27" i="21"/>
  <c r="R27" i="21"/>
  <c r="AJ27" i="21"/>
  <c r="N43" i="21"/>
  <c r="V83" i="21"/>
  <c r="AJ83" i="21"/>
  <c r="V58" i="21"/>
  <c r="R58" i="21"/>
  <c r="AJ58" i="21"/>
  <c r="V54" i="21"/>
  <c r="AJ54" i="21"/>
  <c r="R54" i="21"/>
  <c r="V85" i="21"/>
  <c r="AJ85" i="21"/>
  <c r="R85" i="21"/>
  <c r="V60" i="21"/>
  <c r="R60" i="21"/>
  <c r="AJ60" i="21"/>
  <c r="V73" i="21"/>
  <c r="AJ73" i="21"/>
  <c r="R73" i="21"/>
  <c r="V15" i="21"/>
  <c r="AJ15" i="21"/>
  <c r="R15" i="21"/>
  <c r="V93" i="21"/>
  <c r="AJ93" i="21"/>
  <c r="R93" i="21"/>
  <c r="V55" i="21"/>
  <c r="AJ55" i="21"/>
  <c r="R55" i="21"/>
  <c r="V65" i="21"/>
  <c r="AJ65" i="21"/>
  <c r="R65" i="21"/>
  <c r="R19" i="21"/>
  <c r="V59" i="21"/>
  <c r="R59" i="21"/>
  <c r="AJ59" i="21"/>
  <c r="N75" i="21"/>
  <c r="V74" i="21"/>
  <c r="AJ74" i="21"/>
  <c r="R74" i="21"/>
  <c r="V90" i="21"/>
  <c r="AJ90" i="21"/>
  <c r="R90" i="21"/>
  <c r="V63" i="21"/>
  <c r="AJ63" i="21"/>
  <c r="R63" i="21"/>
  <c r="V53" i="21"/>
  <c r="AJ53" i="21"/>
  <c r="R53" i="21"/>
  <c r="V28" i="21"/>
  <c r="AJ28" i="21"/>
  <c r="R28" i="21"/>
  <c r="V87" i="21"/>
  <c r="R87" i="21"/>
  <c r="AJ87" i="21"/>
  <c r="AB35" i="21"/>
  <c r="AH35" i="21"/>
  <c r="Y35" i="21"/>
  <c r="AH67" i="21"/>
  <c r="AB67" i="21"/>
  <c r="Y67" i="21"/>
  <c r="AH99" i="21"/>
  <c r="AB99" i="21"/>
  <c r="Y99" i="21"/>
  <c r="R107" i="21"/>
  <c r="R34" i="21"/>
  <c r="AH50" i="21"/>
  <c r="AB50" i="21"/>
  <c r="Y50" i="21"/>
  <c r="AJ50" i="21"/>
  <c r="R66" i="21"/>
  <c r="R98" i="21"/>
  <c r="R106" i="21"/>
  <c r="R78" i="21"/>
  <c r="AJ13" i="21"/>
  <c r="AH29" i="21"/>
  <c r="Y29" i="21"/>
  <c r="AB29" i="21"/>
  <c r="N37" i="21"/>
  <c r="AJ45" i="21"/>
  <c r="AH61" i="21"/>
  <c r="Y61" i="21"/>
  <c r="AB61" i="21"/>
  <c r="AH69" i="21"/>
  <c r="Y69" i="21"/>
  <c r="AB69" i="21"/>
  <c r="AH101" i="21"/>
  <c r="Y101" i="21"/>
  <c r="AB101" i="21"/>
  <c r="AJ101" i="21"/>
  <c r="R20" i="21"/>
  <c r="AH36" i="21"/>
  <c r="AB36" i="21"/>
  <c r="Y36" i="21"/>
  <c r="R52" i="21"/>
  <c r="AH68" i="21"/>
  <c r="Y68" i="21"/>
  <c r="AB68" i="21"/>
  <c r="R84" i="21"/>
  <c r="AH100" i="21"/>
  <c r="Y100" i="21"/>
  <c r="AB100" i="21"/>
  <c r="AJ79" i="21"/>
  <c r="R10" i="21"/>
  <c r="AH86" i="21"/>
  <c r="AB86" i="21"/>
  <c r="Y86" i="21"/>
  <c r="AH12" i="21"/>
  <c r="Y12" i="21"/>
  <c r="AB12" i="21"/>
  <c r="R25" i="21"/>
  <c r="AH41" i="21"/>
  <c r="AB41" i="21"/>
  <c r="Y41" i="21"/>
  <c r="R57" i="21"/>
  <c r="N105" i="21"/>
  <c r="R24" i="21"/>
  <c r="AH40" i="21"/>
  <c r="AB40" i="21"/>
  <c r="Y40" i="21"/>
  <c r="R56" i="2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H66" i="21"/>
  <c r="AB66" i="21"/>
  <c r="Y66" i="21"/>
  <c r="AJ66" i="21"/>
  <c r="N82" i="21"/>
  <c r="AH98" i="21"/>
  <c r="AB98" i="21"/>
  <c r="Y98" i="21"/>
  <c r="AJ98" i="21"/>
  <c r="AH30" i="21"/>
  <c r="AB30" i="21"/>
  <c r="Y30" i="21"/>
  <c r="N102" i="21"/>
  <c r="AH13" i="21"/>
  <c r="Y13" i="21"/>
  <c r="AB13" i="21"/>
  <c r="AJ29" i="21"/>
  <c r="AH45" i="21"/>
  <c r="Y45" i="21"/>
  <c r="AB45" i="21"/>
  <c r="AJ61" i="21"/>
  <c r="R69" i="21"/>
  <c r="N77" i="21"/>
  <c r="R101" i="21"/>
  <c r="N109" i="21"/>
  <c r="AH20" i="21"/>
  <c r="AB20" i="21"/>
  <c r="Y20" i="21"/>
  <c r="R36" i="21"/>
  <c r="AH52" i="21"/>
  <c r="Y52" i="21"/>
  <c r="AB52" i="21"/>
  <c r="R68" i="21"/>
  <c r="N76" i="21"/>
  <c r="AH84" i="21"/>
  <c r="Y84" i="21"/>
  <c r="AB84" i="21"/>
  <c r="R100" i="21"/>
  <c r="N108" i="21"/>
  <c r="AH79" i="21"/>
  <c r="AB79" i="21"/>
  <c r="Y79" i="21"/>
  <c r="N22" i="21"/>
  <c r="AH70" i="21"/>
  <c r="AB70" i="21"/>
  <c r="Y70" i="21"/>
  <c r="AJ70" i="21"/>
  <c r="R12" i="21"/>
  <c r="N17" i="21"/>
  <c r="AH25" i="21"/>
  <c r="AB25" i="21"/>
  <c r="Y25" i="21"/>
  <c r="R41" i="21"/>
  <c r="N49" i="21"/>
  <c r="AH57" i="21"/>
  <c r="Y57" i="21"/>
  <c r="AB57" i="21"/>
  <c r="AH81" i="21"/>
  <c r="Y81" i="21"/>
  <c r="AB81" i="21"/>
  <c r="AH89" i="21"/>
  <c r="Y89" i="21"/>
  <c r="AB89" i="21"/>
  <c r="AJ89" i="21"/>
  <c r="N16" i="21"/>
  <c r="AH24" i="21"/>
  <c r="AB24" i="21"/>
  <c r="Y24" i="21"/>
  <c r="AJ32" i="21"/>
  <c r="R40" i="21"/>
  <c r="AH56" i="21"/>
  <c r="Y56" i="21"/>
  <c r="AB56" i="21"/>
  <c r="AJ64" i="21"/>
  <c r="R72" i="21"/>
  <c r="N80" i="21"/>
  <c r="AH88" i="21"/>
  <c r="Y88" i="21"/>
  <c r="AB88" i="21"/>
  <c r="AJ96" i="21"/>
  <c r="R104" i="21"/>
  <c r="R11" i="21"/>
  <c r="AH71" i="21"/>
  <c r="AB71" i="21"/>
  <c r="Y71" i="21"/>
  <c r="N14" i="21"/>
  <c r="R62" i="2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H21" i="21"/>
  <c r="Y21" i="21"/>
  <c r="AB21" i="21"/>
  <c r="R45" i="2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H95" i="21"/>
  <c r="AB95" i="21"/>
  <c r="Y95" i="21"/>
  <c r="AH10" i="21"/>
  <c r="AB10" i="21"/>
  <c r="Y10" i="21"/>
  <c r="AJ10" i="21"/>
  <c r="N46" i="21"/>
  <c r="R70" i="21"/>
  <c r="R86" i="21"/>
  <c r="AJ86" i="21"/>
  <c r="AJ12" i="21"/>
  <c r="AH33" i="21"/>
  <c r="Y33" i="21"/>
  <c r="AB33" i="21"/>
  <c r="AJ41" i="21"/>
  <c r="AH65" i="21"/>
  <c r="Y65" i="21"/>
  <c r="AB65" i="21"/>
  <c r="R81" i="21"/>
  <c r="AH32" i="21"/>
  <c r="AB32" i="21"/>
  <c r="Y32" i="21"/>
  <c r="AJ40" i="21"/>
  <c r="AH64" i="21"/>
  <c r="AB64" i="21"/>
  <c r="Y64" i="21"/>
  <c r="AJ72" i="21"/>
  <c r="AH96" i="21"/>
  <c r="AB96" i="21"/>
  <c r="Y96" i="21"/>
  <c r="AJ104" i="21"/>
  <c r="AB11" i="21"/>
  <c r="AH11" i="21"/>
  <c r="Y11" i="21"/>
  <c r="AH15" i="21"/>
  <c r="AB15" i="21"/>
  <c r="Y15" i="21"/>
  <c r="N31" i="21"/>
  <c r="R71" i="21"/>
  <c r="AH87" i="21"/>
  <c r="AB87" i="21"/>
  <c r="Y87" i="21"/>
  <c r="N103" i="21"/>
  <c r="N38" i="21"/>
  <c r="AH62" i="21"/>
  <c r="AB62" i="21"/>
  <c r="Y62" i="21"/>
  <c r="R94" i="21"/>
  <c r="AJ94" i="21"/>
  <c r="S37" i="8"/>
  <c r="R37" i="8"/>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211" i="2"/>
  <c r="B170"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F6" i="17"/>
  <c r="B276" i="2"/>
  <c r="B275" i="2"/>
  <c r="B277" i="2"/>
  <c r="B16" i="6"/>
  <c r="B17" i="6"/>
  <c r="B154" i="2" l="1"/>
  <c r="E66" i="1"/>
  <c r="B162" i="2"/>
  <c r="E623" i="17"/>
  <c r="P623" i="17"/>
  <c r="O623" i="17"/>
  <c r="B265" i="2"/>
  <c r="Q6" i="17"/>
  <c r="B135" i="2"/>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AN86" i="21"/>
  <c r="BE86" i="21" s="1"/>
  <c r="S86" i="21"/>
  <c r="AN101" i="21"/>
  <c r="BE101" i="21" s="1"/>
  <c r="S101" i="21"/>
  <c r="AN50" i="21"/>
  <c r="BE50" i="21" s="1"/>
  <c r="S50" i="21"/>
  <c r="AN57" i="21"/>
  <c r="BE57" i="21" s="1"/>
  <c r="S57" i="21"/>
  <c r="AN52" i="21"/>
  <c r="BE52" i="21" s="1"/>
  <c r="S52" i="21"/>
  <c r="AN66" i="21"/>
  <c r="BE66" i="21" s="1"/>
  <c r="S66" i="21"/>
  <c r="AN59" i="21"/>
  <c r="BE59" i="21" s="1"/>
  <c r="S59" i="21"/>
  <c r="AN54" i="21"/>
  <c r="BE54" i="21" s="1"/>
  <c r="S54" i="21"/>
  <c r="AN58" i="21"/>
  <c r="BE58" i="21" s="1"/>
  <c r="S58" i="21"/>
  <c r="AN42" i="21"/>
  <c r="BE42" i="21" s="1"/>
  <c r="S42" i="21"/>
  <c r="AN23" i="21"/>
  <c r="BE23" i="21" s="1"/>
  <c r="S23" i="21"/>
  <c r="AN44" i="21"/>
  <c r="BE44" i="21" s="1"/>
  <c r="S44" i="21"/>
  <c r="AN99" i="21"/>
  <c r="BE99" i="21" s="1"/>
  <c r="S99" i="21"/>
  <c r="AN96" i="21"/>
  <c r="BE96" i="21" s="1"/>
  <c r="S96" i="21"/>
  <c r="AN94" i="21"/>
  <c r="BE94" i="21" s="1"/>
  <c r="S94" i="21"/>
  <c r="AN62" i="21"/>
  <c r="BE62" i="21" s="1"/>
  <c r="S62" i="21"/>
  <c r="AN72" i="21"/>
  <c r="BE72" i="21" s="1"/>
  <c r="S72" i="21"/>
  <c r="AN87" i="21"/>
  <c r="BE87" i="21" s="1"/>
  <c r="S87" i="21"/>
  <c r="AN93" i="21"/>
  <c r="BE93" i="21" s="1"/>
  <c r="S93" i="21"/>
  <c r="AN48" i="21"/>
  <c r="BE48" i="21" s="1"/>
  <c r="S48" i="21"/>
  <c r="AN97" i="21"/>
  <c r="BE97" i="21" s="1"/>
  <c r="S97" i="21"/>
  <c r="AN30" i="21"/>
  <c r="BE30" i="21" s="1"/>
  <c r="S30" i="21"/>
  <c r="AN61" i="21"/>
  <c r="BE61" i="21" s="1"/>
  <c r="S61" i="21"/>
  <c r="AN71" i="21"/>
  <c r="BE71" i="21" s="1"/>
  <c r="S71" i="21"/>
  <c r="AN81" i="21"/>
  <c r="BE81" i="21" s="1"/>
  <c r="S81" i="21"/>
  <c r="AN79" i="21"/>
  <c r="BE79" i="21" s="1"/>
  <c r="S79" i="21"/>
  <c r="AN11" i="21"/>
  <c r="BE11" i="21" s="1"/>
  <c r="S11" i="21"/>
  <c r="AN40" i="21"/>
  <c r="BE40" i="21" s="1"/>
  <c r="S40" i="21"/>
  <c r="AN100" i="21"/>
  <c r="BE100" i="21" s="1"/>
  <c r="S100" i="21"/>
  <c r="AN69" i="21"/>
  <c r="BE69" i="21" s="1"/>
  <c r="S69" i="21"/>
  <c r="AN56" i="21"/>
  <c r="BE56" i="21" s="1"/>
  <c r="S56" i="21"/>
  <c r="AN24" i="21"/>
  <c r="BE24" i="21" s="1"/>
  <c r="S24" i="21"/>
  <c r="AN106" i="21"/>
  <c r="BE106" i="21" s="1"/>
  <c r="S106" i="21"/>
  <c r="AN107" i="21"/>
  <c r="BE107" i="21" s="1"/>
  <c r="S107" i="21"/>
  <c r="AN53" i="21"/>
  <c r="BE53" i="21" s="1"/>
  <c r="S53" i="21"/>
  <c r="AN19" i="21"/>
  <c r="BE19" i="21" s="1"/>
  <c r="S19" i="21"/>
  <c r="AN55" i="21"/>
  <c r="BE55" i="21" s="1"/>
  <c r="S55" i="21"/>
  <c r="AN27" i="21"/>
  <c r="BE27" i="21" s="1"/>
  <c r="S27" i="21"/>
  <c r="AN95" i="21"/>
  <c r="BE95" i="21" s="1"/>
  <c r="S95" i="21"/>
  <c r="AN92" i="21"/>
  <c r="BE92" i="21" s="1"/>
  <c r="S92" i="21"/>
  <c r="AN21" i="21"/>
  <c r="BE21" i="21" s="1"/>
  <c r="S21" i="21"/>
  <c r="AN91" i="21"/>
  <c r="BE91" i="21" s="1"/>
  <c r="S91" i="21"/>
  <c r="AN29" i="21"/>
  <c r="BE29" i="21" s="1"/>
  <c r="S29" i="21"/>
  <c r="AN12" i="21"/>
  <c r="BE12" i="21" s="1"/>
  <c r="S12" i="21"/>
  <c r="AN25" i="21"/>
  <c r="BE25" i="21" s="1"/>
  <c r="S25" i="21"/>
  <c r="AN84" i="21"/>
  <c r="BE84" i="21" s="1"/>
  <c r="S84" i="21"/>
  <c r="AN20" i="21"/>
  <c r="BE20" i="21" s="1"/>
  <c r="S20" i="21"/>
  <c r="AN90" i="21"/>
  <c r="BE90" i="21" s="1"/>
  <c r="S90" i="21"/>
  <c r="AN15" i="21"/>
  <c r="BE15" i="21" s="1"/>
  <c r="S15" i="21"/>
  <c r="AN33" i="21"/>
  <c r="BE33" i="21" s="1"/>
  <c r="S33" i="21"/>
  <c r="AN88" i="21"/>
  <c r="BE88" i="21" s="1"/>
  <c r="S88" i="21"/>
  <c r="AN70" i="21"/>
  <c r="BE70" i="21" s="1"/>
  <c r="S70" i="21"/>
  <c r="AN45" i="21"/>
  <c r="BE45" i="21" s="1"/>
  <c r="S45" i="21"/>
  <c r="AN13" i="21"/>
  <c r="BE13" i="21" s="1"/>
  <c r="S13" i="21"/>
  <c r="AN78" i="21"/>
  <c r="BE78" i="21" s="1"/>
  <c r="S78" i="21"/>
  <c r="AN34" i="21"/>
  <c r="BE34" i="21" s="1"/>
  <c r="S34" i="21"/>
  <c r="AN63" i="21"/>
  <c r="BE63" i="21" s="1"/>
  <c r="S63" i="21"/>
  <c r="AN85" i="21"/>
  <c r="BE85" i="21" s="1"/>
  <c r="S85" i="21"/>
  <c r="AN89" i="21"/>
  <c r="BE89" i="21" s="1"/>
  <c r="S89" i="21"/>
  <c r="AN104" i="21"/>
  <c r="BE104" i="21" s="1"/>
  <c r="S104" i="21"/>
  <c r="AN41" i="21"/>
  <c r="BE41" i="21" s="1"/>
  <c r="S41" i="21"/>
  <c r="AN68" i="21"/>
  <c r="BE68" i="21" s="1"/>
  <c r="S68" i="21"/>
  <c r="AN36" i="21"/>
  <c r="BE36" i="21" s="1"/>
  <c r="S36" i="21"/>
  <c r="AN10" i="21"/>
  <c r="BE10" i="21" s="1"/>
  <c r="S10" i="21"/>
  <c r="AN98" i="21"/>
  <c r="BE98" i="21" s="1"/>
  <c r="S98" i="21"/>
  <c r="AN28" i="21"/>
  <c r="BE28" i="21" s="1"/>
  <c r="S28" i="21"/>
  <c r="AN74" i="21"/>
  <c r="BE74" i="21" s="1"/>
  <c r="S74" i="21"/>
  <c r="AN65" i="21"/>
  <c r="BE65" i="21" s="1"/>
  <c r="S65" i="21"/>
  <c r="AN73" i="21"/>
  <c r="BE73" i="21" s="1"/>
  <c r="S73" i="21"/>
  <c r="AN60" i="21"/>
  <c r="BE60" i="21" s="1"/>
  <c r="S60" i="21"/>
  <c r="AN32" i="21"/>
  <c r="BE32" i="21" s="1"/>
  <c r="S32" i="21"/>
  <c r="AN35" i="21"/>
  <c r="BE35" i="21" s="1"/>
  <c r="S35" i="21"/>
  <c r="AN67" i="21"/>
  <c r="BE67" i="21" s="1"/>
  <c r="S67" i="21"/>
  <c r="AN64" i="21"/>
  <c r="BE64" i="21" s="1"/>
  <c r="S64" i="21"/>
  <c r="AH76" i="21"/>
  <c r="AF76" i="21"/>
  <c r="AB18" i="21"/>
  <c r="AF18" i="21"/>
  <c r="AB75" i="21"/>
  <c r="AF75" i="21"/>
  <c r="Y39" i="21"/>
  <c r="AF39" i="21"/>
  <c r="Y105" i="21"/>
  <c r="AF105" i="21"/>
  <c r="AB37" i="21"/>
  <c r="AF37" i="21"/>
  <c r="AB43" i="21"/>
  <c r="AF43" i="21"/>
  <c r="Y14" i="21"/>
  <c r="AF14" i="21"/>
  <c r="AH49" i="21"/>
  <c r="AF49" i="21"/>
  <c r="AH47" i="21"/>
  <c r="AF47" i="21"/>
  <c r="AH31" i="21"/>
  <c r="AF31" i="21"/>
  <c r="AH38" i="21"/>
  <c r="AF38" i="21"/>
  <c r="AH22" i="21"/>
  <c r="AF22" i="21"/>
  <c r="AH108" i="21"/>
  <c r="AF108" i="21"/>
  <c r="AH77" i="21"/>
  <c r="AF77" i="21"/>
  <c r="AB26" i="21"/>
  <c r="AF26" i="21"/>
  <c r="AH75" i="21"/>
  <c r="Y75" i="21"/>
  <c r="V103" i="21"/>
  <c r="AJ103" i="21"/>
  <c r="R103" i="21"/>
  <c r="V46" i="21"/>
  <c r="AJ46" i="21"/>
  <c r="R46" i="21"/>
  <c r="V16" i="21"/>
  <c r="R16" i="21"/>
  <c r="AJ16" i="21"/>
  <c r="V17" i="21"/>
  <c r="R17" i="21"/>
  <c r="AJ17" i="21"/>
  <c r="V109" i="21"/>
  <c r="AJ109" i="21"/>
  <c r="R109" i="21"/>
  <c r="V102" i="21"/>
  <c r="R102" i="21"/>
  <c r="AJ102" i="21"/>
  <c r="V82" i="21"/>
  <c r="R82" i="21"/>
  <c r="AJ82" i="21"/>
  <c r="Y16" i="21"/>
  <c r="Y49" i="21"/>
  <c r="AH17" i="21"/>
  <c r="AB76" i="21"/>
  <c r="Y109" i="21"/>
  <c r="Y26" i="21"/>
  <c r="AH14" i="21"/>
  <c r="AB102" i="21"/>
  <c r="AH18" i="21"/>
  <c r="Y38" i="21"/>
  <c r="AB105" i="21"/>
  <c r="Y22" i="21"/>
  <c r="Y43" i="21"/>
  <c r="V31" i="21"/>
  <c r="R31" i="21"/>
  <c r="AJ31" i="21"/>
  <c r="V39" i="21"/>
  <c r="R39" i="21"/>
  <c r="AJ39" i="21"/>
  <c r="Y46" i="21"/>
  <c r="V80" i="21"/>
  <c r="R80" i="21"/>
  <c r="AJ80" i="21"/>
  <c r="Y103" i="21"/>
  <c r="AB16" i="21"/>
  <c r="Y76" i="21"/>
  <c r="AH109" i="21"/>
  <c r="AB31" i="21"/>
  <c r="AH39" i="21"/>
  <c r="AH102" i="21"/>
  <c r="Y82" i="21"/>
  <c r="Y80" i="21"/>
  <c r="AH43" i="21"/>
  <c r="AB46" i="21"/>
  <c r="V22" i="21"/>
  <c r="AJ22" i="21"/>
  <c r="R22" i="21"/>
  <c r="V108" i="21"/>
  <c r="R108" i="21"/>
  <c r="AJ108" i="21"/>
  <c r="V77" i="21"/>
  <c r="R77" i="21"/>
  <c r="AJ77" i="21"/>
  <c r="V26" i="21"/>
  <c r="R26" i="21"/>
  <c r="AJ26" i="21"/>
  <c r="AB103" i="21"/>
  <c r="AH16" i="21"/>
  <c r="AB17" i="21"/>
  <c r="AB77" i="21"/>
  <c r="AH26" i="21"/>
  <c r="V47" i="21"/>
  <c r="AJ47" i="21"/>
  <c r="R47" i="21"/>
  <c r="V105" i="21"/>
  <c r="R105" i="21"/>
  <c r="AJ105" i="21"/>
  <c r="AB39" i="21"/>
  <c r="V37" i="21"/>
  <c r="AJ37" i="21"/>
  <c r="R37" i="21"/>
  <c r="AB82" i="21"/>
  <c r="Y47" i="21"/>
  <c r="AB80" i="21"/>
  <c r="AH105" i="21"/>
  <c r="AB108" i="21"/>
  <c r="Y37" i="21"/>
  <c r="V75" i="21"/>
  <c r="AJ75" i="21"/>
  <c r="R75" i="21"/>
  <c r="V38" i="21"/>
  <c r="AJ38" i="21"/>
  <c r="R38" i="21"/>
  <c r="AH46" i="21"/>
  <c r="V14" i="21"/>
  <c r="R14" i="21"/>
  <c r="AJ14" i="21"/>
  <c r="V49" i="21"/>
  <c r="R49" i="21"/>
  <c r="AJ49" i="21"/>
  <c r="V76" i="21"/>
  <c r="R76" i="21"/>
  <c r="AJ76" i="21"/>
  <c r="V18" i="21"/>
  <c r="AJ18" i="21"/>
  <c r="R18" i="21"/>
  <c r="AH103" i="21"/>
  <c r="AB49" i="21"/>
  <c r="Y17" i="21"/>
  <c r="AB109" i="21"/>
  <c r="Y77" i="21"/>
  <c r="AB14" i="21"/>
  <c r="Y31" i="21"/>
  <c r="Y102" i="21"/>
  <c r="AH82" i="21"/>
  <c r="Y18" i="21"/>
  <c r="AB38" i="21"/>
  <c r="AB47" i="21"/>
  <c r="AH80" i="21"/>
  <c r="AB22" i="21"/>
  <c r="Y108" i="21"/>
  <c r="AH37" i="21"/>
  <c r="V43" i="21"/>
  <c r="AJ43" i="21"/>
  <c r="R43" i="21"/>
  <c r="F623" i="17"/>
  <c r="B90" i="2"/>
  <c r="B107" i="2"/>
  <c r="B105" i="2"/>
  <c r="E20" i="1" s="1"/>
  <c r="B368" i="2"/>
  <c r="B369" i="2" s="1"/>
  <c r="A418" i="2" l="1"/>
  <c r="E67" i="1"/>
  <c r="C52" i="16"/>
  <c r="D52" i="16" s="1"/>
  <c r="B138" i="2"/>
  <c r="E48" i="1" s="1"/>
  <c r="Q4" i="17"/>
  <c r="Q623" i="17" s="1"/>
  <c r="AN49" i="21"/>
  <c r="BE49" i="21" s="1"/>
  <c r="S49" i="21"/>
  <c r="AN18" i="21"/>
  <c r="BE18" i="21" s="1"/>
  <c r="S18" i="21"/>
  <c r="AN80" i="21"/>
  <c r="BE80" i="21" s="1"/>
  <c r="S80" i="21"/>
  <c r="AN17" i="21"/>
  <c r="BE17" i="21" s="1"/>
  <c r="S17" i="21"/>
  <c r="AN43" i="21"/>
  <c r="BE43" i="21" s="1"/>
  <c r="S43" i="21"/>
  <c r="AN38" i="21"/>
  <c r="BE38" i="21" s="1"/>
  <c r="S38" i="21"/>
  <c r="AN37" i="21"/>
  <c r="BE37" i="21" s="1"/>
  <c r="S37" i="21"/>
  <c r="AN26" i="21"/>
  <c r="BE26" i="21" s="1"/>
  <c r="S26" i="21"/>
  <c r="AN22" i="21"/>
  <c r="BE22" i="21" s="1"/>
  <c r="S22" i="21"/>
  <c r="AN46" i="21"/>
  <c r="BE46" i="21" s="1"/>
  <c r="S46" i="21"/>
  <c r="AN108" i="21"/>
  <c r="BE108" i="21" s="1"/>
  <c r="S108" i="21"/>
  <c r="AN31" i="21"/>
  <c r="BE31" i="21" s="1"/>
  <c r="S31" i="21"/>
  <c r="AN82" i="21"/>
  <c r="BE82" i="21" s="1"/>
  <c r="S82" i="21"/>
  <c r="AN16" i="21"/>
  <c r="BE16" i="21" s="1"/>
  <c r="S16" i="21"/>
  <c r="AN76" i="21"/>
  <c r="BE76" i="21" s="1"/>
  <c r="S76" i="21"/>
  <c r="AN75" i="21"/>
  <c r="BE75" i="21" s="1"/>
  <c r="S75" i="21"/>
  <c r="AN47" i="21"/>
  <c r="BE47" i="21" s="1"/>
  <c r="S47" i="21"/>
  <c r="U47" i="21" s="1"/>
  <c r="AN77" i="21"/>
  <c r="BE77" i="21" s="1"/>
  <c r="S77" i="21"/>
  <c r="AN39" i="21"/>
  <c r="BE39" i="21" s="1"/>
  <c r="S39" i="21"/>
  <c r="AN109" i="21"/>
  <c r="BE109" i="21" s="1"/>
  <c r="S109" i="21"/>
  <c r="U109" i="21" s="1"/>
  <c r="AN103" i="21"/>
  <c r="BE103" i="21" s="1"/>
  <c r="S103" i="21"/>
  <c r="AN14" i="21"/>
  <c r="BE14" i="21" s="1"/>
  <c r="S14" i="21"/>
  <c r="AN105" i="21"/>
  <c r="BE105" i="21" s="1"/>
  <c r="S105" i="21"/>
  <c r="U105" i="21" s="1"/>
  <c r="AN102" i="21"/>
  <c r="BE102" i="21" s="1"/>
  <c r="S102" i="21"/>
  <c r="B89" i="2"/>
  <c r="B92" i="2" s="1"/>
  <c r="E17" i="1" s="1"/>
  <c r="B106" i="2"/>
  <c r="B88" i="2"/>
  <c r="B63" i="2"/>
  <c r="AC77" i="21"/>
  <c r="AG77" i="21" s="1"/>
  <c r="AC11" i="21"/>
  <c r="AG11" i="21" s="1"/>
  <c r="AC86" i="21"/>
  <c r="AG86" i="21" s="1"/>
  <c r="AI56" i="21"/>
  <c r="Z81" i="21"/>
  <c r="AA81" i="21" s="1"/>
  <c r="U90" i="21"/>
  <c r="AC21" i="21"/>
  <c r="AG21" i="21" s="1"/>
  <c r="Z85" i="21"/>
  <c r="AA85" i="2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55" i="2"/>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3"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22" i="2" l="1"/>
  <c r="U3" i="17" s="1"/>
  <c r="Q13" i="17"/>
  <c r="Q568" i="17"/>
  <c r="Q509" i="17"/>
  <c r="Q456" i="17"/>
  <c r="Q361" i="17"/>
  <c r="Q299" i="17"/>
  <c r="Q439" i="17"/>
  <c r="Q597" i="17"/>
  <c r="Q101" i="17"/>
  <c r="Q243" i="17"/>
  <c r="Q303" i="17"/>
  <c r="Q321" i="17"/>
  <c r="Q582" i="17"/>
  <c r="Q475" i="17"/>
  <c r="Q36" i="17"/>
  <c r="Q181" i="17"/>
  <c r="Q128" i="17"/>
  <c r="Q244" i="17"/>
  <c r="Q474" i="17"/>
  <c r="Q178" i="17"/>
  <c r="R626" i="17"/>
  <c r="R623" i="17"/>
  <c r="Q337" i="17"/>
  <c r="Q511" i="17"/>
  <c r="Q587" i="17"/>
  <c r="Q278" i="17"/>
  <c r="Q145" i="17"/>
  <c r="Q414" i="17"/>
  <c r="Q118" i="17"/>
  <c r="Q609" i="17"/>
  <c r="Q218" i="17"/>
  <c r="Q23" i="17"/>
  <c r="Q626" i="17"/>
  <c r="Q133" i="17"/>
  <c r="Q58" i="17"/>
  <c r="Q224" i="17"/>
  <c r="Q358" i="17"/>
  <c r="Q88" i="17"/>
  <c r="Q546" i="17"/>
  <c r="Q428" i="17"/>
  <c r="Q105" i="17"/>
  <c r="Q194" i="17"/>
  <c r="Q499" i="17"/>
  <c r="Q421" i="17"/>
  <c r="Q99" i="17"/>
  <c r="Q14" i="17"/>
  <c r="Q592" i="17"/>
  <c r="Q239" i="17"/>
  <c r="Q209" i="17"/>
  <c r="Q216" i="17"/>
  <c r="Q235" i="17"/>
  <c r="Q152" i="17"/>
  <c r="Q351" i="17"/>
  <c r="Q561" i="17"/>
  <c r="Q240" i="17"/>
  <c r="Q529" i="17"/>
  <c r="Q331" i="17"/>
  <c r="Q280" i="17"/>
  <c r="Q288" i="17"/>
  <c r="Q347" i="17"/>
  <c r="Q481" i="17"/>
  <c r="Q418" i="17"/>
  <c r="Q365" i="17"/>
  <c r="Q130" i="17"/>
  <c r="Q400" i="17"/>
  <c r="Q160" i="17"/>
  <c r="Q375" i="17"/>
  <c r="Q606" i="17"/>
  <c r="Q350" i="17"/>
  <c r="Q553" i="17"/>
  <c r="Q297" i="17"/>
  <c r="Q64" i="17"/>
  <c r="Q594" i="17"/>
  <c r="Q525" i="17"/>
  <c r="Q20" i="17"/>
  <c r="Q604" i="17"/>
  <c r="Q412" i="17"/>
  <c r="Q435" i="17"/>
  <c r="Q173" i="17"/>
  <c r="Q410" i="17"/>
  <c r="Q89" i="17"/>
  <c r="Q357" i="17"/>
  <c r="Q124" i="17"/>
  <c r="Q50" i="17"/>
  <c r="Q126" i="17"/>
  <c r="Q35" i="17"/>
  <c r="Q484" i="17"/>
  <c r="Q559" i="17"/>
  <c r="Q390" i="17"/>
  <c r="Q392" i="17"/>
  <c r="Q555" i="17"/>
  <c r="Q438" i="17"/>
  <c r="Q200" i="17"/>
  <c r="Q223" i="17"/>
  <c r="Q305" i="17"/>
  <c r="Q591" i="17"/>
  <c r="Q40" i="17"/>
  <c r="Q502" i="17"/>
  <c r="Q588" i="17"/>
  <c r="Q572" i="17"/>
  <c r="Q219" i="17"/>
  <c r="Q225" i="17"/>
  <c r="Q306" i="17"/>
  <c r="Q237" i="17"/>
  <c r="Q532" i="17"/>
  <c r="Q613" i="17"/>
  <c r="Q567" i="17"/>
  <c r="Q311" i="17"/>
  <c r="Q542" i="17"/>
  <c r="Q286" i="17"/>
  <c r="Q489" i="17"/>
  <c r="Q233" i="17"/>
  <c r="Q175" i="17"/>
  <c r="Q466" i="17"/>
  <c r="Q413" i="17"/>
  <c r="Q98" i="17"/>
  <c r="Q384" i="17"/>
  <c r="Q97" i="17"/>
  <c r="Q371" i="17"/>
  <c r="Q602" i="17"/>
  <c r="Q346" i="17"/>
  <c r="Q549" i="17"/>
  <c r="Q293" i="17"/>
  <c r="Q60" i="17"/>
  <c r="Q151" i="17"/>
  <c r="Q62" i="17"/>
  <c r="Q138" i="17"/>
  <c r="Q228" i="17"/>
  <c r="Q495" i="17"/>
  <c r="Q262" i="17"/>
  <c r="Q340" i="17"/>
  <c r="Q491" i="17"/>
  <c r="Q310" i="17"/>
  <c r="Q408" i="17"/>
  <c r="Q72" i="17"/>
  <c r="Q335" i="17"/>
  <c r="Q352" i="17"/>
  <c r="Q449" i="17"/>
  <c r="Q479" i="17"/>
  <c r="Q603" i="17"/>
  <c r="Q534" i="17"/>
  <c r="Q95" i="17"/>
  <c r="Q172" i="17"/>
  <c r="Q148" i="17"/>
  <c r="Q260" i="17"/>
  <c r="Q516" i="17"/>
  <c r="Q503" i="17"/>
  <c r="Q247" i="17"/>
  <c r="Q478" i="17"/>
  <c r="Q222" i="17"/>
  <c r="Q425" i="17"/>
  <c r="Q149" i="17"/>
  <c r="Q47" i="17"/>
  <c r="Q338" i="17"/>
  <c r="Q285" i="17"/>
  <c r="Q500" i="17"/>
  <c r="Q605" i="17"/>
  <c r="Q563" i="17"/>
  <c r="Q307" i="17"/>
  <c r="Q538" i="17"/>
  <c r="Q282" i="17"/>
  <c r="Q485" i="17"/>
  <c r="Q229" i="17"/>
  <c r="Q139" i="17"/>
  <c r="Q87" i="17"/>
  <c r="Q163" i="17"/>
  <c r="Q74" i="17"/>
  <c r="Q548" i="17"/>
  <c r="Q396" i="17"/>
  <c r="Q431" i="17"/>
  <c r="Q165" i="17"/>
  <c r="Q593" i="17"/>
  <c r="Q104" i="17"/>
  <c r="Q424" i="17"/>
  <c r="Q508" i="17"/>
  <c r="Q427" i="17"/>
  <c r="Q157" i="17"/>
  <c r="Q180" i="17"/>
  <c r="Q24" i="17"/>
  <c r="Q292" i="17"/>
  <c r="Q460" i="17"/>
  <c r="Q447" i="17"/>
  <c r="Q319" i="17"/>
  <c r="Q191" i="17"/>
  <c r="Q550" i="17"/>
  <c r="Q294" i="17"/>
  <c r="Q497" i="17"/>
  <c r="Q241" i="17"/>
  <c r="Q127" i="17"/>
  <c r="Q356" i="17"/>
  <c r="Q264" i="17"/>
  <c r="Q527" i="17"/>
  <c r="Q271" i="17"/>
  <c r="Q454" i="17"/>
  <c r="Q401" i="17"/>
  <c r="Q102" i="17"/>
  <c r="Q536" i="17"/>
  <c r="Q523" i="17"/>
  <c r="Q267" i="17"/>
  <c r="Q374" i="17"/>
  <c r="Q385" i="17"/>
  <c r="Q31" i="17"/>
  <c r="Q432" i="17"/>
  <c r="Q332" i="17"/>
  <c r="Q580" i="17"/>
  <c r="Q232" i="17"/>
  <c r="Q113" i="17"/>
  <c r="Q444" i="17"/>
  <c r="Q571" i="17"/>
  <c r="Q443" i="17"/>
  <c r="Q315" i="17"/>
  <c r="Q187" i="17"/>
  <c r="Q470" i="17"/>
  <c r="Q214" i="17"/>
  <c r="Q417" i="17"/>
  <c r="Q117" i="17"/>
  <c r="Q134" i="17"/>
  <c r="Q514" i="17"/>
  <c r="Q386" i="17"/>
  <c r="Q258" i="17"/>
  <c r="Q57" i="17"/>
  <c r="Q461" i="17"/>
  <c r="Q333" i="17"/>
  <c r="Q205" i="17"/>
  <c r="Q116" i="17"/>
  <c r="Q155" i="17"/>
  <c r="Q66" i="17"/>
  <c r="Q452" i="17"/>
  <c r="Q196" i="17"/>
  <c r="Q601" i="17"/>
  <c r="Q336" i="17"/>
  <c r="Q488" i="17"/>
  <c r="Q608" i="17"/>
  <c r="Q364" i="17"/>
  <c r="Q551" i="17"/>
  <c r="Q487" i="17"/>
  <c r="Q423" i="17"/>
  <c r="Q359" i="17"/>
  <c r="Q295" i="17"/>
  <c r="Q231" i="17"/>
  <c r="Q141" i="17"/>
  <c r="Q590" i="17"/>
  <c r="Q526" i="17"/>
  <c r="Q462" i="17"/>
  <c r="Q398" i="17"/>
  <c r="Q334" i="17"/>
  <c r="Q270" i="17"/>
  <c r="Q206" i="17"/>
  <c r="Q41" i="17"/>
  <c r="Q537" i="17"/>
  <c r="Q473" i="17"/>
  <c r="Q409" i="17"/>
  <c r="Q345" i="17"/>
  <c r="Q281" i="17"/>
  <c r="Q217" i="17"/>
  <c r="Q85" i="17"/>
  <c r="Q112" i="17"/>
  <c r="Q48" i="17"/>
  <c r="Q143" i="17"/>
  <c r="Q15" i="17"/>
  <c r="Q86" i="17"/>
  <c r="Q562" i="17"/>
  <c r="Q434" i="17"/>
  <c r="Q290" i="17"/>
  <c r="Q121" i="17"/>
  <c r="Q493" i="17"/>
  <c r="Q381" i="17"/>
  <c r="Q253" i="17"/>
  <c r="Q132" i="17"/>
  <c r="Q123" i="17"/>
  <c r="Q34" i="17"/>
  <c r="Q436" i="17"/>
  <c r="Q176" i="17"/>
  <c r="Q576" i="17"/>
  <c r="Q320" i="17"/>
  <c r="Q440" i="17"/>
  <c r="Q600" i="17"/>
  <c r="Q348" i="17"/>
  <c r="Q611" i="17"/>
  <c r="Q547" i="17"/>
  <c r="Q483" i="17"/>
  <c r="Q419" i="17"/>
  <c r="Q355" i="17"/>
  <c r="Q291" i="17"/>
  <c r="Q227" i="17"/>
  <c r="Q125" i="17"/>
  <c r="Q586" i="17"/>
  <c r="Q522" i="17"/>
  <c r="Q458" i="17"/>
  <c r="Q394" i="17"/>
  <c r="Q330" i="17"/>
  <c r="Q266" i="17"/>
  <c r="Q202" i="17"/>
  <c r="Q25" i="17"/>
  <c r="Q533" i="17"/>
  <c r="Q469" i="17"/>
  <c r="Q405" i="17"/>
  <c r="Q341" i="17"/>
  <c r="Q277" i="17"/>
  <c r="Q213" i="17"/>
  <c r="Q69" i="17"/>
  <c r="Q108" i="17"/>
  <c r="Q44" i="17"/>
  <c r="Q107" i="17"/>
  <c r="Q146" i="17"/>
  <c r="Q18" i="17"/>
  <c r="Q135" i="17"/>
  <c r="Q71" i="17"/>
  <c r="Q174" i="17"/>
  <c r="Q110" i="17"/>
  <c r="Q46" i="17"/>
  <c r="Q147" i="17"/>
  <c r="Q83" i="17"/>
  <c r="Q19" i="17"/>
  <c r="Q122" i="17"/>
  <c r="R18" i="17"/>
  <c r="R34" i="17"/>
  <c r="R50" i="17"/>
  <c r="R66" i="17"/>
  <c r="R82" i="17"/>
  <c r="R98" i="17"/>
  <c r="R114" i="17"/>
  <c r="R130" i="17"/>
  <c r="R146" i="17"/>
  <c r="R162" i="17"/>
  <c r="R178" i="17"/>
  <c r="R194" i="17"/>
  <c r="R210" i="17"/>
  <c r="R15" i="17"/>
  <c r="R31" i="17"/>
  <c r="R47" i="17"/>
  <c r="R63" i="17"/>
  <c r="R79" i="17"/>
  <c r="R95" i="17"/>
  <c r="R111" i="17"/>
  <c r="R127" i="17"/>
  <c r="R143" i="17"/>
  <c r="R159" i="17"/>
  <c r="R175" i="17"/>
  <c r="R191" i="17"/>
  <c r="R207" i="17"/>
  <c r="R223" i="17"/>
  <c r="R239" i="17"/>
  <c r="R255" i="17"/>
  <c r="R271" i="17"/>
  <c r="R287" i="17"/>
  <c r="R24" i="17"/>
  <c r="R40" i="17"/>
  <c r="R56" i="17"/>
  <c r="R72" i="17"/>
  <c r="R88" i="17"/>
  <c r="R104" i="17"/>
  <c r="R120" i="17"/>
  <c r="R136" i="17"/>
  <c r="R152" i="17"/>
  <c r="R168" i="17"/>
  <c r="R184" i="17"/>
  <c r="R200" i="17"/>
  <c r="R216" i="17"/>
  <c r="R232" i="17"/>
  <c r="R248" i="17"/>
  <c r="R264" i="17"/>
  <c r="R280" i="17"/>
  <c r="R65" i="17"/>
  <c r="R129" i="17"/>
  <c r="R193" i="17"/>
  <c r="R241" i="17"/>
  <c r="R273" i="17"/>
  <c r="R299" i="17"/>
  <c r="R315" i="17"/>
  <c r="R331" i="17"/>
  <c r="R347" i="17"/>
  <c r="R22" i="17"/>
  <c r="R38" i="17"/>
  <c r="R54" i="17"/>
  <c r="R70" i="17"/>
  <c r="R86" i="17"/>
  <c r="R102" i="17"/>
  <c r="R118" i="17"/>
  <c r="R134" i="17"/>
  <c r="R150" i="17"/>
  <c r="R166" i="17"/>
  <c r="R182" i="17"/>
  <c r="R198" i="17"/>
  <c r="R214" i="17"/>
  <c r="R19" i="17"/>
  <c r="R35" i="17"/>
  <c r="R51" i="17"/>
  <c r="R67" i="17"/>
  <c r="R83" i="17"/>
  <c r="R99" i="17"/>
  <c r="R115" i="17"/>
  <c r="R131" i="17"/>
  <c r="R147" i="17"/>
  <c r="R163" i="17"/>
  <c r="R179" i="17"/>
  <c r="R195" i="17"/>
  <c r="R211" i="17"/>
  <c r="R227" i="17"/>
  <c r="R243" i="17"/>
  <c r="R259" i="17"/>
  <c r="R275" i="17"/>
  <c r="R291" i="17"/>
  <c r="R28" i="17"/>
  <c r="R44" i="17"/>
  <c r="R60" i="17"/>
  <c r="R76" i="17"/>
  <c r="R92" i="17"/>
  <c r="R108" i="17"/>
  <c r="R124" i="17"/>
  <c r="R140" i="17"/>
  <c r="R156" i="17"/>
  <c r="R172" i="17"/>
  <c r="R188" i="17"/>
  <c r="R204" i="17"/>
  <c r="R220" i="17"/>
  <c r="R236" i="17"/>
  <c r="R252" i="17"/>
  <c r="R268" i="17"/>
  <c r="R284" i="17"/>
  <c r="R17" i="17"/>
  <c r="R81" i="17"/>
  <c r="R145" i="17"/>
  <c r="R209" i="17"/>
  <c r="R249" i="17"/>
  <c r="R281" i="17"/>
  <c r="R303" i="17"/>
  <c r="R319" i="17"/>
  <c r="R335" i="17"/>
  <c r="R351" i="17"/>
  <c r="R367" i="17"/>
  <c r="R383" i="17"/>
  <c r="R399" i="17"/>
  <c r="R415" i="17"/>
  <c r="R431" i="17"/>
  <c r="R447" i="17"/>
  <c r="R463" i="17"/>
  <c r="R479" i="17"/>
  <c r="R495" i="17"/>
  <c r="R511" i="17"/>
  <c r="R527" i="17"/>
  <c r="R543" i="17"/>
  <c r="R559" i="17"/>
  <c r="R575" i="17"/>
  <c r="R26" i="17"/>
  <c r="R58" i="17"/>
  <c r="R90" i="17"/>
  <c r="R122" i="17"/>
  <c r="R154" i="17"/>
  <c r="R186" i="17"/>
  <c r="R218" i="17"/>
  <c r="R23" i="17"/>
  <c r="R55" i="17"/>
  <c r="R87" i="17"/>
  <c r="R119" i="17"/>
  <c r="R151" i="17"/>
  <c r="R183" i="17"/>
  <c r="R215" i="17"/>
  <c r="R247" i="17"/>
  <c r="R279" i="17"/>
  <c r="R16" i="17"/>
  <c r="R48" i="17"/>
  <c r="R80" i="17"/>
  <c r="R112" i="17"/>
  <c r="R144" i="17"/>
  <c r="R176" i="17"/>
  <c r="R208" i="17"/>
  <c r="R240" i="17"/>
  <c r="R272" i="17"/>
  <c r="R33" i="17"/>
  <c r="R161" i="17"/>
  <c r="R257" i="17"/>
  <c r="R307" i="17"/>
  <c r="R339" i="17"/>
  <c r="R363" i="17"/>
  <c r="R387" i="17"/>
  <c r="R407" i="17"/>
  <c r="R427" i="17"/>
  <c r="R451" i="17"/>
  <c r="R471" i="17"/>
  <c r="R491" i="17"/>
  <c r="R515" i="17"/>
  <c r="R535" i="17"/>
  <c r="R555" i="17"/>
  <c r="R579" i="17"/>
  <c r="R595" i="17"/>
  <c r="R611" i="17"/>
  <c r="R69" i="17"/>
  <c r="R133" i="17"/>
  <c r="R197" i="17"/>
  <c r="R242" i="17"/>
  <c r="R274" i="17"/>
  <c r="R300" i="17"/>
  <c r="R316" i="17"/>
  <c r="R332" i="17"/>
  <c r="R348" i="17"/>
  <c r="R364" i="17"/>
  <c r="R380" i="17"/>
  <c r="R396" i="17"/>
  <c r="R412" i="17"/>
  <c r="R428" i="17"/>
  <c r="R444" i="17"/>
  <c r="R460" i="17"/>
  <c r="R476" i="17"/>
  <c r="R492" i="17"/>
  <c r="R508" i="17"/>
  <c r="R524" i="17"/>
  <c r="R540" i="17"/>
  <c r="R556" i="17"/>
  <c r="R572" i="17"/>
  <c r="R588" i="17"/>
  <c r="R604" i="17"/>
  <c r="R41" i="17"/>
  <c r="R105" i="17"/>
  <c r="R169" i="17"/>
  <c r="R229" i="17"/>
  <c r="R261" i="17"/>
  <c r="R293" i="17"/>
  <c r="R309" i="17"/>
  <c r="R325" i="17"/>
  <c r="R341" i="17"/>
  <c r="R357" i="17"/>
  <c r="R373" i="17"/>
  <c r="R389" i="17"/>
  <c r="R405" i="17"/>
  <c r="R421" i="17"/>
  <c r="R437" i="17"/>
  <c r="R453" i="17"/>
  <c r="R469" i="17"/>
  <c r="R485" i="17"/>
  <c r="R501" i="17"/>
  <c r="R517" i="17"/>
  <c r="R30" i="17"/>
  <c r="R62" i="17"/>
  <c r="R94" i="17"/>
  <c r="R126" i="17"/>
  <c r="R158" i="17"/>
  <c r="R190" i="17"/>
  <c r="R222" i="17"/>
  <c r="R27" i="17"/>
  <c r="R59" i="17"/>
  <c r="R91" i="17"/>
  <c r="R123" i="17"/>
  <c r="R155" i="17"/>
  <c r="R187" i="17"/>
  <c r="R219" i="17"/>
  <c r="R251" i="17"/>
  <c r="R283" i="17"/>
  <c r="R20" i="17"/>
  <c r="R52" i="17"/>
  <c r="R84" i="17"/>
  <c r="R116" i="17"/>
  <c r="R148" i="17"/>
  <c r="R180" i="17"/>
  <c r="R212" i="17"/>
  <c r="R244" i="17"/>
  <c r="R276" i="17"/>
  <c r="R49" i="17"/>
  <c r="R177" i="17"/>
  <c r="R265" i="17"/>
  <c r="R311" i="17"/>
  <c r="R343" i="17"/>
  <c r="R371" i="17"/>
  <c r="R391" i="17"/>
  <c r="R411" i="17"/>
  <c r="R435" i="17"/>
  <c r="R455" i="17"/>
  <c r="R475" i="17"/>
  <c r="R499" i="17"/>
  <c r="R519" i="17"/>
  <c r="R539" i="17"/>
  <c r="R563" i="17"/>
  <c r="R583" i="17"/>
  <c r="R599" i="17"/>
  <c r="R13" i="17"/>
  <c r="R21" i="17"/>
  <c r="R85" i="17"/>
  <c r="R149" i="17"/>
  <c r="R213" i="17"/>
  <c r="R250" i="17"/>
  <c r="R282" i="17"/>
  <c r="R304" i="17"/>
  <c r="R320" i="17"/>
  <c r="R336" i="17"/>
  <c r="R352" i="17"/>
  <c r="R368" i="17"/>
  <c r="R384" i="17"/>
  <c r="R400" i="17"/>
  <c r="R416" i="17"/>
  <c r="R432" i="17"/>
  <c r="R448" i="17"/>
  <c r="R464" i="17"/>
  <c r="R480" i="17"/>
  <c r="R496" i="17"/>
  <c r="R512" i="17"/>
  <c r="R528" i="17"/>
  <c r="R544" i="17"/>
  <c r="R560" i="17"/>
  <c r="R576" i="17"/>
  <c r="R592" i="17"/>
  <c r="R608" i="17"/>
  <c r="R57" i="17"/>
  <c r="R121" i="17"/>
  <c r="R185" i="17"/>
  <c r="R237" i="17"/>
  <c r="R269" i="17"/>
  <c r="R297" i="17"/>
  <c r="R313" i="17"/>
  <c r="R329" i="17"/>
  <c r="R345" i="17"/>
  <c r="R361" i="17"/>
  <c r="R377" i="17"/>
  <c r="R393" i="17"/>
  <c r="R409" i="17"/>
  <c r="R425" i="17"/>
  <c r="R441" i="17"/>
  <c r="R457" i="17"/>
  <c r="R473" i="17"/>
  <c r="R489" i="17"/>
  <c r="R505" i="17"/>
  <c r="R521" i="17"/>
  <c r="R74" i="17"/>
  <c r="R138" i="17"/>
  <c r="R202" i="17"/>
  <c r="R39" i="17"/>
  <c r="R103" i="17"/>
  <c r="R167" i="17"/>
  <c r="R231" i="17"/>
  <c r="R64" i="17"/>
  <c r="R128" i="17"/>
  <c r="R192" i="17"/>
  <c r="R256" i="17"/>
  <c r="R225" i="17"/>
  <c r="R323" i="17"/>
  <c r="R375" i="17"/>
  <c r="R419" i="17"/>
  <c r="R459" i="17"/>
  <c r="R503" i="17"/>
  <c r="R547" i="17"/>
  <c r="R587" i="17"/>
  <c r="R101" i="17"/>
  <c r="R226" i="17"/>
  <c r="R290" i="17"/>
  <c r="R324" i="17"/>
  <c r="R356" i="17"/>
  <c r="R388" i="17"/>
  <c r="R420" i="17"/>
  <c r="R452" i="17"/>
  <c r="R484" i="17"/>
  <c r="R516" i="17"/>
  <c r="R548" i="17"/>
  <c r="R580" i="17"/>
  <c r="R612" i="17"/>
  <c r="R73" i="17"/>
  <c r="R201" i="17"/>
  <c r="R277" i="17"/>
  <c r="R317" i="17"/>
  <c r="R349" i="17"/>
  <c r="R381" i="17"/>
  <c r="R413" i="17"/>
  <c r="R445" i="17"/>
  <c r="R477" i="17"/>
  <c r="R509" i="17"/>
  <c r="R533" i="17"/>
  <c r="R549" i="17"/>
  <c r="R565" i="17"/>
  <c r="R581" i="17"/>
  <c r="R597" i="17"/>
  <c r="R613" i="17"/>
  <c r="R77" i="17"/>
  <c r="R278" i="17"/>
  <c r="R350" i="17"/>
  <c r="R414" i="17"/>
  <c r="R478" i="17"/>
  <c r="R542" i="17"/>
  <c r="R606" i="17"/>
  <c r="R157" i="17"/>
  <c r="R306" i="17"/>
  <c r="R370" i="17"/>
  <c r="R434" i="17"/>
  <c r="R498" i="17"/>
  <c r="R562" i="17"/>
  <c r="R189" i="17"/>
  <c r="R394" i="17"/>
  <c r="R522" i="17"/>
  <c r="R45" i="17"/>
  <c r="R262" i="17"/>
  <c r="R342" i="17"/>
  <c r="R406" i="17"/>
  <c r="R470" i="17"/>
  <c r="R534" i="17"/>
  <c r="R598" i="17"/>
  <c r="R314" i="17"/>
  <c r="R442" i="17"/>
  <c r="R570" i="17"/>
  <c r="R106" i="17"/>
  <c r="R170" i="17"/>
  <c r="R71" i="17"/>
  <c r="R263" i="17"/>
  <c r="R96" i="17"/>
  <c r="R224" i="17"/>
  <c r="R288" i="17"/>
  <c r="R97" i="17"/>
  <c r="R289" i="17"/>
  <c r="R395" i="17"/>
  <c r="R483" i="17"/>
  <c r="R567" i="17"/>
  <c r="R37" i="17"/>
  <c r="R258" i="17"/>
  <c r="R340" i="17"/>
  <c r="R404" i="17"/>
  <c r="R468" i="17"/>
  <c r="R532" i="17"/>
  <c r="R596" i="17"/>
  <c r="R137" i="17"/>
  <c r="R301" i="17"/>
  <c r="R365" i="17"/>
  <c r="R429" i="17"/>
  <c r="R493" i="17"/>
  <c r="R541" i="17"/>
  <c r="R589" i="17"/>
  <c r="R205" i="17"/>
  <c r="R382" i="17"/>
  <c r="R446" i="17"/>
  <c r="R574" i="17"/>
  <c r="R29" i="17"/>
  <c r="R338" i="17"/>
  <c r="R466" i="17"/>
  <c r="R594" i="17"/>
  <c r="R458" i="17"/>
  <c r="R78" i="17"/>
  <c r="R142" i="17"/>
  <c r="R206" i="17"/>
  <c r="R43" i="17"/>
  <c r="R107" i="17"/>
  <c r="R171" i="17"/>
  <c r="R235" i="17"/>
  <c r="R68" i="17"/>
  <c r="R132" i="17"/>
  <c r="R196" i="17"/>
  <c r="R260" i="17"/>
  <c r="R233" i="17"/>
  <c r="R327" i="17"/>
  <c r="R379" i="17"/>
  <c r="R423" i="17"/>
  <c r="R467" i="17"/>
  <c r="R507" i="17"/>
  <c r="R551" i="17"/>
  <c r="R591" i="17"/>
  <c r="R117" i="17"/>
  <c r="R234" i="17"/>
  <c r="R296" i="17"/>
  <c r="R328" i="17"/>
  <c r="R360" i="17"/>
  <c r="R392" i="17"/>
  <c r="R424" i="17"/>
  <c r="R456" i="17"/>
  <c r="R488" i="17"/>
  <c r="R520" i="17"/>
  <c r="R552" i="17"/>
  <c r="R584" i="17"/>
  <c r="R89" i="17"/>
  <c r="R217" i="17"/>
  <c r="R285" i="17"/>
  <c r="R321" i="17"/>
  <c r="R353" i="17"/>
  <c r="R385" i="17"/>
  <c r="R417" i="17"/>
  <c r="R449" i="17"/>
  <c r="R481" i="17"/>
  <c r="R513" i="17"/>
  <c r="R537" i="17"/>
  <c r="R553" i="17"/>
  <c r="R569" i="17"/>
  <c r="R585" i="17"/>
  <c r="R601" i="17"/>
  <c r="R141" i="17"/>
  <c r="R302" i="17"/>
  <c r="R366" i="17"/>
  <c r="R430" i="17"/>
  <c r="R494" i="17"/>
  <c r="R558" i="17"/>
  <c r="R221" i="17"/>
  <c r="R322" i="17"/>
  <c r="R386" i="17"/>
  <c r="R450" i="17"/>
  <c r="R514" i="17"/>
  <c r="R578" i="17"/>
  <c r="R298" i="17"/>
  <c r="R426" i="17"/>
  <c r="R554" i="17"/>
  <c r="R109" i="17"/>
  <c r="R294" i="17"/>
  <c r="R358" i="17"/>
  <c r="R422" i="17"/>
  <c r="R486" i="17"/>
  <c r="R550" i="17"/>
  <c r="R14" i="17"/>
  <c r="R125" i="17"/>
  <c r="R346" i="17"/>
  <c r="R474" i="17"/>
  <c r="R602" i="17"/>
  <c r="R42" i="17"/>
  <c r="R135" i="17"/>
  <c r="R199" i="17"/>
  <c r="R32" i="17"/>
  <c r="R160" i="17"/>
  <c r="R355" i="17"/>
  <c r="R439" i="17"/>
  <c r="R523" i="17"/>
  <c r="R603" i="17"/>
  <c r="R165" i="17"/>
  <c r="R308" i="17"/>
  <c r="R372" i="17"/>
  <c r="R436" i="17"/>
  <c r="R500" i="17"/>
  <c r="R564" i="17"/>
  <c r="R245" i="17"/>
  <c r="R333" i="17"/>
  <c r="R397" i="17"/>
  <c r="R461" i="17"/>
  <c r="R525" i="17"/>
  <c r="R557" i="17"/>
  <c r="R573" i="17"/>
  <c r="R605" i="17"/>
  <c r="R318" i="17"/>
  <c r="R510" i="17"/>
  <c r="R254" i="17"/>
  <c r="R402" i="17"/>
  <c r="R530" i="17"/>
  <c r="R330" i="17"/>
  <c r="R586" i="17"/>
  <c r="R174" i="17"/>
  <c r="R75" i="17"/>
  <c r="R164" i="17"/>
  <c r="R113" i="17"/>
  <c r="R443" i="17"/>
  <c r="R607" i="17"/>
  <c r="R312" i="17"/>
  <c r="R440" i="17"/>
  <c r="R568" i="17"/>
  <c r="R253" i="17"/>
  <c r="R401" i="17"/>
  <c r="R529" i="17"/>
  <c r="R593" i="17"/>
  <c r="R462" i="17"/>
  <c r="R418" i="17"/>
  <c r="R490" i="17"/>
  <c r="R310" i="17"/>
  <c r="R438" i="17"/>
  <c r="R566" i="17"/>
  <c r="R238" i="17"/>
  <c r="R506" i="17"/>
  <c r="R538" i="17"/>
  <c r="R46" i="17"/>
  <c r="R292" i="17"/>
  <c r="R531" i="17"/>
  <c r="R376" i="17"/>
  <c r="R25" i="17"/>
  <c r="R561" i="17"/>
  <c r="R334" i="17"/>
  <c r="R546" i="17"/>
  <c r="R61" i="17"/>
  <c r="R173" i="17"/>
  <c r="R502" i="17"/>
  <c r="R378" i="17"/>
  <c r="R110" i="17"/>
  <c r="R267" i="17"/>
  <c r="R100" i="17"/>
  <c r="R403" i="17"/>
  <c r="R266" i="17"/>
  <c r="R536" i="17"/>
  <c r="R369" i="17"/>
  <c r="R497" i="17"/>
  <c r="R354" i="17"/>
  <c r="R390" i="17"/>
  <c r="R410" i="17"/>
  <c r="R139" i="17"/>
  <c r="R228" i="17"/>
  <c r="R295" i="17"/>
  <c r="R487" i="17"/>
  <c r="R53" i="17"/>
  <c r="R344" i="17"/>
  <c r="R472" i="17"/>
  <c r="R600" i="17"/>
  <c r="R305" i="17"/>
  <c r="R433" i="17"/>
  <c r="R545" i="17"/>
  <c r="R609" i="17"/>
  <c r="R246" i="17"/>
  <c r="R526" i="17"/>
  <c r="R93" i="17"/>
  <c r="R482" i="17"/>
  <c r="R326" i="17"/>
  <c r="R454" i="17"/>
  <c r="R582" i="17"/>
  <c r="R270" i="17"/>
  <c r="R203" i="17"/>
  <c r="R36" i="17"/>
  <c r="R359" i="17"/>
  <c r="R181" i="17"/>
  <c r="R504" i="17"/>
  <c r="R337" i="17"/>
  <c r="R465" i="17"/>
  <c r="R590" i="17"/>
  <c r="R286" i="17"/>
  <c r="R374" i="17"/>
  <c r="R571" i="17"/>
  <c r="R408" i="17"/>
  <c r="R153" i="17"/>
  <c r="R577" i="17"/>
  <c r="R398" i="17"/>
  <c r="R610" i="17"/>
  <c r="R362" i="17"/>
  <c r="R230" i="17"/>
  <c r="R518" i="17"/>
  <c r="Q368" i="17"/>
  <c r="Q65" i="17"/>
  <c r="Q367" i="17"/>
  <c r="Q518" i="17"/>
  <c r="Q465" i="17"/>
  <c r="Q63" i="17"/>
  <c r="Q480" i="17"/>
  <c r="Q252" i="17"/>
  <c r="Q363" i="17"/>
  <c r="Q566" i="17"/>
  <c r="Q513" i="17"/>
  <c r="Q159" i="17"/>
  <c r="Q560" i="17"/>
  <c r="Q204" i="17"/>
  <c r="Q415" i="17"/>
  <c r="Q287" i="17"/>
  <c r="Q109" i="17"/>
  <c r="Q486" i="17"/>
  <c r="Q230" i="17"/>
  <c r="Q433" i="17"/>
  <c r="Q169" i="17"/>
  <c r="Q166" i="17"/>
  <c r="Q472" i="17"/>
  <c r="Q524" i="17"/>
  <c r="Q463" i="17"/>
  <c r="Q207" i="17"/>
  <c r="Q326" i="17"/>
  <c r="Q273" i="17"/>
  <c r="Q468" i="17"/>
  <c r="Q380" i="17"/>
  <c r="Q459" i="17"/>
  <c r="Q203" i="17"/>
  <c r="Q246" i="17"/>
  <c r="Q257" i="17"/>
  <c r="Q420" i="17"/>
  <c r="Q168" i="17"/>
  <c r="Q607" i="17"/>
  <c r="Q404" i="17"/>
  <c r="Q544" i="17"/>
  <c r="Q360" i="17"/>
  <c r="Q316" i="17"/>
  <c r="Q539" i="17"/>
  <c r="Q411" i="17"/>
  <c r="Q283" i="17"/>
  <c r="Q93" i="17"/>
  <c r="Q406" i="17"/>
  <c r="Q73" i="17"/>
  <c r="Q353" i="17"/>
  <c r="Q120" i="17"/>
  <c r="Q610" i="17"/>
  <c r="Q482" i="17"/>
  <c r="Q354" i="17"/>
  <c r="Q242" i="17"/>
  <c r="Q573" i="17"/>
  <c r="Q429" i="17"/>
  <c r="Q301" i="17"/>
  <c r="Q161" i="17"/>
  <c r="Q84" i="17"/>
  <c r="Q91" i="17"/>
  <c r="Q584" i="17"/>
  <c r="Q388" i="17"/>
  <c r="Q552" i="17"/>
  <c r="Q528" i="17"/>
  <c r="Q272" i="17"/>
  <c r="Q344" i="17"/>
  <c r="Q556" i="17"/>
  <c r="Q300" i="17"/>
  <c r="Q599" i="17"/>
  <c r="Q535" i="17"/>
  <c r="Q471" i="17"/>
  <c r="Q407" i="17"/>
  <c r="Q343" i="17"/>
  <c r="Q279" i="17"/>
  <c r="Q215" i="17"/>
  <c r="Q77" i="17"/>
  <c r="Q574" i="17"/>
  <c r="Q510" i="17"/>
  <c r="Q446" i="17"/>
  <c r="Q382" i="17"/>
  <c r="Q318" i="17"/>
  <c r="Q254" i="17"/>
  <c r="Q190" i="17"/>
  <c r="Q585" i="17"/>
  <c r="Q521" i="17"/>
  <c r="Q457" i="17"/>
  <c r="Q393" i="17"/>
  <c r="Q329" i="17"/>
  <c r="Q265" i="17"/>
  <c r="Q201" i="17"/>
  <c r="Q21" i="17"/>
  <c r="Q96" i="17"/>
  <c r="Q32" i="17"/>
  <c r="Q111" i="17"/>
  <c r="Q182" i="17"/>
  <c r="Q54" i="17"/>
  <c r="Q530" i="17"/>
  <c r="Q402" i="17"/>
  <c r="Q274" i="17"/>
  <c r="Q589" i="17"/>
  <c r="Q477" i="17"/>
  <c r="Q349" i="17"/>
  <c r="Q221" i="17"/>
  <c r="Q100" i="17"/>
  <c r="Q59" i="17"/>
  <c r="Q520" i="17"/>
  <c r="Q372" i="17"/>
  <c r="Q504" i="17"/>
  <c r="Q512" i="17"/>
  <c r="Q256" i="17"/>
  <c r="Q296" i="17"/>
  <c r="Q540" i="17"/>
  <c r="Q284" i="17"/>
  <c r="Q595" i="17"/>
  <c r="Q531" i="17"/>
  <c r="Q467" i="17"/>
  <c r="Q403" i="17"/>
  <c r="Q339" i="17"/>
  <c r="Q275" i="17"/>
  <c r="Q211" i="17"/>
  <c r="Q61" i="17"/>
  <c r="Q570" i="17"/>
  <c r="Q506" i="17"/>
  <c r="Q442" i="17"/>
  <c r="Q378" i="17"/>
  <c r="Q314" i="17"/>
  <c r="Q250" i="17"/>
  <c r="Q186" i="17"/>
  <c r="Q581" i="17"/>
  <c r="Q517" i="17"/>
  <c r="Q453" i="17"/>
  <c r="Q389" i="17"/>
  <c r="Q325" i="17"/>
  <c r="Q261" i="17"/>
  <c r="Q197" i="17"/>
  <c r="Q156" i="17"/>
  <c r="Q92" i="17"/>
  <c r="Q28" i="17"/>
  <c r="Q75" i="17"/>
  <c r="Q114" i="17"/>
  <c r="Q183" i="17"/>
  <c r="Q119" i="17"/>
  <c r="Q55" i="17"/>
  <c r="Q158" i="17"/>
  <c r="Q94" i="17"/>
  <c r="Q30" i="17"/>
  <c r="Q131" i="17"/>
  <c r="Q67" i="17"/>
  <c r="Q170" i="17"/>
  <c r="Q106" i="17"/>
  <c r="Q42" i="17"/>
  <c r="Q70" i="17"/>
  <c r="Q304" i="17"/>
  <c r="Q575" i="17"/>
  <c r="Q383" i="17"/>
  <c r="Q255" i="17"/>
  <c r="Q17" i="17"/>
  <c r="Q422" i="17"/>
  <c r="Q137" i="17"/>
  <c r="Q369" i="17"/>
  <c r="Q136" i="17"/>
  <c r="Q38" i="17"/>
  <c r="Q496" i="17"/>
  <c r="Q268" i="17"/>
  <c r="Q399" i="17"/>
  <c r="Q45" i="17"/>
  <c r="Q198" i="17"/>
  <c r="Q53" i="17"/>
  <c r="Q212" i="17"/>
  <c r="Q33" i="17"/>
  <c r="Q395" i="17"/>
  <c r="Q29" i="17"/>
  <c r="Q577" i="17"/>
  <c r="Q193" i="17"/>
  <c r="Q129" i="17"/>
  <c r="Q596" i="17"/>
  <c r="Q543" i="17"/>
  <c r="Q276" i="17"/>
  <c r="Q416" i="17"/>
  <c r="Q564" i="17"/>
  <c r="Q188" i="17"/>
  <c r="Q507" i="17"/>
  <c r="Q379" i="17"/>
  <c r="Q251" i="17"/>
  <c r="Q598" i="17"/>
  <c r="Q342" i="17"/>
  <c r="Q545" i="17"/>
  <c r="Q289" i="17"/>
  <c r="Q56" i="17"/>
  <c r="Q578" i="17"/>
  <c r="Q450" i="17"/>
  <c r="Q322" i="17"/>
  <c r="Q210" i="17"/>
  <c r="Q541" i="17"/>
  <c r="Q397" i="17"/>
  <c r="Q269" i="17"/>
  <c r="Q37" i="17"/>
  <c r="Q52" i="17"/>
  <c r="Q27" i="17"/>
  <c r="Q312" i="17"/>
  <c r="Q324" i="17"/>
  <c r="Q376" i="17"/>
  <c r="Q464" i="17"/>
  <c r="Q208" i="17"/>
  <c r="Q184" i="17"/>
  <c r="Q492" i="17"/>
  <c r="Q236" i="17"/>
  <c r="Q583" i="17"/>
  <c r="Q519" i="17"/>
  <c r="Q455" i="17"/>
  <c r="Q391" i="17"/>
  <c r="Q327" i="17"/>
  <c r="Q263" i="17"/>
  <c r="Q199" i="17"/>
  <c r="Q81" i="17"/>
  <c r="Q558" i="17"/>
  <c r="Q494" i="17"/>
  <c r="Q430" i="17"/>
  <c r="Q366" i="17"/>
  <c r="Q302" i="17"/>
  <c r="Q238" i="17"/>
  <c r="Q164" i="17"/>
  <c r="Q569" i="17"/>
  <c r="Q505" i="17"/>
  <c r="Q441" i="17"/>
  <c r="Q377" i="17"/>
  <c r="Q313" i="17"/>
  <c r="Q249" i="17"/>
  <c r="Q185" i="17"/>
  <c r="Q144" i="17"/>
  <c r="Q80" i="17"/>
  <c r="Q16" i="17"/>
  <c r="Q79" i="17"/>
  <c r="Q150" i="17"/>
  <c r="Q22" i="17"/>
  <c r="Q498" i="17"/>
  <c r="Q370" i="17"/>
  <c r="Q226" i="17"/>
  <c r="Q557" i="17"/>
  <c r="Q445" i="17"/>
  <c r="Q317" i="17"/>
  <c r="Q189" i="17"/>
  <c r="Q68" i="17"/>
  <c r="Q162" i="17"/>
  <c r="Q248" i="17"/>
  <c r="Q308" i="17"/>
  <c r="Q328" i="17"/>
  <c r="Q448" i="17"/>
  <c r="Q192" i="17"/>
  <c r="Q612" i="17"/>
  <c r="Q476" i="17"/>
  <c r="Q220" i="17"/>
  <c r="Q579" i="17"/>
  <c r="Q515" i="17"/>
  <c r="Q451" i="17"/>
  <c r="Q387" i="17"/>
  <c r="Q323" i="17"/>
  <c r="Q259" i="17"/>
  <c r="Q195" i="17"/>
  <c r="Q49" i="17"/>
  <c r="Q554" i="17"/>
  <c r="Q490" i="17"/>
  <c r="Q426" i="17"/>
  <c r="Q362" i="17"/>
  <c r="Q298" i="17"/>
  <c r="Q234" i="17"/>
  <c r="Q153" i="17"/>
  <c r="Q565" i="17"/>
  <c r="Q501" i="17"/>
  <c r="Q437" i="17"/>
  <c r="Q373" i="17"/>
  <c r="Q309" i="17"/>
  <c r="Q245" i="17"/>
  <c r="Q177" i="17"/>
  <c r="Q140" i="17"/>
  <c r="Q76" i="17"/>
  <c r="Q171" i="17"/>
  <c r="Q43" i="17"/>
  <c r="Q82" i="17"/>
  <c r="Q167" i="17"/>
  <c r="Q103" i="17"/>
  <c r="Q39" i="17"/>
  <c r="Q142" i="17"/>
  <c r="Q78" i="17"/>
  <c r="Q179" i="17"/>
  <c r="Q115" i="17"/>
  <c r="Q51" i="17"/>
  <c r="Q154" i="17"/>
  <c r="Q90" i="17"/>
  <c r="Q26" i="17"/>
  <c r="E47" i="1"/>
  <c r="B282" i="2"/>
  <c r="E43" i="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1" i="1"/>
  <c r="F4" i="17"/>
  <c r="E22" i="1"/>
  <c r="E34" i="1"/>
  <c r="B125" i="2"/>
  <c r="L126" i="2" s="1"/>
  <c r="L127" i="2"/>
  <c r="K126" i="2"/>
  <c r="E45" i="1"/>
  <c r="B215" i="2"/>
  <c r="F7" i="17"/>
  <c r="B233" i="2"/>
  <c r="H120" i="2"/>
  <c r="C3" i="17" l="1"/>
  <c r="B241" i="2"/>
  <c r="F14" i="29"/>
  <c r="I14" i="29"/>
  <c r="E17" i="29"/>
  <c r="B284" i="2"/>
  <c r="B285" i="2" s="1"/>
  <c r="B292" i="2" s="1"/>
  <c r="G13" i="28"/>
  <c r="K241" i="2"/>
  <c r="N4" i="17"/>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F5" i="17"/>
  <c r="U10" i="21"/>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R16" i="8"/>
  <c r="E36" i="1"/>
  <c r="K4" i="17"/>
  <c r="G247" i="2" l="1"/>
  <c r="B243" i="2"/>
  <c r="B73" i="1" s="1"/>
  <c r="B242" i="2"/>
  <c r="K3" i="8"/>
  <c r="L3" i="8" s="1"/>
  <c r="B293" i="2"/>
  <c r="AT10" i="21"/>
  <c r="AV10" i="21" s="1"/>
  <c r="AZ10" i="21" s="1"/>
  <c r="BA10" i="21"/>
  <c r="B42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S16" i="8"/>
  <c r="B434" i="2" s="1"/>
  <c r="B295" i="2" l="1"/>
  <c r="B296" i="2"/>
  <c r="R26" i="8" s="1"/>
  <c r="S26" i="8" s="1"/>
  <c r="Q622" i="17"/>
  <c r="P622" i="17"/>
  <c r="O622" i="17"/>
  <c r="R622" i="17"/>
  <c r="M3" i="8"/>
  <c r="M159" i="8" s="1"/>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R24" i="8"/>
  <c r="B429" i="2"/>
  <c r="G622" i="17"/>
  <c r="H622" i="17"/>
  <c r="F622" i="17"/>
  <c r="E622" i="17"/>
  <c r="D622" i="17"/>
  <c r="C622" i="17"/>
  <c r="G4" i="8"/>
  <c r="S24" i="8" l="1"/>
  <c r="R25" i="8"/>
  <c r="N3" i="8"/>
  <c r="N159" i="8" s="1"/>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N4" i="8" s="1"/>
  <c r="J55" i="27" s="1"/>
  <c r="N55" i="27" s="1"/>
  <c r="S17" i="8"/>
  <c r="B175" i="2"/>
  <c r="C445" i="2" s="1"/>
  <c r="B435" i="2"/>
  <c r="J64" i="27" l="1"/>
  <c r="J62" i="27"/>
  <c r="J65" i="27"/>
  <c r="J60" i="27"/>
  <c r="J67" i="27"/>
  <c r="J58" i="27"/>
  <c r="J61" i="27"/>
  <c r="J63" i="27"/>
  <c r="J66" i="27"/>
  <c r="J57" i="27"/>
  <c r="J68" i="27"/>
  <c r="J59" i="27"/>
  <c r="O55" i="27"/>
  <c r="J53" i="27"/>
  <c r="N53" i="27" s="1"/>
  <c r="O53" i="27" s="1"/>
  <c r="J72" i="27"/>
  <c r="N72" i="27" s="1"/>
  <c r="J75" i="27"/>
  <c r="N75" i="27" s="1"/>
  <c r="J50" i="27"/>
  <c r="N50" i="27" s="1"/>
  <c r="J76" i="27"/>
  <c r="N76" i="27" s="1"/>
  <c r="J73" i="27"/>
  <c r="N73" i="27" s="1"/>
  <c r="J56" i="27"/>
  <c r="N56" i="27" s="1"/>
  <c r="J74" i="27"/>
  <c r="N74" i="27" s="1"/>
  <c r="J78" i="27"/>
  <c r="N78" i="27" s="1"/>
  <c r="J77" i="27"/>
  <c r="N77" i="27" s="1"/>
  <c r="J52" i="27"/>
  <c r="N52" i="27" s="1"/>
  <c r="J51" i="27"/>
  <c r="N51" i="27" s="1"/>
  <c r="J54" i="27"/>
  <c r="N54" i="27" s="1"/>
  <c r="J97" i="27"/>
  <c r="J88" i="27"/>
  <c r="J83" i="27"/>
  <c r="J25" i="27"/>
  <c r="J33" i="27"/>
  <c r="J92" i="27"/>
  <c r="J46" i="27"/>
  <c r="J43" i="27"/>
  <c r="S25" i="8"/>
  <c r="J42" i="27"/>
  <c r="J84" i="27"/>
  <c r="J89" i="27"/>
  <c r="J71" i="27"/>
  <c r="J17" i="27"/>
  <c r="J69" i="27"/>
  <c r="J87" i="27"/>
  <c r="J35" i="27"/>
  <c r="J20" i="27"/>
  <c r="J45" i="27"/>
  <c r="J93" i="27"/>
  <c r="J23" i="27"/>
  <c r="J30" i="27"/>
  <c r="J24" i="27"/>
  <c r="J13" i="27"/>
  <c r="J96" i="27"/>
  <c r="J28" i="27"/>
  <c r="J37" i="27"/>
  <c r="J22" i="27"/>
  <c r="J40" i="27"/>
  <c r="J70" i="27"/>
  <c r="J49" i="27"/>
  <c r="J79" i="27"/>
  <c r="J27" i="27"/>
  <c r="J34" i="27"/>
  <c r="J81" i="27"/>
  <c r="J47" i="27"/>
  <c r="J15" i="27"/>
  <c r="J18" i="27"/>
  <c r="J14" i="27"/>
  <c r="J26" i="27"/>
  <c r="J41" i="27"/>
  <c r="J44" i="27"/>
  <c r="J90" i="27"/>
  <c r="J80" i="27"/>
  <c r="J85" i="27"/>
  <c r="J32" i="27"/>
  <c r="J19" i="27"/>
  <c r="J21" i="27"/>
  <c r="J91" i="27"/>
  <c r="J39" i="27"/>
  <c r="J82" i="27"/>
  <c r="J94" i="27"/>
  <c r="J95" i="27"/>
  <c r="J29" i="27"/>
  <c r="J36" i="27"/>
  <c r="J48" i="27"/>
  <c r="J31" i="27"/>
  <c r="J86" i="27"/>
  <c r="J16" i="27"/>
  <c r="J38" i="27"/>
  <c r="B445" i="2"/>
  <c r="D445" i="2"/>
  <c r="B433" i="2"/>
  <c r="O72" i="27" l="1"/>
  <c r="N66" i="27"/>
  <c r="O66" i="27" s="1"/>
  <c r="O56" i="27"/>
  <c r="N59" i="27"/>
  <c r="O59" i="27" s="1"/>
  <c r="N61" i="27"/>
  <c r="O61" i="27" s="1"/>
  <c r="N65" i="27"/>
  <c r="O65" i="27" s="1"/>
  <c r="N57" i="27"/>
  <c r="O57" i="27" s="1"/>
  <c r="N63" i="27"/>
  <c r="O63" i="27" s="1"/>
  <c r="N58" i="27"/>
  <c r="O58" i="27" s="1"/>
  <c r="N67" i="27"/>
  <c r="O67" i="27" s="1"/>
  <c r="N62" i="27"/>
  <c r="O62" i="27" s="1"/>
  <c r="N68" i="27"/>
  <c r="O68" i="27" s="1"/>
  <c r="N60" i="27"/>
  <c r="O60" i="27" s="1"/>
  <c r="N64" i="27"/>
  <c r="O64" i="27" s="1"/>
  <c r="O75" i="27"/>
  <c r="O76" i="27"/>
  <c r="O51" i="27"/>
  <c r="O74" i="27"/>
  <c r="O50" i="27"/>
  <c r="O78" i="27"/>
  <c r="O77" i="27"/>
  <c r="O54" i="27"/>
  <c r="O52" i="27"/>
  <c r="O73" i="27"/>
  <c r="N39" i="27"/>
  <c r="O39" i="27" s="1"/>
  <c r="N41" i="27"/>
  <c r="O41" i="27" s="1"/>
  <c r="N15" i="27"/>
  <c r="O15" i="27" s="1"/>
  <c r="N34" i="27"/>
  <c r="O34" i="27" s="1"/>
  <c r="N96" i="27"/>
  <c r="O96" i="27" s="1"/>
  <c r="N13" i="27"/>
  <c r="O13" i="27" s="1"/>
  <c r="V13" i="27" s="1"/>
  <c r="N24" i="27"/>
  <c r="O24" i="27" s="1"/>
  <c r="N23" i="27"/>
  <c r="O23" i="27" s="1"/>
  <c r="N17" i="27"/>
  <c r="O17" i="27" s="1"/>
  <c r="N43" i="27"/>
  <c r="O43" i="27" s="1"/>
  <c r="N33" i="27"/>
  <c r="O33" i="27" s="1"/>
  <c r="N88" i="27"/>
  <c r="O88" i="27" s="1"/>
  <c r="N19" i="27"/>
  <c r="O19" i="27" s="1"/>
  <c r="N85" i="27"/>
  <c r="O85" i="27" s="1"/>
  <c r="N80" i="27"/>
  <c r="O80" i="27" s="1"/>
  <c r="N26" i="27"/>
  <c r="O26" i="27" s="1"/>
  <c r="N47" i="27"/>
  <c r="O47" i="27" s="1"/>
  <c r="N22" i="27"/>
  <c r="O22" i="27" s="1"/>
  <c r="N37" i="27"/>
  <c r="O37" i="27" s="1"/>
  <c r="N28" i="27"/>
  <c r="O28" i="27" s="1"/>
  <c r="N93" i="27"/>
  <c r="O93" i="27" s="1"/>
  <c r="N20" i="27"/>
  <c r="O20" i="27" s="1"/>
  <c r="N71" i="27"/>
  <c r="O71" i="27" s="1"/>
  <c r="N89" i="27"/>
  <c r="O89" i="27" s="1"/>
  <c r="N84" i="27"/>
  <c r="O84" i="27" s="1"/>
  <c r="N90" i="27"/>
  <c r="O90" i="27" s="1"/>
  <c r="N31" i="27"/>
  <c r="O31" i="27" s="1"/>
  <c r="N48" i="27"/>
  <c r="O48" i="27" s="1"/>
  <c r="N36" i="27"/>
  <c r="O36" i="27" s="1"/>
  <c r="N21" i="27"/>
  <c r="O21" i="27" s="1"/>
  <c r="N95" i="27"/>
  <c r="O95" i="27" s="1"/>
  <c r="N94" i="27"/>
  <c r="O94" i="27" s="1"/>
  <c r="N82" i="27"/>
  <c r="O82" i="27" s="1"/>
  <c r="N18" i="27"/>
  <c r="O18" i="27" s="1"/>
  <c r="N81" i="27"/>
  <c r="O81" i="27" s="1"/>
  <c r="N27" i="27"/>
  <c r="O27" i="27" s="1"/>
  <c r="N30" i="27"/>
  <c r="O30" i="27" s="1"/>
  <c r="N45" i="27"/>
  <c r="O45" i="27" s="1"/>
  <c r="N35" i="27"/>
  <c r="O35" i="27" s="1"/>
  <c r="N46" i="27"/>
  <c r="O46" i="27" s="1"/>
  <c r="N25" i="27"/>
  <c r="O25" i="27" s="1"/>
  <c r="N97" i="27"/>
  <c r="O97" i="27" s="1"/>
  <c r="N86" i="27"/>
  <c r="O86" i="27" s="1"/>
  <c r="N32" i="27"/>
  <c r="O32" i="27" s="1"/>
  <c r="N29" i="27"/>
  <c r="O29" i="27" s="1"/>
  <c r="N91" i="27"/>
  <c r="O91" i="27" s="1"/>
  <c r="N38" i="27"/>
  <c r="O38" i="27" s="1"/>
  <c r="N16" i="27"/>
  <c r="O16" i="27" s="1"/>
  <c r="N44" i="27"/>
  <c r="O44" i="27" s="1"/>
  <c r="N14" i="27"/>
  <c r="O14" i="27" s="1"/>
  <c r="N79" i="27"/>
  <c r="O79" i="27" s="1"/>
  <c r="N49" i="27"/>
  <c r="O49" i="27" s="1"/>
  <c r="N70" i="27"/>
  <c r="O70" i="27" s="1"/>
  <c r="N40" i="27"/>
  <c r="O40" i="27" s="1"/>
  <c r="N87" i="27"/>
  <c r="O87" i="27" s="1"/>
  <c r="N69" i="27"/>
  <c r="O69" i="27" s="1"/>
  <c r="N42" i="27"/>
  <c r="O42" i="27" s="1"/>
  <c r="N92" i="27"/>
  <c r="O92" i="27" s="1"/>
  <c r="N83" i="27"/>
  <c r="O83" i="27" s="1"/>
  <c r="A433" i="2"/>
  <c r="D54" i="16"/>
  <c r="D49" i="16" l="1"/>
  <c r="A628" i="17" l="1"/>
  <c r="S622" i="17"/>
  <c r="T623" i="17"/>
  <c r="T622" i="17"/>
  <c r="AF622" i="17" s="1"/>
  <c r="S626" i="17"/>
  <c r="S623" i="17"/>
  <c r="T626" i="17"/>
  <c r="T573" i="17"/>
  <c r="B71" i="1"/>
  <c r="R7" i="8"/>
  <c r="S7" i="8" s="1"/>
  <c r="O628" i="17" l="1"/>
  <c r="P628" i="17"/>
  <c r="Q628" i="17"/>
  <c r="R628" i="17"/>
  <c r="AF626" i="17"/>
  <c r="AE623" i="17"/>
  <c r="AE626" i="17"/>
  <c r="E636" i="17" s="1"/>
  <c r="AF573" i="17"/>
  <c r="G628" i="17"/>
  <c r="H628" i="17"/>
  <c r="AE622" i="17"/>
  <c r="E632" i="17" s="1"/>
  <c r="AF623" i="17"/>
  <c r="D628" i="17"/>
  <c r="F628" i="17"/>
  <c r="T628" i="17"/>
  <c r="C628" i="17"/>
  <c r="E628" i="17"/>
  <c r="S628" i="17"/>
  <c r="R32" i="8"/>
  <c r="S32" i="8"/>
  <c r="C71" i="1" s="1"/>
  <c r="S74" i="17"/>
  <c r="S121" i="17"/>
  <c r="S106" i="17"/>
  <c r="S90" i="17"/>
  <c r="S17" i="17"/>
  <c r="S81" i="17"/>
  <c r="S101" i="17"/>
  <c r="S58" i="17"/>
  <c r="S42" i="17"/>
  <c r="S26" i="17"/>
  <c r="S49" i="17"/>
  <c r="S69" i="17"/>
  <c r="S236" i="17"/>
  <c r="S300" i="17"/>
  <c r="S217" i="17"/>
  <c r="S281" i="17"/>
  <c r="S140" i="17"/>
  <c r="S70" i="17"/>
  <c r="S41" i="17"/>
  <c r="S105" i="17"/>
  <c r="S45" i="17"/>
  <c r="S77" i="17"/>
  <c r="S173" i="17"/>
  <c r="S237" i="17"/>
  <c r="S301" i="17"/>
  <c r="S160" i="17"/>
  <c r="S338" i="17"/>
  <c r="S370" i="17"/>
  <c r="S402" i="17"/>
  <c r="S172" i="17"/>
  <c r="S204" i="17"/>
  <c r="S153" i="17"/>
  <c r="S38" i="17"/>
  <c r="S73" i="17"/>
  <c r="S141" i="17"/>
  <c r="S269" i="17"/>
  <c r="S319" i="17"/>
  <c r="S383" i="17"/>
  <c r="S180" i="17"/>
  <c r="S244" i="17"/>
  <c r="S308" i="17"/>
  <c r="S339" i="17"/>
  <c r="S403" i="17"/>
  <c r="S366" i="17"/>
  <c r="S169" i="17"/>
  <c r="S233" i="17"/>
  <c r="S132" i="17"/>
  <c r="S62" i="17"/>
  <c r="S232" i="17"/>
  <c r="S296" i="17"/>
  <c r="S322" i="17"/>
  <c r="S386" i="17"/>
  <c r="S438" i="17"/>
  <c r="S65" i="17"/>
  <c r="S85" i="17"/>
  <c r="S117" i="17"/>
  <c r="S149" i="17"/>
  <c r="S181" i="17"/>
  <c r="S213" i="17"/>
  <c r="S245" i="17"/>
  <c r="S277" i="17"/>
  <c r="S309" i="17"/>
  <c r="S136" i="17"/>
  <c r="S168" i="17"/>
  <c r="S184" i="17"/>
  <c r="S248" i="17"/>
  <c r="S312" i="17"/>
  <c r="S327" i="17"/>
  <c r="S359" i="17"/>
  <c r="S391" i="17"/>
  <c r="S407" i="17"/>
  <c r="S378" i="17"/>
  <c r="S188" i="17"/>
  <c r="S252" i="17"/>
  <c r="S331" i="17"/>
  <c r="S363" i="17"/>
  <c r="S395" i="17"/>
  <c r="S411" i="17"/>
  <c r="S326" i="17"/>
  <c r="S358" i="17"/>
  <c r="S390" i="17"/>
  <c r="S454" i="17"/>
  <c r="S249" i="17"/>
  <c r="S297" i="17"/>
  <c r="S22" i="17"/>
  <c r="S86" i="17"/>
  <c r="S192" i="17"/>
  <c r="S256" i="17"/>
  <c r="S415" i="17"/>
  <c r="S462" i="17"/>
  <c r="S57" i="17"/>
  <c r="S289" i="17"/>
  <c r="S14" i="17"/>
  <c r="S78" i="17"/>
  <c r="S93" i="17"/>
  <c r="S125" i="17"/>
  <c r="S189" i="17"/>
  <c r="S253" i="17"/>
  <c r="S112" i="17"/>
  <c r="S176" i="17"/>
  <c r="S208" i="17"/>
  <c r="S272" i="17"/>
  <c r="S367" i="17"/>
  <c r="S330" i="17"/>
  <c r="S394" i="17"/>
  <c r="S228" i="17"/>
  <c r="S292" i="17"/>
  <c r="S323" i="17"/>
  <c r="S387" i="17"/>
  <c r="S350" i="17"/>
  <c r="S414" i="17"/>
  <c r="S446" i="17"/>
  <c r="S423" i="17"/>
  <c r="S487" i="17"/>
  <c r="S519" i="17"/>
  <c r="S528" i="17"/>
  <c r="S560" i="17"/>
  <c r="S606" i="17"/>
  <c r="T17" i="17"/>
  <c r="T81" i="17"/>
  <c r="T16" i="17"/>
  <c r="T80" i="17"/>
  <c r="S32" i="17"/>
  <c r="S96" i="17"/>
  <c r="S31" i="17"/>
  <c r="S95" i="17"/>
  <c r="S127" i="17"/>
  <c r="S191" i="17"/>
  <c r="S255" i="17"/>
  <c r="S114" i="17"/>
  <c r="S178" i="17"/>
  <c r="S210" i="17"/>
  <c r="S274" i="17"/>
  <c r="S369" i="17"/>
  <c r="S332" i="17"/>
  <c r="S396" i="17"/>
  <c r="S428" i="17"/>
  <c r="S492" i="17"/>
  <c r="S453" i="17"/>
  <c r="S517" i="17"/>
  <c r="S558" i="17"/>
  <c r="S571" i="17"/>
  <c r="S268" i="17"/>
  <c r="S313" i="17"/>
  <c r="S102" i="17"/>
  <c r="S109" i="17"/>
  <c r="S205" i="17"/>
  <c r="S128" i="17"/>
  <c r="S351" i="17"/>
  <c r="S212" i="17"/>
  <c r="S276" i="17"/>
  <c r="S371" i="17"/>
  <c r="S334" i="17"/>
  <c r="S398" i="17"/>
  <c r="S137" i="17"/>
  <c r="S201" i="17"/>
  <c r="S265" i="17"/>
  <c r="S305" i="17"/>
  <c r="S30" i="17"/>
  <c r="S94" i="17"/>
  <c r="S200" i="17"/>
  <c r="S264" i="17"/>
  <c r="S354" i="17"/>
  <c r="S156" i="17"/>
  <c r="S470" i="17"/>
  <c r="S33" i="17"/>
  <c r="S97" i="17"/>
  <c r="S29" i="17"/>
  <c r="S53" i="17"/>
  <c r="S133" i="17"/>
  <c r="S165" i="17"/>
  <c r="S197" i="17"/>
  <c r="S229" i="17"/>
  <c r="S261" i="17"/>
  <c r="S293" i="17"/>
  <c r="S120" i="17"/>
  <c r="S152" i="17"/>
  <c r="S216" i="17"/>
  <c r="S280" i="17"/>
  <c r="S343" i="17"/>
  <c r="S375" i="17"/>
  <c r="S346" i="17"/>
  <c r="S148" i="17"/>
  <c r="S220" i="17"/>
  <c r="S284" i="17"/>
  <c r="S315" i="17"/>
  <c r="S347" i="17"/>
  <c r="S379" i="17"/>
  <c r="S342" i="17"/>
  <c r="S374" i="17"/>
  <c r="S406" i="17"/>
  <c r="S422" i="17"/>
  <c r="S185" i="17"/>
  <c r="S124" i="17"/>
  <c r="S54" i="17"/>
  <c r="S224" i="17"/>
  <c r="S288" i="17"/>
  <c r="S430" i="17"/>
  <c r="S25" i="17"/>
  <c r="S89" i="17"/>
  <c r="S116" i="17"/>
  <c r="S46" i="17"/>
  <c r="S61" i="17"/>
  <c r="S157" i="17"/>
  <c r="S221" i="17"/>
  <c r="S285" i="17"/>
  <c r="S144" i="17"/>
  <c r="S240" i="17"/>
  <c r="S304" i="17"/>
  <c r="S335" i="17"/>
  <c r="S399" i="17"/>
  <c r="S362" i="17"/>
  <c r="S164" i="17"/>
  <c r="S196" i="17"/>
  <c r="S260" i="17"/>
  <c r="S355" i="17"/>
  <c r="S318" i="17"/>
  <c r="S382" i="17"/>
  <c r="S478" i="17"/>
  <c r="S494" i="17"/>
  <c r="S455" i="17"/>
  <c r="S592" i="17"/>
  <c r="S573" i="17"/>
  <c r="T49" i="17"/>
  <c r="T48" i="17"/>
  <c r="S64" i="17"/>
  <c r="S63" i="17"/>
  <c r="S159" i="17"/>
  <c r="S223" i="17"/>
  <c r="S287" i="17"/>
  <c r="S146" i="17"/>
  <c r="S242" i="17"/>
  <c r="S306" i="17"/>
  <c r="S337" i="17"/>
  <c r="S401" i="17"/>
  <c r="S364" i="17"/>
  <c r="S460" i="17"/>
  <c r="S421" i="17"/>
  <c r="S485" i="17"/>
  <c r="S526" i="17"/>
  <c r="S590" i="17"/>
  <c r="S604" i="17"/>
  <c r="T15" i="17"/>
  <c r="T79" i="17"/>
  <c r="T14" i="17"/>
  <c r="T78" i="17"/>
  <c r="S450" i="17"/>
  <c r="S514" i="17"/>
  <c r="S475" i="17"/>
  <c r="S76" i="17"/>
  <c r="S43" i="17"/>
  <c r="S75" i="17"/>
  <c r="S107" i="17"/>
  <c r="S139" i="17"/>
  <c r="S203" i="17"/>
  <c r="S267" i="17"/>
  <c r="S158" i="17"/>
  <c r="S440" i="17"/>
  <c r="S472" i="17"/>
  <c r="S504" i="17"/>
  <c r="S433" i="17"/>
  <c r="S465" i="17"/>
  <c r="S497" i="17"/>
  <c r="S597" i="17"/>
  <c r="T59" i="17"/>
  <c r="S431" i="17"/>
  <c r="S495" i="17"/>
  <c r="S527" i="17"/>
  <c r="S536" i="17"/>
  <c r="S568" i="17"/>
  <c r="S549" i="17"/>
  <c r="S595" i="17"/>
  <c r="T25" i="17"/>
  <c r="T89" i="17"/>
  <c r="T24" i="17"/>
  <c r="T88" i="17"/>
  <c r="S40" i="17"/>
  <c r="S104" i="17"/>
  <c r="S39" i="17"/>
  <c r="S103" i="17"/>
  <c r="S135" i="17"/>
  <c r="S199" i="17"/>
  <c r="S263" i="17"/>
  <c r="S122" i="17"/>
  <c r="S218" i="17"/>
  <c r="S282" i="17"/>
  <c r="S314" i="17"/>
  <c r="S377" i="17"/>
  <c r="S409" i="17"/>
  <c r="S340" i="17"/>
  <c r="S404" i="17"/>
  <c r="S436" i="17"/>
  <c r="S500" i="17"/>
  <c r="S461" i="17"/>
  <c r="S566" i="17"/>
  <c r="S579" i="17"/>
  <c r="T55" i="17"/>
  <c r="T54" i="17"/>
  <c r="S426" i="17"/>
  <c r="S490" i="17"/>
  <c r="S451" i="17"/>
  <c r="S588" i="17"/>
  <c r="T45" i="17"/>
  <c r="T109" i="17"/>
  <c r="S50" i="17"/>
  <c r="S177" i="17"/>
  <c r="S37" i="17"/>
  <c r="S84" i="17"/>
  <c r="S147" i="17"/>
  <c r="S211" i="17"/>
  <c r="S275" i="17"/>
  <c r="S134" i="17"/>
  <c r="S230" i="17"/>
  <c r="S294" i="17"/>
  <c r="T35" i="17"/>
  <c r="T99" i="17"/>
  <c r="T34" i="17"/>
  <c r="T100" i="17"/>
  <c r="S507" i="17"/>
  <c r="S561" i="17"/>
  <c r="T36" i="17"/>
  <c r="S52" i="17"/>
  <c r="S27" i="17"/>
  <c r="S91" i="17"/>
  <c r="S333" i="17"/>
  <c r="S397" i="17"/>
  <c r="S360" i="17"/>
  <c r="S456" i="17"/>
  <c r="S481" i="17"/>
  <c r="S522" i="17"/>
  <c r="S586" i="17"/>
  <c r="S600" i="17"/>
  <c r="S439" i="17"/>
  <c r="S503" i="17"/>
  <c r="S535" i="17"/>
  <c r="S576" i="17"/>
  <c r="S557" i="17"/>
  <c r="T33" i="17"/>
  <c r="T97" i="17"/>
  <c r="T32" i="17"/>
  <c r="S48" i="17"/>
  <c r="S47" i="17"/>
  <c r="S143" i="17"/>
  <c r="S207" i="17"/>
  <c r="S271" i="17"/>
  <c r="S130" i="17"/>
  <c r="S226" i="17"/>
  <c r="S290" i="17"/>
  <c r="S321" i="17"/>
  <c r="S385" i="17"/>
  <c r="S348" i="17"/>
  <c r="S412" i="17"/>
  <c r="S444" i="17"/>
  <c r="S508" i="17"/>
  <c r="S469" i="17"/>
  <c r="S574" i="17"/>
  <c r="S587" i="17"/>
  <c r="S601" i="17"/>
  <c r="T63" i="17"/>
  <c r="T62" i="17"/>
  <c r="S434" i="17"/>
  <c r="S498" i="17"/>
  <c r="S459" i="17"/>
  <c r="S564" i="17"/>
  <c r="T47" i="17"/>
  <c r="T46" i="17"/>
  <c r="S418" i="17"/>
  <c r="S482" i="17"/>
  <c r="S443" i="17"/>
  <c r="S532" i="17"/>
  <c r="S36" i="17"/>
  <c r="S108" i="17"/>
  <c r="S171" i="17"/>
  <c r="S235" i="17"/>
  <c r="S299" i="17"/>
  <c r="S126" i="17"/>
  <c r="S538" i="17"/>
  <c r="S570" i="17"/>
  <c r="S551" i="17"/>
  <c r="S583" i="17"/>
  <c r="T27" i="17"/>
  <c r="T91" i="17"/>
  <c r="S502" i="17"/>
  <c r="S463" i="17"/>
  <c r="S581" i="17"/>
  <c r="T57" i="17"/>
  <c r="T56" i="17"/>
  <c r="S72" i="17"/>
  <c r="S71" i="17"/>
  <c r="S167" i="17"/>
  <c r="S231" i="17"/>
  <c r="S295" i="17"/>
  <c r="S154" i="17"/>
  <c r="S186" i="17"/>
  <c r="S250" i="17"/>
  <c r="S345" i="17"/>
  <c r="S372" i="17"/>
  <c r="S468" i="17"/>
  <c r="S429" i="17"/>
  <c r="S493" i="17"/>
  <c r="S525" i="17"/>
  <c r="S534" i="17"/>
  <c r="S547" i="17"/>
  <c r="S612" i="17"/>
  <c r="T23" i="17"/>
  <c r="T87" i="17"/>
  <c r="T22" i="17"/>
  <c r="T86" i="17"/>
  <c r="S458" i="17"/>
  <c r="S419" i="17"/>
  <c r="S524" i="17"/>
  <c r="S556" i="17"/>
  <c r="T13" i="17"/>
  <c r="T77" i="17"/>
  <c r="S113" i="17"/>
  <c r="S241" i="17"/>
  <c r="S115" i="17"/>
  <c r="S179" i="17"/>
  <c r="S243" i="17"/>
  <c r="S307" i="17"/>
  <c r="S166" i="17"/>
  <c r="S198" i="17"/>
  <c r="S262" i="17"/>
  <c r="S605" i="17"/>
  <c r="T67" i="17"/>
  <c r="T66" i="17"/>
  <c r="T132" i="17"/>
  <c r="S593" i="17"/>
  <c r="T68" i="17"/>
  <c r="S20" i="17"/>
  <c r="S59" i="17"/>
  <c r="S365" i="17"/>
  <c r="S328" i="17"/>
  <c r="S392" i="17"/>
  <c r="S424" i="17"/>
  <c r="S488" i="17"/>
  <c r="S417" i="17"/>
  <c r="S449" i="17"/>
  <c r="S513" i="17"/>
  <c r="S554" i="17"/>
  <c r="S567" i="17"/>
  <c r="S510" i="17"/>
  <c r="S471" i="17"/>
  <c r="S544" i="17"/>
  <c r="S589" i="17"/>
  <c r="S603" i="17"/>
  <c r="T65" i="17"/>
  <c r="T64" i="17"/>
  <c r="S16" i="17"/>
  <c r="S80" i="17"/>
  <c r="S15" i="17"/>
  <c r="S79" i="17"/>
  <c r="S111" i="17"/>
  <c r="S175" i="17"/>
  <c r="S239" i="17"/>
  <c r="S303" i="17"/>
  <c r="S162" i="17"/>
  <c r="S194" i="17"/>
  <c r="S258" i="17"/>
  <c r="S353" i="17"/>
  <c r="S316" i="17"/>
  <c r="S380" i="17"/>
  <c r="S476" i="17"/>
  <c r="S437" i="17"/>
  <c r="S501" i="17"/>
  <c r="S533" i="17"/>
  <c r="S542" i="17"/>
  <c r="S555" i="17"/>
  <c r="T31" i="17"/>
  <c r="T95" i="17"/>
  <c r="T30" i="17"/>
  <c r="T96" i="17"/>
  <c r="S466" i="17"/>
  <c r="S427" i="17"/>
  <c r="S491" i="17"/>
  <c r="S523" i="17"/>
  <c r="S539" i="17"/>
  <c r="S548" i="17"/>
  <c r="S580" i="17"/>
  <c r="S545" i="17"/>
  <c r="S610" i="17"/>
  <c r="S607" i="17"/>
  <c r="T37" i="17"/>
  <c r="T69" i="17"/>
  <c r="T101" i="17"/>
  <c r="T20" i="17"/>
  <c r="T84" i="17"/>
  <c r="S34" i="17"/>
  <c r="S98" i="17"/>
  <c r="S161" i="17"/>
  <c r="S225" i="17"/>
  <c r="S21" i="17"/>
  <c r="S60" i="17"/>
  <c r="S19" i="17"/>
  <c r="S83" i="17"/>
  <c r="S155" i="17"/>
  <c r="S219" i="17"/>
  <c r="S283" i="17"/>
  <c r="S110" i="17"/>
  <c r="S142" i="17"/>
  <c r="S206" i="17"/>
  <c r="S238" i="17"/>
  <c r="S270" i="17"/>
  <c r="S302" i="17"/>
  <c r="S317" i="17"/>
  <c r="S381" i="17"/>
  <c r="S413" i="17"/>
  <c r="S344" i="17"/>
  <c r="S408" i="17"/>
  <c r="S480" i="17"/>
  <c r="S441" i="17"/>
  <c r="S505" i="17"/>
  <c r="S546" i="17"/>
  <c r="S559" i="17"/>
  <c r="S613" i="17"/>
  <c r="T75" i="17"/>
  <c r="T42" i="17"/>
  <c r="T74" i="17"/>
  <c r="T108" i="17"/>
  <c r="S483" i="17"/>
  <c r="S602" i="17"/>
  <c r="T76" i="17"/>
  <c r="S325" i="17"/>
  <c r="S389" i="17"/>
  <c r="S352" i="17"/>
  <c r="S416" i="17"/>
  <c r="S479" i="17"/>
  <c r="S543" i="17"/>
  <c r="S552" i="17"/>
  <c r="S598" i="17"/>
  <c r="S611" i="17"/>
  <c r="T73" i="17"/>
  <c r="T72" i="17"/>
  <c r="S24" i="17"/>
  <c r="S88" i="17"/>
  <c r="S23" i="17"/>
  <c r="S87" i="17"/>
  <c r="S119" i="17"/>
  <c r="S183" i="17"/>
  <c r="S247" i="17"/>
  <c r="S311" i="17"/>
  <c r="S170" i="17"/>
  <c r="S202" i="17"/>
  <c r="S266" i="17"/>
  <c r="S361" i="17"/>
  <c r="S324" i="17"/>
  <c r="S388" i="17"/>
  <c r="S420" i="17"/>
  <c r="S484" i="17"/>
  <c r="S445" i="17"/>
  <c r="S509" i="17"/>
  <c r="S550" i="17"/>
  <c r="S563" i="17"/>
  <c r="T39" i="17"/>
  <c r="T103" i="17"/>
  <c r="T38" i="17"/>
  <c r="S474" i="17"/>
  <c r="S435" i="17"/>
  <c r="S499" i="17"/>
  <c r="S531" i="17"/>
  <c r="S540" i="17"/>
  <c r="S572" i="17"/>
  <c r="S553" i="17"/>
  <c r="T29" i="17"/>
  <c r="T93" i="17"/>
  <c r="T28" i="17"/>
  <c r="T92" i="17"/>
  <c r="S44" i="17"/>
  <c r="S82" i="17"/>
  <c r="S209" i="17"/>
  <c r="S100" i="17"/>
  <c r="S35" i="17"/>
  <c r="S99" i="17"/>
  <c r="S131" i="17"/>
  <c r="S195" i="17"/>
  <c r="S259" i="17"/>
  <c r="S118" i="17"/>
  <c r="S214" i="17"/>
  <c r="S278" i="17"/>
  <c r="S373" i="17"/>
  <c r="S336" i="17"/>
  <c r="S400" i="17"/>
  <c r="S432" i="17"/>
  <c r="S496" i="17"/>
  <c r="S457" i="17"/>
  <c r="S562" i="17"/>
  <c r="S575" i="17"/>
  <c r="T51" i="17"/>
  <c r="T50" i="17"/>
  <c r="T116" i="17"/>
  <c r="T180" i="17"/>
  <c r="T160" i="17"/>
  <c r="T224" i="17"/>
  <c r="T288" i="17"/>
  <c r="T147" i="17"/>
  <c r="T211" i="17"/>
  <c r="T275" i="17"/>
  <c r="T372" i="17"/>
  <c r="T365" i="17"/>
  <c r="T461" i="17"/>
  <c r="T424" i="17"/>
  <c r="T488" i="17"/>
  <c r="T583" i="17"/>
  <c r="T541" i="17"/>
  <c r="T603" i="17"/>
  <c r="T94" i="17"/>
  <c r="T158" i="17"/>
  <c r="T222" i="17"/>
  <c r="T286" i="17"/>
  <c r="T145" i="17"/>
  <c r="T209" i="17"/>
  <c r="T273" i="17"/>
  <c r="T370" i="17"/>
  <c r="T363" i="17"/>
  <c r="T459" i="17"/>
  <c r="T422" i="17"/>
  <c r="T486" i="17"/>
  <c r="T549" i="17"/>
  <c r="T539" i="17"/>
  <c r="T601" i="17"/>
  <c r="S518" i="17"/>
  <c r="S577" i="17"/>
  <c r="T21" i="17"/>
  <c r="T53" i="17"/>
  <c r="T85" i="17"/>
  <c r="T52" i="17"/>
  <c r="S28" i="17"/>
  <c r="S66" i="17"/>
  <c r="S129" i="17"/>
  <c r="S193" i="17"/>
  <c r="S257" i="17"/>
  <c r="S92" i="17"/>
  <c r="S51" i="17"/>
  <c r="S123" i="17"/>
  <c r="S187" i="17"/>
  <c r="S251" i="17"/>
  <c r="S174" i="17"/>
  <c r="S190" i="17"/>
  <c r="S222" i="17"/>
  <c r="S254" i="17"/>
  <c r="S286" i="17"/>
  <c r="S349" i="17"/>
  <c r="S376" i="17"/>
  <c r="S448" i="17"/>
  <c r="S512" i="17"/>
  <c r="S473" i="17"/>
  <c r="S529" i="17"/>
  <c r="S578" i="17"/>
  <c r="S591" i="17"/>
  <c r="T43" i="17"/>
  <c r="T107" i="17"/>
  <c r="T26" i="17"/>
  <c r="T58" i="17"/>
  <c r="T90" i="17"/>
  <c r="T124" i="17"/>
  <c r="S515" i="17"/>
  <c r="S569" i="17"/>
  <c r="T44" i="17"/>
  <c r="S357" i="17"/>
  <c r="S320" i="17"/>
  <c r="S384" i="17"/>
  <c r="S537" i="17"/>
  <c r="S486" i="17"/>
  <c r="S520" i="17"/>
  <c r="S447" i="17"/>
  <c r="S511" i="17"/>
  <c r="S584" i="17"/>
  <c r="S565" i="17"/>
  <c r="T41" i="17"/>
  <c r="T105" i="17"/>
  <c r="T40" i="17"/>
  <c r="S56" i="17"/>
  <c r="S55" i="17"/>
  <c r="S151" i="17"/>
  <c r="S215" i="17"/>
  <c r="S279" i="17"/>
  <c r="S138" i="17"/>
  <c r="S234" i="17"/>
  <c r="S298" i="17"/>
  <c r="S329" i="17"/>
  <c r="S393" i="17"/>
  <c r="S356" i="17"/>
  <c r="S452" i="17"/>
  <c r="S516" i="17"/>
  <c r="S477" i="17"/>
  <c r="S541" i="17"/>
  <c r="S582" i="17"/>
  <c r="S596" i="17"/>
  <c r="S609" i="17"/>
  <c r="T71" i="17"/>
  <c r="T70" i="17"/>
  <c r="S410" i="17"/>
  <c r="S442" i="17"/>
  <c r="S506" i="17"/>
  <c r="S467" i="17"/>
  <c r="S585" i="17"/>
  <c r="S599" i="17"/>
  <c r="T61" i="17"/>
  <c r="T60" i="17"/>
  <c r="S18" i="17"/>
  <c r="S145" i="17"/>
  <c r="S273" i="17"/>
  <c r="S68" i="17"/>
  <c r="S67" i="17"/>
  <c r="S163" i="17"/>
  <c r="S227" i="17"/>
  <c r="S291" i="17"/>
  <c r="S150" i="17"/>
  <c r="S182" i="17"/>
  <c r="S246" i="17"/>
  <c r="S310" i="17"/>
  <c r="S341" i="17"/>
  <c r="S405" i="17"/>
  <c r="S368" i="17"/>
  <c r="S464" i="17"/>
  <c r="S425" i="17"/>
  <c r="S489" i="17"/>
  <c r="S521" i="17"/>
  <c r="S530" i="17"/>
  <c r="S594" i="17"/>
  <c r="S608" i="17"/>
  <c r="T19" i="17"/>
  <c r="T83" i="17"/>
  <c r="T18" i="17"/>
  <c r="T82" i="17"/>
  <c r="T148" i="17"/>
  <c r="T128" i="17"/>
  <c r="T192" i="17"/>
  <c r="T256" i="17"/>
  <c r="T115" i="17"/>
  <c r="T179" i="17"/>
  <c r="T243" i="17"/>
  <c r="T307" i="17"/>
  <c r="T340" i="17"/>
  <c r="T404" i="17"/>
  <c r="T333" i="17"/>
  <c r="T397" i="17"/>
  <c r="T429" i="17"/>
  <c r="T493" i="17"/>
  <c r="T456" i="17"/>
  <c r="T518" i="17"/>
  <c r="T551" i="17"/>
  <c r="T572" i="17"/>
  <c r="T126" i="17"/>
  <c r="T190" i="17"/>
  <c r="T254" i="17"/>
  <c r="T113" i="17"/>
  <c r="T177" i="17"/>
  <c r="T241" i="17"/>
  <c r="T305" i="17"/>
  <c r="T338" i="17"/>
  <c r="T402" i="17"/>
  <c r="T331" i="17"/>
  <c r="T395" i="17"/>
  <c r="T427" i="17"/>
  <c r="T491" i="17"/>
  <c r="T454" i="17"/>
  <c r="T519" i="17"/>
  <c r="T581" i="17"/>
  <c r="T570" i="17"/>
  <c r="T212" i="17"/>
  <c r="T172" i="17"/>
  <c r="T152" i="17"/>
  <c r="T216" i="17"/>
  <c r="T280" i="17"/>
  <c r="T139" i="17"/>
  <c r="T203" i="17"/>
  <c r="T267" i="17"/>
  <c r="T364" i="17"/>
  <c r="T357" i="17"/>
  <c r="T453" i="17"/>
  <c r="T517" i="17"/>
  <c r="T480" i="17"/>
  <c r="T542" i="17"/>
  <c r="T575" i="17"/>
  <c r="T533" i="17"/>
  <c r="T595" i="17"/>
  <c r="T608" i="17"/>
  <c r="T150" i="17"/>
  <c r="T214" i="17"/>
  <c r="T278" i="17"/>
  <c r="T137" i="17"/>
  <c r="T201" i="17"/>
  <c r="T265" i="17"/>
  <c r="T362" i="17"/>
  <c r="T355" i="17"/>
  <c r="T451" i="17"/>
  <c r="T515" i="17"/>
  <c r="T478" i="17"/>
  <c r="T540" i="17"/>
  <c r="T531" i="17"/>
  <c r="T594" i="17"/>
  <c r="T606" i="17"/>
  <c r="T252" i="17"/>
  <c r="T164" i="17"/>
  <c r="T144" i="17"/>
  <c r="T208" i="17"/>
  <c r="T272" i="17"/>
  <c r="T131" i="17"/>
  <c r="T195" i="17"/>
  <c r="T259" i="17"/>
  <c r="T356" i="17"/>
  <c r="T349" i="17"/>
  <c r="T413" i="17"/>
  <c r="T445" i="17"/>
  <c r="T509" i="17"/>
  <c r="T472" i="17"/>
  <c r="T534" i="17"/>
  <c r="T567" i="17"/>
  <c r="T525" i="17"/>
  <c r="T588" i="17"/>
  <c r="T600" i="17"/>
  <c r="T142" i="17"/>
  <c r="T206" i="17"/>
  <c r="T270" i="17"/>
  <c r="T129" i="17"/>
  <c r="T193" i="17"/>
  <c r="T257" i="17"/>
  <c r="T354" i="17"/>
  <c r="T347" i="17"/>
  <c r="T411" i="17"/>
  <c r="T443" i="17"/>
  <c r="T507" i="17"/>
  <c r="T470" i="17"/>
  <c r="T532" i="17"/>
  <c r="T523" i="17"/>
  <c r="T586" i="17"/>
  <c r="T598" i="17"/>
  <c r="T228" i="17"/>
  <c r="T104" i="17"/>
  <c r="T168" i="17"/>
  <c r="T232" i="17"/>
  <c r="T296" i="17"/>
  <c r="T155" i="17"/>
  <c r="T219" i="17"/>
  <c r="T283" i="17"/>
  <c r="T316" i="17"/>
  <c r="T380" i="17"/>
  <c r="T373" i="17"/>
  <c r="T469" i="17"/>
  <c r="T432" i="17"/>
  <c r="T496" i="17"/>
  <c r="T591" i="17"/>
  <c r="T548" i="17"/>
  <c r="T611" i="17"/>
  <c r="T102" i="17"/>
  <c r="T166" i="17"/>
  <c r="T230" i="17"/>
  <c r="T294" i="17"/>
  <c r="T153" i="17"/>
  <c r="T217" i="17"/>
  <c r="T281" i="17"/>
  <c r="T378" i="17"/>
  <c r="T371" i="17"/>
  <c r="T467" i="17"/>
  <c r="T430" i="17"/>
  <c r="T494" i="17"/>
  <c r="T557" i="17"/>
  <c r="T546" i="17"/>
  <c r="T609" i="17"/>
  <c r="T188" i="17"/>
  <c r="T268" i="17"/>
  <c r="T127" i="17"/>
  <c r="T191" i="17"/>
  <c r="T255" i="17"/>
  <c r="T352" i="17"/>
  <c r="T416" i="17"/>
  <c r="T345" i="17"/>
  <c r="T409" i="17"/>
  <c r="T441" i="17"/>
  <c r="T505" i="17"/>
  <c r="T436" i="17"/>
  <c r="T500" i="17"/>
  <c r="T552" i="17"/>
  <c r="T106" i="17"/>
  <c r="T170" i="17"/>
  <c r="T234" i="17"/>
  <c r="T298" i="17"/>
  <c r="T157" i="17"/>
  <c r="T221" i="17"/>
  <c r="T285" i="17"/>
  <c r="T318" i="17"/>
  <c r="T382" i="17"/>
  <c r="T375" i="17"/>
  <c r="T471" i="17"/>
  <c r="T434" i="17"/>
  <c r="T498" i="17"/>
  <c r="T561" i="17"/>
  <c r="T550" i="17"/>
  <c r="T613" i="17"/>
  <c r="T207" i="17"/>
  <c r="T368" i="17"/>
  <c r="T457" i="17"/>
  <c r="T516" i="17"/>
  <c r="T547" i="17"/>
  <c r="T122" i="17"/>
  <c r="T186" i="17"/>
  <c r="T250" i="17"/>
  <c r="T314" i="17"/>
  <c r="T173" i="17"/>
  <c r="T237" i="17"/>
  <c r="T301" i="17"/>
  <c r="T334" i="17"/>
  <c r="T359" i="17"/>
  <c r="T487" i="17"/>
  <c r="T514" i="17"/>
  <c r="T566" i="17"/>
  <c r="T610" i="17"/>
  <c r="T244" i="17"/>
  <c r="T140" i="17"/>
  <c r="T120" i="17"/>
  <c r="T184" i="17"/>
  <c r="T248" i="17"/>
  <c r="T312" i="17"/>
  <c r="T171" i="17"/>
  <c r="T235" i="17"/>
  <c r="T299" i="17"/>
  <c r="T332" i="17"/>
  <c r="T396" i="17"/>
  <c r="T325" i="17"/>
  <c r="T389" i="17"/>
  <c r="T421" i="17"/>
  <c r="T485" i="17"/>
  <c r="T448" i="17"/>
  <c r="T512" i="17"/>
  <c r="T564" i="17"/>
  <c r="T118" i="17"/>
  <c r="T182" i="17"/>
  <c r="T246" i="17"/>
  <c r="T310" i="17"/>
  <c r="T169" i="17"/>
  <c r="T233" i="17"/>
  <c r="T297" i="17"/>
  <c r="T330" i="17"/>
  <c r="T394" i="17"/>
  <c r="T323" i="17"/>
  <c r="T387" i="17"/>
  <c r="T419" i="17"/>
  <c r="T483" i="17"/>
  <c r="T446" i="17"/>
  <c r="T510" i="17"/>
  <c r="T562" i="17"/>
  <c r="T204" i="17"/>
  <c r="T284" i="17"/>
  <c r="T112" i="17"/>
  <c r="T176" i="17"/>
  <c r="T240" i="17"/>
  <c r="T304" i="17"/>
  <c r="T163" i="17"/>
  <c r="T227" i="17"/>
  <c r="T291" i="17"/>
  <c r="T324" i="17"/>
  <c r="T388" i="17"/>
  <c r="T317" i="17"/>
  <c r="T381" i="17"/>
  <c r="T477" i="17"/>
  <c r="T440" i="17"/>
  <c r="T504" i="17"/>
  <c r="T556" i="17"/>
  <c r="T110" i="17"/>
  <c r="T174" i="17"/>
  <c r="T238" i="17"/>
  <c r="T302" i="17"/>
  <c r="T161" i="17"/>
  <c r="T225" i="17"/>
  <c r="T289" i="17"/>
  <c r="T322" i="17"/>
  <c r="T386" i="17"/>
  <c r="T315" i="17"/>
  <c r="T379" i="17"/>
  <c r="T475" i="17"/>
  <c r="T438" i="17"/>
  <c r="T502" i="17"/>
  <c r="T565" i="17"/>
  <c r="T554" i="17"/>
  <c r="T196" i="17"/>
  <c r="T260" i="17"/>
  <c r="T156" i="17"/>
  <c r="T136" i="17"/>
  <c r="T200" i="17"/>
  <c r="T264" i="17"/>
  <c r="T123" i="17"/>
  <c r="T187" i="17"/>
  <c r="T251" i="17"/>
  <c r="T348" i="17"/>
  <c r="T412" i="17"/>
  <c r="T341" i="17"/>
  <c r="T405" i="17"/>
  <c r="T437" i="17"/>
  <c r="T501" i="17"/>
  <c r="T464" i="17"/>
  <c r="T526" i="17"/>
  <c r="T559" i="17"/>
  <c r="T580" i="17"/>
  <c r="T134" i="17"/>
  <c r="T198" i="17"/>
  <c r="T262" i="17"/>
  <c r="T121" i="17"/>
  <c r="T185" i="17"/>
  <c r="T249" i="17"/>
  <c r="T313" i="17"/>
  <c r="T346" i="17"/>
  <c r="T410" i="17"/>
  <c r="T339" i="17"/>
  <c r="T403" i="17"/>
  <c r="T435" i="17"/>
  <c r="T499" i="17"/>
  <c r="T462" i="17"/>
  <c r="T524" i="17"/>
  <c r="T589" i="17"/>
  <c r="T578" i="17"/>
  <c r="T220" i="17"/>
  <c r="T300" i="17"/>
  <c r="T159" i="17"/>
  <c r="T223" i="17"/>
  <c r="T287" i="17"/>
  <c r="T320" i="17"/>
  <c r="T384" i="17"/>
  <c r="T377" i="17"/>
  <c r="T473" i="17"/>
  <c r="T468" i="17"/>
  <c r="T530" i="17"/>
  <c r="T563" i="17"/>
  <c r="T521" i="17"/>
  <c r="T584" i="17"/>
  <c r="T596" i="17"/>
  <c r="T138" i="17"/>
  <c r="T202" i="17"/>
  <c r="T266" i="17"/>
  <c r="T125" i="17"/>
  <c r="T189" i="17"/>
  <c r="T253" i="17"/>
  <c r="T350" i="17"/>
  <c r="T414" i="17"/>
  <c r="T343" i="17"/>
  <c r="T407" i="17"/>
  <c r="T439" i="17"/>
  <c r="T503" i="17"/>
  <c r="T466" i="17"/>
  <c r="T528" i="17"/>
  <c r="T593" i="17"/>
  <c r="T582" i="17"/>
  <c r="T143" i="17"/>
  <c r="T271" i="17"/>
  <c r="T336" i="17"/>
  <c r="T400" i="17"/>
  <c r="T361" i="17"/>
  <c r="T425" i="17"/>
  <c r="T489" i="17"/>
  <c r="T452" i="17"/>
  <c r="T579" i="17"/>
  <c r="T568" i="17"/>
  <c r="T612" i="17"/>
  <c r="T154" i="17"/>
  <c r="T218" i="17"/>
  <c r="T282" i="17"/>
  <c r="T141" i="17"/>
  <c r="T205" i="17"/>
  <c r="T269" i="17"/>
  <c r="T398" i="17"/>
  <c r="T327" i="17"/>
  <c r="T391" i="17"/>
  <c r="T423" i="17"/>
  <c r="T450" i="17"/>
  <c r="T577" i="17"/>
  <c r="T276" i="17"/>
  <c r="T135" i="17"/>
  <c r="T199" i="17"/>
  <c r="T263" i="17"/>
  <c r="T360" i="17"/>
  <c r="T111" i="17"/>
  <c r="T239" i="17"/>
  <c r="T329" i="17"/>
  <c r="T420" i="17"/>
  <c r="T537" i="17"/>
  <c r="T366" i="17"/>
  <c r="T418" i="17"/>
  <c r="T545" i="17"/>
  <c r="T597" i="17"/>
  <c r="T292" i="17"/>
  <c r="T151" i="17"/>
  <c r="T215" i="17"/>
  <c r="T279" i="17"/>
  <c r="T376" i="17"/>
  <c r="T369" i="17"/>
  <c r="T465" i="17"/>
  <c r="T460" i="17"/>
  <c r="T353" i="17"/>
  <c r="T417" i="17"/>
  <c r="T481" i="17"/>
  <c r="T508" i="17"/>
  <c r="T560" i="17"/>
  <c r="T114" i="17"/>
  <c r="T178" i="17"/>
  <c r="T242" i="17"/>
  <c r="T306" i="17"/>
  <c r="T165" i="17"/>
  <c r="T229" i="17"/>
  <c r="T293" i="17"/>
  <c r="T326" i="17"/>
  <c r="T390" i="17"/>
  <c r="T319" i="17"/>
  <c r="T383" i="17"/>
  <c r="T479" i="17"/>
  <c r="T442" i="17"/>
  <c r="T506" i="17"/>
  <c r="T569" i="17"/>
  <c r="T558" i="17"/>
  <c r="T308" i="17"/>
  <c r="T167" i="17"/>
  <c r="T231" i="17"/>
  <c r="T295" i="17"/>
  <c r="T328" i="17"/>
  <c r="T392" i="17"/>
  <c r="T321" i="17"/>
  <c r="T175" i="17"/>
  <c r="T303" i="17"/>
  <c r="T393" i="17"/>
  <c r="T484" i="17"/>
  <c r="T599" i="17"/>
  <c r="T455" i="17"/>
  <c r="T482" i="17"/>
  <c r="T535" i="17"/>
  <c r="T236" i="17"/>
  <c r="T119" i="17"/>
  <c r="T183" i="17"/>
  <c r="T247" i="17"/>
  <c r="T311" i="17"/>
  <c r="T344" i="17"/>
  <c r="T408" i="17"/>
  <c r="T337" i="17"/>
  <c r="T401" i="17"/>
  <c r="T433" i="17"/>
  <c r="T497" i="17"/>
  <c r="T428" i="17"/>
  <c r="T492" i="17"/>
  <c r="T449" i="17"/>
  <c r="T513" i="17"/>
  <c r="T444" i="17"/>
  <c r="T538" i="17"/>
  <c r="T571" i="17"/>
  <c r="T529" i="17"/>
  <c r="T592" i="17"/>
  <c r="T604" i="17"/>
  <c r="T146" i="17"/>
  <c r="T210" i="17"/>
  <c r="T274" i="17"/>
  <c r="T133" i="17"/>
  <c r="T197" i="17"/>
  <c r="T261" i="17"/>
  <c r="T358" i="17"/>
  <c r="T351" i="17"/>
  <c r="T415" i="17"/>
  <c r="T447" i="17"/>
  <c r="T511" i="17"/>
  <c r="T474" i="17"/>
  <c r="T536" i="17"/>
  <c r="T527" i="17"/>
  <c r="T590" i="17"/>
  <c r="T602" i="17"/>
  <c r="T476" i="17"/>
  <c r="T587" i="17"/>
  <c r="T544" i="17"/>
  <c r="T607" i="17"/>
  <c r="T98" i="17"/>
  <c r="T162" i="17"/>
  <c r="T226" i="17"/>
  <c r="T290" i="17"/>
  <c r="T149" i="17"/>
  <c r="T213" i="17"/>
  <c r="T277" i="17"/>
  <c r="T374" i="17"/>
  <c r="T367" i="17"/>
  <c r="T463" i="17"/>
  <c r="T426" i="17"/>
  <c r="T490" i="17"/>
  <c r="T553" i="17"/>
  <c r="T543" i="17"/>
  <c r="T605" i="17"/>
  <c r="T385" i="17"/>
  <c r="T522" i="17"/>
  <c r="T555" i="17"/>
  <c r="T576" i="17"/>
  <c r="T130" i="17"/>
  <c r="T194" i="17"/>
  <c r="T258" i="17"/>
  <c r="T117" i="17"/>
  <c r="T181" i="17"/>
  <c r="T245" i="17"/>
  <c r="T309" i="17"/>
  <c r="T342" i="17"/>
  <c r="T406" i="17"/>
  <c r="T335" i="17"/>
  <c r="T399" i="17"/>
  <c r="T431" i="17"/>
  <c r="T495" i="17"/>
  <c r="T458" i="17"/>
  <c r="T520" i="17"/>
  <c r="T585" i="17"/>
  <c r="T574" i="17"/>
  <c r="S13" i="17"/>
  <c r="E633" i="17"/>
  <c r="B376" i="2" l="1"/>
  <c r="AF309" i="17"/>
  <c r="AF555" i="17"/>
  <c r="AF463" i="17"/>
  <c r="AF587" i="17"/>
  <c r="AE13" i="17"/>
  <c r="AF458" i="17"/>
  <c r="AF335" i="17"/>
  <c r="AF245" i="17"/>
  <c r="AF194" i="17"/>
  <c r="AF522" i="17"/>
  <c r="AF553" i="17"/>
  <c r="AF367" i="17"/>
  <c r="AF149" i="17"/>
  <c r="AF98" i="17"/>
  <c r="AF476" i="17"/>
  <c r="AF536" i="17"/>
  <c r="AF415" i="17"/>
  <c r="AF197" i="17"/>
  <c r="AF146" i="17"/>
  <c r="AF571" i="17"/>
  <c r="AF449" i="17"/>
  <c r="AF433" i="17"/>
  <c r="AF344" i="17"/>
  <c r="AF119" i="17"/>
  <c r="AF455" i="17"/>
  <c r="AF303" i="17"/>
  <c r="AF328" i="17"/>
  <c r="AF308" i="17"/>
  <c r="AF442" i="17"/>
  <c r="AF390" i="17"/>
  <c r="AF165" i="17"/>
  <c r="AF114" i="17"/>
  <c r="AF417" i="17"/>
  <c r="AF369" i="17"/>
  <c r="AF151" i="17"/>
  <c r="AF418" i="17"/>
  <c r="AF329" i="17"/>
  <c r="AF263" i="17"/>
  <c r="AF577" i="17"/>
  <c r="AF327" i="17"/>
  <c r="AF141" i="17"/>
  <c r="AF612" i="17"/>
  <c r="AF489" i="17"/>
  <c r="AF336" i="17"/>
  <c r="AF593" i="17"/>
  <c r="AF439" i="17"/>
  <c r="AF350" i="17"/>
  <c r="AF266" i="17"/>
  <c r="AF584" i="17"/>
  <c r="AF468" i="17"/>
  <c r="AF320" i="17"/>
  <c r="AF300" i="17"/>
  <c r="AF524" i="17"/>
  <c r="AF403" i="17"/>
  <c r="AF313" i="17"/>
  <c r="AF262" i="17"/>
  <c r="AF559" i="17"/>
  <c r="AF437" i="17"/>
  <c r="AF348" i="17"/>
  <c r="AF264" i="17"/>
  <c r="AF260" i="17"/>
  <c r="AF502" i="17"/>
  <c r="AF315" i="17"/>
  <c r="AF225" i="17"/>
  <c r="AF174" i="17"/>
  <c r="AF440" i="17"/>
  <c r="AF388" i="17"/>
  <c r="AF163" i="17"/>
  <c r="AF112" i="17"/>
  <c r="AF510" i="17"/>
  <c r="AF387" i="17"/>
  <c r="AF297" i="17"/>
  <c r="AF246" i="17"/>
  <c r="AF512" i="17"/>
  <c r="AF389" i="17"/>
  <c r="AF299" i="17"/>
  <c r="AF248" i="17"/>
  <c r="AF244" i="17"/>
  <c r="AF487" i="17"/>
  <c r="AF237" i="17"/>
  <c r="AF186" i="17"/>
  <c r="AF457" i="17"/>
  <c r="AF550" i="17"/>
  <c r="AF471" i="17"/>
  <c r="AF285" i="17"/>
  <c r="AF234" i="17"/>
  <c r="AF500" i="17"/>
  <c r="AF409" i="17"/>
  <c r="AF255" i="17"/>
  <c r="AF188" i="17"/>
  <c r="AF494" i="17"/>
  <c r="AF378" i="17"/>
  <c r="AF294" i="17"/>
  <c r="AF611" i="17"/>
  <c r="AF432" i="17"/>
  <c r="AF316" i="17"/>
  <c r="AF296" i="17"/>
  <c r="AF228" i="17"/>
  <c r="AF532" i="17"/>
  <c r="AF411" i="17"/>
  <c r="AF193" i="17"/>
  <c r="AF142" i="17"/>
  <c r="AF567" i="17"/>
  <c r="AF445" i="17"/>
  <c r="AF259" i="17"/>
  <c r="AF208" i="17"/>
  <c r="AF606" i="17"/>
  <c r="AF478" i="17"/>
  <c r="AF362" i="17"/>
  <c r="AF278" i="17"/>
  <c r="AF595" i="17"/>
  <c r="AF480" i="17"/>
  <c r="AF364" i="17"/>
  <c r="AF280" i="17"/>
  <c r="AF212" i="17"/>
  <c r="AF454" i="17"/>
  <c r="AF331" i="17"/>
  <c r="AF241" i="17"/>
  <c r="AF190" i="17"/>
  <c r="AF518" i="17"/>
  <c r="AF397" i="17"/>
  <c r="AF307" i="17"/>
  <c r="AF256" i="17"/>
  <c r="AF82" i="17"/>
  <c r="AE608" i="17"/>
  <c r="AE489" i="17"/>
  <c r="AE405" i="17"/>
  <c r="AE182" i="17"/>
  <c r="AE163" i="17"/>
  <c r="AE145" i="17"/>
  <c r="AE599" i="17"/>
  <c r="AE442" i="17"/>
  <c r="AE609" i="17"/>
  <c r="AE477" i="17"/>
  <c r="AE393" i="17"/>
  <c r="AE138" i="17"/>
  <c r="AE55" i="17"/>
  <c r="AF41" i="17"/>
  <c r="AE447" i="17"/>
  <c r="AE384" i="17"/>
  <c r="AE569" i="17"/>
  <c r="AF58" i="17"/>
  <c r="AE591" i="17"/>
  <c r="AE512" i="17"/>
  <c r="AE286" i="17"/>
  <c r="AE174" i="17"/>
  <c r="AE51" i="17"/>
  <c r="AE129" i="17"/>
  <c r="AF85" i="17"/>
  <c r="AE518" i="17"/>
  <c r="AF486" i="17"/>
  <c r="AF370" i="17"/>
  <c r="AF286" i="17"/>
  <c r="AF603" i="17"/>
  <c r="AF424" i="17"/>
  <c r="AF275" i="17"/>
  <c r="AF224" i="17"/>
  <c r="AF50" i="17"/>
  <c r="AE457" i="17"/>
  <c r="AE336" i="17"/>
  <c r="AE118" i="17"/>
  <c r="AE99" i="17"/>
  <c r="AE82" i="17"/>
  <c r="AF93" i="17"/>
  <c r="AE540" i="17"/>
  <c r="AE474" i="17"/>
  <c r="AE563" i="17"/>
  <c r="AE484" i="17"/>
  <c r="AE361" i="17"/>
  <c r="AE311" i="17"/>
  <c r="AE87" i="17"/>
  <c r="AF72" i="17"/>
  <c r="AE552" i="17"/>
  <c r="AE352" i="17"/>
  <c r="AE602" i="17"/>
  <c r="AF42" i="17"/>
  <c r="AE546" i="17"/>
  <c r="AE408" i="17"/>
  <c r="AE317" i="17"/>
  <c r="AE206" i="17"/>
  <c r="AE219" i="17"/>
  <c r="AE60" i="17"/>
  <c r="AE98" i="17"/>
  <c r="AF101" i="17"/>
  <c r="AE610" i="17"/>
  <c r="AE539" i="17"/>
  <c r="AE466" i="17"/>
  <c r="AF31" i="17"/>
  <c r="AE501" i="17"/>
  <c r="AE316" i="17"/>
  <c r="AE162" i="17"/>
  <c r="AE111" i="17"/>
  <c r="AE16" i="17"/>
  <c r="AE589" i="17"/>
  <c r="AE567" i="17"/>
  <c r="AE417" i="17"/>
  <c r="AE328" i="17"/>
  <c r="AF68" i="17"/>
  <c r="AF67" i="17"/>
  <c r="AE166" i="17"/>
  <c r="AE115" i="17"/>
  <c r="AF13" i="17"/>
  <c r="AE458" i="17"/>
  <c r="AF23" i="17"/>
  <c r="AE525" i="17"/>
  <c r="AE372" i="17"/>
  <c r="AE154" i="17"/>
  <c r="AE71" i="17"/>
  <c r="AE581" i="17"/>
  <c r="AF27" i="17"/>
  <c r="AE538" i="17"/>
  <c r="AE171" i="17"/>
  <c r="AE443" i="17"/>
  <c r="AF47" i="17"/>
  <c r="AE434" i="17"/>
  <c r="AE587" i="17"/>
  <c r="AE444" i="17"/>
  <c r="AE321" i="17"/>
  <c r="AE271" i="17"/>
  <c r="AE48" i="17"/>
  <c r="AE557" i="17"/>
  <c r="AE439" i="17"/>
  <c r="AE481" i="17"/>
  <c r="AE333" i="17"/>
  <c r="AF36" i="17"/>
  <c r="AF34" i="17"/>
  <c r="AE230" i="17"/>
  <c r="AE147" i="17"/>
  <c r="AE50" i="17"/>
  <c r="AE451" i="17"/>
  <c r="AF55" i="17"/>
  <c r="AE500" i="17"/>
  <c r="AE409" i="17"/>
  <c r="AE218" i="17"/>
  <c r="AE135" i="17"/>
  <c r="AE40" i="17"/>
  <c r="AF25" i="17"/>
  <c r="AE536" i="17"/>
  <c r="AF59" i="17"/>
  <c r="AE433" i="17"/>
  <c r="AE158" i="17"/>
  <c r="AE107" i="17"/>
  <c r="AE475" i="17"/>
  <c r="AF14" i="17"/>
  <c r="AE590" i="17"/>
  <c r="AE460" i="17"/>
  <c r="AE306" i="17"/>
  <c r="AE223" i="17"/>
  <c r="AF48" i="17"/>
  <c r="AE455" i="17"/>
  <c r="AE318" i="17"/>
  <c r="AE164" i="17"/>
  <c r="AE304" i="17"/>
  <c r="AE221" i="17"/>
  <c r="AE116" i="17"/>
  <c r="AE288" i="17"/>
  <c r="AE185" i="17"/>
  <c r="AE342" i="17"/>
  <c r="AE284" i="17"/>
  <c r="AE375" i="17"/>
  <c r="AE152" i="17"/>
  <c r="AE229" i="17"/>
  <c r="AE53" i="17"/>
  <c r="AE470" i="17"/>
  <c r="AE200" i="17"/>
  <c r="AE265" i="17"/>
  <c r="AE334" i="17"/>
  <c r="AE351" i="17"/>
  <c r="AE102" i="17"/>
  <c r="AE558" i="17"/>
  <c r="AE428" i="17"/>
  <c r="AE274" i="17"/>
  <c r="AE255" i="17"/>
  <c r="AE31" i="17"/>
  <c r="AF16" i="17"/>
  <c r="AE560" i="17"/>
  <c r="AE423" i="17"/>
  <c r="AE387" i="17"/>
  <c r="AE394" i="17"/>
  <c r="AE208" i="17"/>
  <c r="AE189" i="17"/>
  <c r="AE14" i="17"/>
  <c r="AE415" i="17"/>
  <c r="AE22" i="17"/>
  <c r="AE390" i="17"/>
  <c r="AE395" i="17"/>
  <c r="AE188" i="17"/>
  <c r="AE359" i="17"/>
  <c r="AE184" i="17"/>
  <c r="AE277" i="17"/>
  <c r="AE149" i="17"/>
  <c r="AE438" i="17"/>
  <c r="AE232" i="17"/>
  <c r="AE169" i="17"/>
  <c r="AE308" i="17"/>
  <c r="AE319" i="17"/>
  <c r="AE38" i="17"/>
  <c r="AE402" i="17"/>
  <c r="AE301" i="17"/>
  <c r="AE45" i="17"/>
  <c r="AE140" i="17"/>
  <c r="AE236" i="17"/>
  <c r="AE42" i="17"/>
  <c r="AE17" i="17"/>
  <c r="AE74" i="17"/>
  <c r="AF574" i="17"/>
  <c r="AF406" i="17"/>
  <c r="AF130" i="17"/>
  <c r="AF490" i="17"/>
  <c r="AF290" i="17"/>
  <c r="AF607" i="17"/>
  <c r="AF602" i="17"/>
  <c r="AF474" i="17"/>
  <c r="AF351" i="17"/>
  <c r="AF133" i="17"/>
  <c r="AF604" i="17"/>
  <c r="AF538" i="17"/>
  <c r="AF492" i="17"/>
  <c r="AF401" i="17"/>
  <c r="AF311" i="17"/>
  <c r="AF236" i="17"/>
  <c r="AF599" i="17"/>
  <c r="AF175" i="17"/>
  <c r="AF295" i="17"/>
  <c r="AF558" i="17"/>
  <c r="AF479" i="17"/>
  <c r="AF326" i="17"/>
  <c r="AF306" i="17"/>
  <c r="AF560" i="17"/>
  <c r="AF353" i="17"/>
  <c r="AF376" i="17"/>
  <c r="AF292" i="17"/>
  <c r="AF366" i="17"/>
  <c r="AF239" i="17"/>
  <c r="AF199" i="17"/>
  <c r="AF450" i="17"/>
  <c r="AF398" i="17"/>
  <c r="AF282" i="17"/>
  <c r="AF568" i="17"/>
  <c r="AF425" i="17"/>
  <c r="AF271" i="17"/>
  <c r="AF528" i="17"/>
  <c r="AF407" i="17"/>
  <c r="AF253" i="17"/>
  <c r="AF202" i="17"/>
  <c r="AF521" i="17"/>
  <c r="AF473" i="17"/>
  <c r="AF287" i="17"/>
  <c r="AF220" i="17"/>
  <c r="AF462" i="17"/>
  <c r="AF339" i="17"/>
  <c r="AF249" i="17"/>
  <c r="AF198" i="17"/>
  <c r="AF526" i="17"/>
  <c r="AF405" i="17"/>
  <c r="AF251" i="17"/>
  <c r="AF200" i="17"/>
  <c r="AF196" i="17"/>
  <c r="AF438" i="17"/>
  <c r="AF386" i="17"/>
  <c r="AF161" i="17"/>
  <c r="AF110" i="17"/>
  <c r="AF477" i="17"/>
  <c r="AF324" i="17"/>
  <c r="AF304" i="17"/>
  <c r="AF284" i="17"/>
  <c r="AF446" i="17"/>
  <c r="AF323" i="17"/>
  <c r="AF233" i="17"/>
  <c r="AF182" i="17"/>
  <c r="AF448" i="17"/>
  <c r="AF325" i="17"/>
  <c r="AF235" i="17"/>
  <c r="AF184" i="17"/>
  <c r="AF610" i="17"/>
  <c r="AF359" i="17"/>
  <c r="AF173" i="17"/>
  <c r="AF122" i="17"/>
  <c r="AF368" i="17"/>
  <c r="AF561" i="17"/>
  <c r="AF375" i="17"/>
  <c r="AF221" i="17"/>
  <c r="AF170" i="17"/>
  <c r="AF436" i="17"/>
  <c r="AF345" i="17"/>
  <c r="AF191" i="17"/>
  <c r="AF609" i="17"/>
  <c r="AF430" i="17"/>
  <c r="AF281" i="17"/>
  <c r="AF230" i="17"/>
  <c r="AF548" i="17"/>
  <c r="AF469" i="17"/>
  <c r="AF283" i="17"/>
  <c r="AF232" i="17"/>
  <c r="AF598" i="17"/>
  <c r="AF470" i="17"/>
  <c r="AF347" i="17"/>
  <c r="AF129" i="17"/>
  <c r="AF600" i="17"/>
  <c r="AF534" i="17"/>
  <c r="AF413" i="17"/>
  <c r="AF195" i="17"/>
  <c r="AF144" i="17"/>
  <c r="AF594" i="17"/>
  <c r="AF515" i="17"/>
  <c r="AF265" i="17"/>
  <c r="AF214" i="17"/>
  <c r="AF533" i="17"/>
  <c r="AF517" i="17"/>
  <c r="AF267" i="17"/>
  <c r="AF216" i="17"/>
  <c r="AF570" i="17"/>
  <c r="AF491" i="17"/>
  <c r="AF402" i="17"/>
  <c r="AF177" i="17"/>
  <c r="AF126" i="17"/>
  <c r="AF456" i="17"/>
  <c r="AF333" i="17"/>
  <c r="AF243" i="17"/>
  <c r="AF192" i="17"/>
  <c r="AF18" i="17"/>
  <c r="AE594" i="17"/>
  <c r="AE425" i="17"/>
  <c r="AE341" i="17"/>
  <c r="AE150" i="17"/>
  <c r="AE67" i="17"/>
  <c r="AE18" i="17"/>
  <c r="AE585" i="17"/>
  <c r="AE410" i="17"/>
  <c r="AE596" i="17"/>
  <c r="AE516" i="17"/>
  <c r="AE329" i="17"/>
  <c r="AE279" i="17"/>
  <c r="AE56" i="17"/>
  <c r="AE565" i="17"/>
  <c r="AE520" i="17"/>
  <c r="AE320" i="17"/>
  <c r="AE515" i="17"/>
  <c r="AF26" i="17"/>
  <c r="AE578" i="17"/>
  <c r="AE448" i="17"/>
  <c r="AE254" i="17"/>
  <c r="AE251" i="17"/>
  <c r="AE92" i="17"/>
  <c r="AE66" i="17"/>
  <c r="AF53" i="17"/>
  <c r="AF601" i="17"/>
  <c r="AF422" i="17"/>
  <c r="AF273" i="17"/>
  <c r="AF222" i="17"/>
  <c r="AF541" i="17"/>
  <c r="AF461" i="17"/>
  <c r="AF211" i="17"/>
  <c r="AF160" i="17"/>
  <c r="AF51" i="17"/>
  <c r="AE496" i="17"/>
  <c r="AE373" i="17"/>
  <c r="AE259" i="17"/>
  <c r="AE35" i="17"/>
  <c r="AE44" i="17"/>
  <c r="AF29" i="17"/>
  <c r="AE531" i="17"/>
  <c r="AF38" i="17"/>
  <c r="AE550" i="17"/>
  <c r="AE420" i="17"/>
  <c r="AE266" i="17"/>
  <c r="AE247" i="17"/>
  <c r="AE23" i="17"/>
  <c r="AF73" i="17"/>
  <c r="AE543" i="17"/>
  <c r="AE389" i="17"/>
  <c r="AE483" i="17"/>
  <c r="AF75" i="17"/>
  <c r="AE505" i="17"/>
  <c r="AE344" i="17"/>
  <c r="AE302" i="17"/>
  <c r="AE142" i="17"/>
  <c r="AE155" i="17"/>
  <c r="AE21" i="17"/>
  <c r="AE34" i="17"/>
  <c r="AF69" i="17"/>
  <c r="AE545" i="17"/>
  <c r="AE523" i="17"/>
  <c r="AF96" i="17"/>
  <c r="AE555" i="17"/>
  <c r="AE437" i="17"/>
  <c r="AE353" i="17"/>
  <c r="AE303" i="17"/>
  <c r="AE79" i="17"/>
  <c r="AF64" i="17"/>
  <c r="AE544" i="17"/>
  <c r="AE554" i="17"/>
  <c r="AE488" i="17"/>
  <c r="AE365" i="17"/>
  <c r="AE593" i="17"/>
  <c r="AE605" i="17"/>
  <c r="AE307" i="17"/>
  <c r="AE241" i="17"/>
  <c r="AE556" i="17"/>
  <c r="AF86" i="17"/>
  <c r="AE612" i="17"/>
  <c r="AE493" i="17"/>
  <c r="AE345" i="17"/>
  <c r="AE295" i="17"/>
  <c r="AE72" i="17"/>
  <c r="AE463" i="17"/>
  <c r="AE583" i="17"/>
  <c r="AE126" i="17"/>
  <c r="AE108" i="17"/>
  <c r="AE482" i="17"/>
  <c r="AE564" i="17"/>
  <c r="AF62" i="17"/>
  <c r="AE574" i="17"/>
  <c r="AE412" i="17"/>
  <c r="AE290" i="17"/>
  <c r="AE207" i="17"/>
  <c r="AF32" i="17"/>
  <c r="AE576" i="17"/>
  <c r="AE600" i="17"/>
  <c r="AE456" i="17"/>
  <c r="AE91" i="17"/>
  <c r="AE561" i="17"/>
  <c r="AF99" i="17"/>
  <c r="AE134" i="17"/>
  <c r="AE84" i="17"/>
  <c r="AF109" i="17"/>
  <c r="AE490" i="17"/>
  <c r="AE579" i="17"/>
  <c r="AE436" i="17"/>
  <c r="AE377" i="17"/>
  <c r="AE122" i="17"/>
  <c r="AE103" i="17"/>
  <c r="AF88" i="17"/>
  <c r="AE595" i="17"/>
  <c r="AE527" i="17"/>
  <c r="AE597" i="17"/>
  <c r="AE504" i="17"/>
  <c r="AE267" i="17"/>
  <c r="AE75" i="17"/>
  <c r="AE514" i="17"/>
  <c r="AF79" i="17"/>
  <c r="AE526" i="17"/>
  <c r="AE364" i="17"/>
  <c r="AE242" i="17"/>
  <c r="AE159" i="17"/>
  <c r="AF49" i="17"/>
  <c r="AE494" i="17"/>
  <c r="AE355" i="17"/>
  <c r="AE362" i="17"/>
  <c r="AE240" i="17"/>
  <c r="AE157" i="17"/>
  <c r="AE89" i="17"/>
  <c r="AE224" i="17"/>
  <c r="AE422" i="17"/>
  <c r="AE379" i="17"/>
  <c r="AE220" i="17"/>
  <c r="AE343" i="17"/>
  <c r="AE120" i="17"/>
  <c r="AE197" i="17"/>
  <c r="AE29" i="17"/>
  <c r="AE156" i="17"/>
  <c r="AE94" i="17"/>
  <c r="AE201" i="17"/>
  <c r="AE371" i="17"/>
  <c r="AE128" i="17"/>
  <c r="AE313" i="17"/>
  <c r="AE517" i="17"/>
  <c r="AE396" i="17"/>
  <c r="AE210" i="17"/>
  <c r="AE191" i="17"/>
  <c r="AE96" i="17"/>
  <c r="AF81" i="17"/>
  <c r="AE528" i="17"/>
  <c r="AE446" i="17"/>
  <c r="AE323" i="17"/>
  <c r="AE330" i="17"/>
  <c r="AE176" i="17"/>
  <c r="AE125" i="17"/>
  <c r="AE289" i="17"/>
  <c r="AE256" i="17"/>
  <c r="AE297" i="17"/>
  <c r="AE358" i="17"/>
  <c r="AE363" i="17"/>
  <c r="AE378" i="17"/>
  <c r="AE327" i="17"/>
  <c r="AE168" i="17"/>
  <c r="AE245" i="17"/>
  <c r="AE117" i="17"/>
  <c r="AE386" i="17"/>
  <c r="AE62" i="17"/>
  <c r="AE366" i="17"/>
  <c r="AE244" i="17"/>
  <c r="AE269" i="17"/>
  <c r="AE153" i="17"/>
  <c r="AE370" i="17"/>
  <c r="AE237" i="17"/>
  <c r="AE105" i="17"/>
  <c r="AE281" i="17"/>
  <c r="AE69" i="17"/>
  <c r="AE58" i="17"/>
  <c r="AE90" i="17"/>
  <c r="AF520" i="17"/>
  <c r="AF495" i="17"/>
  <c r="AF181" i="17"/>
  <c r="AF385" i="17"/>
  <c r="AF374" i="17"/>
  <c r="AF585" i="17"/>
  <c r="AF431" i="17"/>
  <c r="AF342" i="17"/>
  <c r="AF117" i="17"/>
  <c r="AF576" i="17"/>
  <c r="AF605" i="17"/>
  <c r="AF426" i="17"/>
  <c r="AF277" i="17"/>
  <c r="AF226" i="17"/>
  <c r="AF544" i="17"/>
  <c r="AF590" i="17"/>
  <c r="AF511" i="17"/>
  <c r="AF358" i="17"/>
  <c r="AF274" i="17"/>
  <c r="AF592" i="17"/>
  <c r="AF444" i="17"/>
  <c r="AF428" i="17"/>
  <c r="AF337" i="17"/>
  <c r="AF247" i="17"/>
  <c r="AF535" i="17"/>
  <c r="AF484" i="17"/>
  <c r="AF321" i="17"/>
  <c r="AF231" i="17"/>
  <c r="AF569" i="17"/>
  <c r="AF383" i="17"/>
  <c r="AF293" i="17"/>
  <c r="AF242" i="17"/>
  <c r="AF508" i="17"/>
  <c r="AF460" i="17"/>
  <c r="AF279" i="17"/>
  <c r="AF597" i="17"/>
  <c r="AF537" i="17"/>
  <c r="AF111" i="17"/>
  <c r="AF135" i="17"/>
  <c r="AF423" i="17"/>
  <c r="AF269" i="17"/>
  <c r="AF218" i="17"/>
  <c r="AF579" i="17"/>
  <c r="AF361" i="17"/>
  <c r="AF143" i="17"/>
  <c r="AF466" i="17"/>
  <c r="AF343" i="17"/>
  <c r="AF189" i="17"/>
  <c r="AF138" i="17"/>
  <c r="AF563" i="17"/>
  <c r="AF377" i="17"/>
  <c r="AF223" i="17"/>
  <c r="AF578" i="17"/>
  <c r="AF499" i="17"/>
  <c r="AF410" i="17"/>
  <c r="AF185" i="17"/>
  <c r="AF134" i="17"/>
  <c r="AF464" i="17"/>
  <c r="AF341" i="17"/>
  <c r="AF187" i="17"/>
  <c r="AF136" i="17"/>
  <c r="AF554" i="17"/>
  <c r="AF475" i="17"/>
  <c r="AF322" i="17"/>
  <c r="AF302" i="17"/>
  <c r="AF556" i="17"/>
  <c r="AF381" i="17"/>
  <c r="AF291" i="17"/>
  <c r="AF240" i="17"/>
  <c r="AF204" i="17"/>
  <c r="AF483" i="17"/>
  <c r="AF394" i="17"/>
  <c r="AF169" i="17"/>
  <c r="AF118" i="17"/>
  <c r="AF485" i="17"/>
  <c r="AF396" i="17"/>
  <c r="AF171" i="17"/>
  <c r="AF120" i="17"/>
  <c r="AF566" i="17"/>
  <c r="AF334" i="17"/>
  <c r="AF314" i="17"/>
  <c r="AF547" i="17"/>
  <c r="AF207" i="17"/>
  <c r="AF498" i="17"/>
  <c r="AF382" i="17"/>
  <c r="AF157" i="17"/>
  <c r="AF106" i="17"/>
  <c r="AF505" i="17"/>
  <c r="AF416" i="17"/>
  <c r="AF127" i="17"/>
  <c r="AF546" i="17"/>
  <c r="AF467" i="17"/>
  <c r="AF217" i="17"/>
  <c r="AF166" i="17"/>
  <c r="AF591" i="17"/>
  <c r="AF373" i="17"/>
  <c r="AF219" i="17"/>
  <c r="AF168" i="17"/>
  <c r="AF586" i="17"/>
  <c r="AF507" i="17"/>
  <c r="AF354" i="17"/>
  <c r="AF270" i="17"/>
  <c r="AF588" i="17"/>
  <c r="AF472" i="17"/>
  <c r="AF349" i="17"/>
  <c r="AF131" i="17"/>
  <c r="AF164" i="17"/>
  <c r="AF531" i="17"/>
  <c r="AF451" i="17"/>
  <c r="AF201" i="17"/>
  <c r="AF150" i="17"/>
  <c r="AF575" i="17"/>
  <c r="AF453" i="17"/>
  <c r="AF203" i="17"/>
  <c r="AF152" i="17"/>
  <c r="AF581" i="17"/>
  <c r="AF427" i="17"/>
  <c r="AF338" i="17"/>
  <c r="AF113" i="17"/>
  <c r="AF572" i="17"/>
  <c r="AF493" i="17"/>
  <c r="AF404" i="17"/>
  <c r="AF179" i="17"/>
  <c r="AF128" i="17"/>
  <c r="AF83" i="17"/>
  <c r="AE530" i="17"/>
  <c r="AE464" i="17"/>
  <c r="AE310" i="17"/>
  <c r="AE291" i="17"/>
  <c r="AE68" i="17"/>
  <c r="AF60" i="17"/>
  <c r="AE467" i="17"/>
  <c r="AF70" i="17"/>
  <c r="AE582" i="17"/>
  <c r="AE452" i="17"/>
  <c r="AE298" i="17"/>
  <c r="AE215" i="17"/>
  <c r="AF40" i="17"/>
  <c r="AE584" i="17"/>
  <c r="AE486" i="17"/>
  <c r="AE357" i="17"/>
  <c r="AF124" i="17"/>
  <c r="AF107" i="17"/>
  <c r="AE529" i="17"/>
  <c r="AE376" i="17"/>
  <c r="AE222" i="17"/>
  <c r="AE187" i="17"/>
  <c r="AE257" i="17"/>
  <c r="AE28" i="17"/>
  <c r="AF21" i="17"/>
  <c r="AF539" i="17"/>
  <c r="AF459" i="17"/>
  <c r="AF209" i="17"/>
  <c r="AF158" i="17"/>
  <c r="AF583" i="17"/>
  <c r="AF365" i="17"/>
  <c r="AF147" i="17"/>
  <c r="AF180" i="17"/>
  <c r="AE575" i="17"/>
  <c r="AE432" i="17"/>
  <c r="AE278" i="17"/>
  <c r="AE195" i="17"/>
  <c r="AE100" i="17"/>
  <c r="AF92" i="17"/>
  <c r="AE553" i="17"/>
  <c r="AE499" i="17"/>
  <c r="AF103" i="17"/>
  <c r="AE509" i="17"/>
  <c r="AE388" i="17"/>
  <c r="AE202" i="17"/>
  <c r="AE183" i="17"/>
  <c r="AE88" i="17"/>
  <c r="AE611" i="17"/>
  <c r="AE479" i="17"/>
  <c r="AE325" i="17"/>
  <c r="AF108" i="17"/>
  <c r="AE613" i="17"/>
  <c r="AE441" i="17"/>
  <c r="AE413" i="17"/>
  <c r="AE270" i="17"/>
  <c r="AE110" i="17"/>
  <c r="AE83" i="17"/>
  <c r="AE225" i="17"/>
  <c r="AF84" i="17"/>
  <c r="AF37" i="17"/>
  <c r="AE580" i="17"/>
  <c r="AE491" i="17"/>
  <c r="AF30" i="17"/>
  <c r="AE542" i="17"/>
  <c r="AE476" i="17"/>
  <c r="AE258" i="17"/>
  <c r="AE239" i="17"/>
  <c r="AE15" i="17"/>
  <c r="AF65" i="17"/>
  <c r="AE471" i="17"/>
  <c r="AE513" i="17"/>
  <c r="AE424" i="17"/>
  <c r="AE59" i="17"/>
  <c r="AF132" i="17"/>
  <c r="AE262" i="17"/>
  <c r="AE243" i="17"/>
  <c r="AE113" i="17"/>
  <c r="AE524" i="17"/>
  <c r="AF22" i="17"/>
  <c r="AE547" i="17"/>
  <c r="AE429" i="17"/>
  <c r="AE250" i="17"/>
  <c r="AE231" i="17"/>
  <c r="AF56" i="17"/>
  <c r="AE502" i="17"/>
  <c r="AE551" i="17"/>
  <c r="AE299" i="17"/>
  <c r="AE36" i="17"/>
  <c r="AE418" i="17"/>
  <c r="AE459" i="17"/>
  <c r="AF63" i="17"/>
  <c r="AE469" i="17"/>
  <c r="AE348" i="17"/>
  <c r="AE226" i="17"/>
  <c r="AE143" i="17"/>
  <c r="AF97" i="17"/>
  <c r="AE535" i="17"/>
  <c r="AE586" i="17"/>
  <c r="AE360" i="17"/>
  <c r="AE27" i="17"/>
  <c r="AE507" i="17"/>
  <c r="AF35" i="17"/>
  <c r="AE275" i="17"/>
  <c r="AE37" i="17"/>
  <c r="AF45" i="17"/>
  <c r="AE426" i="17"/>
  <c r="AE566" i="17"/>
  <c r="AE404" i="17"/>
  <c r="AE314" i="17"/>
  <c r="AE263" i="17"/>
  <c r="AE39" i="17"/>
  <c r="AF24" i="17"/>
  <c r="AE549" i="17"/>
  <c r="AE495" i="17"/>
  <c r="AE497" i="17"/>
  <c r="AE472" i="17"/>
  <c r="AE203" i="17"/>
  <c r="AE43" i="17"/>
  <c r="AE450" i="17"/>
  <c r="AF15" i="17"/>
  <c r="AE485" i="17"/>
  <c r="AE401" i="17"/>
  <c r="AE146" i="17"/>
  <c r="AE63" i="17"/>
  <c r="AE573" i="17"/>
  <c r="AE478" i="17"/>
  <c r="AE260" i="17"/>
  <c r="AE399" i="17"/>
  <c r="AE144" i="17"/>
  <c r="AE61" i="17"/>
  <c r="AE25" i="17"/>
  <c r="AE54" i="17"/>
  <c r="AE406" i="17"/>
  <c r="AE347" i="17"/>
  <c r="AE148" i="17"/>
  <c r="AE280" i="17"/>
  <c r="AE293" i="17"/>
  <c r="AE165" i="17"/>
  <c r="AE97" i="17"/>
  <c r="AE354" i="17"/>
  <c r="AE30" i="17"/>
  <c r="AE137" i="17"/>
  <c r="AE276" i="17"/>
  <c r="AE205" i="17"/>
  <c r="AE268" i="17"/>
  <c r="AE453" i="17"/>
  <c r="AE332" i="17"/>
  <c r="AE178" i="17"/>
  <c r="AE127" i="17"/>
  <c r="AE32" i="17"/>
  <c r="AF17" i="17"/>
  <c r="AE519" i="17"/>
  <c r="AE414" i="17"/>
  <c r="AE292" i="17"/>
  <c r="AE367" i="17"/>
  <c r="AE112" i="17"/>
  <c r="AE93" i="17"/>
  <c r="AE57" i="17"/>
  <c r="AE192" i="17"/>
  <c r="AE249" i="17"/>
  <c r="AE326" i="17"/>
  <c r="AE331" i="17"/>
  <c r="AE407" i="17"/>
  <c r="AE312" i="17"/>
  <c r="AE136" i="17"/>
  <c r="AE213" i="17"/>
  <c r="AE85" i="17"/>
  <c r="AE322" i="17"/>
  <c r="AE132" i="17"/>
  <c r="AE403" i="17"/>
  <c r="AE180" i="17"/>
  <c r="AE141" i="17"/>
  <c r="AE204" i="17"/>
  <c r="AE338" i="17"/>
  <c r="AE173" i="17"/>
  <c r="AE41" i="17"/>
  <c r="AE217" i="17"/>
  <c r="AE49" i="17"/>
  <c r="AE101" i="17"/>
  <c r="AE106" i="17"/>
  <c r="AF399" i="17"/>
  <c r="AF258" i="17"/>
  <c r="AF543" i="17"/>
  <c r="AF213" i="17"/>
  <c r="AF162" i="17"/>
  <c r="AF527" i="17"/>
  <c r="AF447" i="17"/>
  <c r="AF261" i="17"/>
  <c r="AF210" i="17"/>
  <c r="AF529" i="17"/>
  <c r="AF513" i="17"/>
  <c r="AF497" i="17"/>
  <c r="AF408" i="17"/>
  <c r="AF183" i="17"/>
  <c r="AF482" i="17"/>
  <c r="AF393" i="17"/>
  <c r="AF392" i="17"/>
  <c r="AF167" i="17"/>
  <c r="AF506" i="17"/>
  <c r="AF319" i="17"/>
  <c r="AF229" i="17"/>
  <c r="AF178" i="17"/>
  <c r="AF481" i="17"/>
  <c r="AF465" i="17"/>
  <c r="AF215" i="17"/>
  <c r="AF545" i="17"/>
  <c r="AF420" i="17"/>
  <c r="AF360" i="17"/>
  <c r="AF276" i="17"/>
  <c r="AF391" i="17"/>
  <c r="AF205" i="17"/>
  <c r="AF154" i="17"/>
  <c r="AF452" i="17"/>
  <c r="AF400" i="17"/>
  <c r="AF582" i="17"/>
  <c r="AF503" i="17"/>
  <c r="AF414" i="17"/>
  <c r="AF125" i="17"/>
  <c r="AF596" i="17"/>
  <c r="AF530" i="17"/>
  <c r="AF384" i="17"/>
  <c r="AF159" i="17"/>
  <c r="AF589" i="17"/>
  <c r="AF435" i="17"/>
  <c r="AF346" i="17"/>
  <c r="AF121" i="17"/>
  <c r="AF580" i="17"/>
  <c r="AF501" i="17"/>
  <c r="AF412" i="17"/>
  <c r="AF123" i="17"/>
  <c r="AF156" i="17"/>
  <c r="AF565" i="17"/>
  <c r="AF379" i="17"/>
  <c r="AF289" i="17"/>
  <c r="AF238" i="17"/>
  <c r="AF504" i="17"/>
  <c r="AF317" i="17"/>
  <c r="AF227" i="17"/>
  <c r="AF176" i="17"/>
  <c r="AF562" i="17"/>
  <c r="AF419" i="17"/>
  <c r="AF330" i="17"/>
  <c r="AF310" i="17"/>
  <c r="AF564" i="17"/>
  <c r="AF421" i="17"/>
  <c r="AF332" i="17"/>
  <c r="AF312" i="17"/>
  <c r="AF140" i="17"/>
  <c r="AF514" i="17"/>
  <c r="AF301" i="17"/>
  <c r="AF250" i="17"/>
  <c r="AF516" i="17"/>
  <c r="AF613" i="17"/>
  <c r="AF434" i="17"/>
  <c r="AF318" i="17"/>
  <c r="AF298" i="17"/>
  <c r="AF552" i="17"/>
  <c r="AF441" i="17"/>
  <c r="AF352" i="17"/>
  <c r="AF268" i="17"/>
  <c r="AF557" i="17"/>
  <c r="AF371" i="17"/>
  <c r="AF153" i="17"/>
  <c r="AF102" i="17"/>
  <c r="AF496" i="17"/>
  <c r="AF380" i="17"/>
  <c r="AF155" i="17"/>
  <c r="AF104" i="17"/>
  <c r="AF523" i="17"/>
  <c r="AF443" i="17"/>
  <c r="AF257" i="17"/>
  <c r="AF206" i="17"/>
  <c r="AF525" i="17"/>
  <c r="AF509" i="17"/>
  <c r="AF356" i="17"/>
  <c r="AF272" i="17"/>
  <c r="AF252" i="17"/>
  <c r="AF540" i="17"/>
  <c r="AF355" i="17"/>
  <c r="AF137" i="17"/>
  <c r="AF608" i="17"/>
  <c r="AF542" i="17"/>
  <c r="AF357" i="17"/>
  <c r="AF139" i="17"/>
  <c r="AF172" i="17"/>
  <c r="AF519" i="17"/>
  <c r="AF395" i="17"/>
  <c r="AF305" i="17"/>
  <c r="AF254" i="17"/>
  <c r="AF551" i="17"/>
  <c r="AF429" i="17"/>
  <c r="AF340" i="17"/>
  <c r="AF115" i="17"/>
  <c r="AF148" i="17"/>
  <c r="AF19" i="17"/>
  <c r="AE521" i="17"/>
  <c r="AE368" i="17"/>
  <c r="AE246" i="17"/>
  <c r="AE227" i="17"/>
  <c r="AE273" i="17"/>
  <c r="AF61" i="17"/>
  <c r="AE506" i="17"/>
  <c r="AF71" i="17"/>
  <c r="AE541" i="17"/>
  <c r="AE356" i="17"/>
  <c r="AE234" i="17"/>
  <c r="AE151" i="17"/>
  <c r="AF105" i="17"/>
  <c r="AE511" i="17"/>
  <c r="AE537" i="17"/>
  <c r="AF44" i="17"/>
  <c r="AF90" i="17"/>
  <c r="AF43" i="17"/>
  <c r="AE473" i="17"/>
  <c r="AE349" i="17"/>
  <c r="AE190" i="17"/>
  <c r="AE123" i="17"/>
  <c r="AE193" i="17"/>
  <c r="AF52" i="17"/>
  <c r="AE577" i="17"/>
  <c r="AF549" i="17"/>
  <c r="AF363" i="17"/>
  <c r="AF145" i="17"/>
  <c r="AF94" i="17"/>
  <c r="AF488" i="17"/>
  <c r="AF372" i="17"/>
  <c r="AF288" i="17"/>
  <c r="AF116" i="17"/>
  <c r="AE562" i="17"/>
  <c r="AE400" i="17"/>
  <c r="AE214" i="17"/>
  <c r="AE131" i="17"/>
  <c r="AE209" i="17"/>
  <c r="AF28" i="17"/>
  <c r="AE572" i="17"/>
  <c r="AE435" i="17"/>
  <c r="AF39" i="17"/>
  <c r="AE445" i="17"/>
  <c r="AE324" i="17"/>
  <c r="AE170" i="17"/>
  <c r="AE119" i="17"/>
  <c r="AE24" i="17"/>
  <c r="AE598" i="17"/>
  <c r="AE416" i="17"/>
  <c r="AF76" i="17"/>
  <c r="AF74" i="17"/>
  <c r="AE559" i="17"/>
  <c r="AE480" i="17"/>
  <c r="AE381" i="17"/>
  <c r="AE238" i="17"/>
  <c r="AE283" i="17"/>
  <c r="AE19" i="17"/>
  <c r="AE161" i="17"/>
  <c r="AF20" i="17"/>
  <c r="AE607" i="17"/>
  <c r="AE548" i="17"/>
  <c r="AE427" i="17"/>
  <c r="AF95" i="17"/>
  <c r="AE533" i="17"/>
  <c r="AE380" i="17"/>
  <c r="AE194" i="17"/>
  <c r="AE175" i="17"/>
  <c r="AE80" i="17"/>
  <c r="AE603" i="17"/>
  <c r="AE510" i="17"/>
  <c r="AE449" i="17"/>
  <c r="AE392" i="17"/>
  <c r="AE20" i="17"/>
  <c r="AF66" i="17"/>
  <c r="AE198" i="17"/>
  <c r="AE179" i="17"/>
  <c r="AF77" i="17"/>
  <c r="AE419" i="17"/>
  <c r="AF87" i="17"/>
  <c r="AE534" i="17"/>
  <c r="AE468" i="17"/>
  <c r="AE186" i="17"/>
  <c r="AE167" i="17"/>
  <c r="AF57" i="17"/>
  <c r="AF91" i="17"/>
  <c r="AE570" i="17"/>
  <c r="AE235" i="17"/>
  <c r="AE532" i="17"/>
  <c r="AF46" i="17"/>
  <c r="AE498" i="17"/>
  <c r="AE601" i="17"/>
  <c r="AE508" i="17"/>
  <c r="AE385" i="17"/>
  <c r="AE130" i="17"/>
  <c r="AE47" i="17"/>
  <c r="AF33" i="17"/>
  <c r="AE503" i="17"/>
  <c r="AE522" i="17"/>
  <c r="AE397" i="17"/>
  <c r="AE52" i="17"/>
  <c r="AF100" i="17"/>
  <c r="AE294" i="17"/>
  <c r="AE211" i="17"/>
  <c r="AE177" i="17"/>
  <c r="AE588" i="17"/>
  <c r="AF54" i="17"/>
  <c r="AE461" i="17"/>
  <c r="AE340" i="17"/>
  <c r="AE282" i="17"/>
  <c r="AE199" i="17"/>
  <c r="AE104" i="17"/>
  <c r="AF89" i="17"/>
  <c r="AE568" i="17"/>
  <c r="AE431" i="17"/>
  <c r="AE465" i="17"/>
  <c r="AE440" i="17"/>
  <c r="AE139" i="17"/>
  <c r="AE76" i="17"/>
  <c r="AF78" i="17"/>
  <c r="AE604" i="17"/>
  <c r="AE421" i="17"/>
  <c r="AE337" i="17"/>
  <c r="AE287" i="17"/>
  <c r="AE64" i="17"/>
  <c r="AE592" i="17"/>
  <c r="AE382" i="17"/>
  <c r="AE196" i="17"/>
  <c r="AE335" i="17"/>
  <c r="AE285" i="17"/>
  <c r="AE46" i="17"/>
  <c r="AE430" i="17"/>
  <c r="AE124" i="17"/>
  <c r="AE374" i="17"/>
  <c r="AE315" i="17"/>
  <c r="AE346" i="17"/>
  <c r="AE216" i="17"/>
  <c r="AE261" i="17"/>
  <c r="AE133" i="17"/>
  <c r="AE33" i="17"/>
  <c r="AE264" i="17"/>
  <c r="AE305" i="17"/>
  <c r="AE398" i="17"/>
  <c r="AE212" i="17"/>
  <c r="AE109" i="17"/>
  <c r="AE571" i="17"/>
  <c r="AE492" i="17"/>
  <c r="AE369" i="17"/>
  <c r="AE114" i="17"/>
  <c r="AE95" i="17"/>
  <c r="AF80" i="17"/>
  <c r="AE606" i="17"/>
  <c r="AE487" i="17"/>
  <c r="AE350" i="17"/>
  <c r="AE228" i="17"/>
  <c r="AE272" i="17"/>
  <c r="AE253" i="17"/>
  <c r="AE78" i="17"/>
  <c r="AE462" i="17"/>
  <c r="AE86" i="17"/>
  <c r="AE454" i="17"/>
  <c r="AE411" i="17"/>
  <c r="AE252" i="17"/>
  <c r="AE391" i="17"/>
  <c r="AE248" i="17"/>
  <c r="AE309" i="17"/>
  <c r="AE181" i="17"/>
  <c r="AE65" i="17"/>
  <c r="AE296" i="17"/>
  <c r="AE233" i="17"/>
  <c r="AE339" i="17"/>
  <c r="AE383" i="17"/>
  <c r="AE73" i="17"/>
  <c r="AE172" i="17"/>
  <c r="AE160" i="17"/>
  <c r="AE77" i="17"/>
  <c r="AE70" i="17"/>
  <c r="AE300" i="17"/>
  <c r="AE26" i="17"/>
  <c r="AE81" i="17"/>
  <c r="AE121" i="17"/>
  <c r="AF628" i="17"/>
  <c r="C48" i="16" l="1"/>
  <c r="D48" i="16" s="1"/>
  <c r="A376" i="2"/>
  <c r="B247" i="2"/>
  <c r="B72" i="1"/>
  <c r="AE628" i="17"/>
  <c r="D407" i="2" l="1"/>
  <c r="B407" i="2"/>
  <c r="A407" i="2"/>
  <c r="C3" i="8"/>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33" i="8" s="1"/>
  <c r="C72" i="1" s="1"/>
  <c r="S34" i="8"/>
  <c r="C73" i="1" s="1"/>
  <c r="R34" i="8"/>
  <c r="B249" i="2" l="1"/>
  <c r="B409" i="2" s="1"/>
  <c r="C40" i="16"/>
  <c r="D40" i="16" s="1"/>
  <c r="R33" i="8"/>
  <c r="B248" i="2" l="1"/>
  <c r="B408" i="2"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R28" i="8" s="1"/>
  <c r="S28" i="8" s="1"/>
  <c r="C41" i="16"/>
  <c r="D41" i="16" s="1"/>
  <c r="C10" i="28" l="1"/>
  <c r="A408" i="2"/>
  <c r="B252" i="2"/>
  <c r="F72" i="1" s="1"/>
  <c r="B235" i="2"/>
  <c r="F71" i="1" s="1"/>
  <c r="R27" i="8"/>
  <c r="S27" i="8" s="1"/>
  <c r="K12" i="29" s="1"/>
  <c r="R23" i="8"/>
  <c r="S23" i="8" s="1"/>
  <c r="A409" i="2"/>
  <c r="B236" i="2"/>
  <c r="B253" i="2"/>
  <c r="C9" i="28" l="1"/>
  <c r="C4" i="17"/>
  <c r="K190" i="17" s="1"/>
  <c r="E64" i="1"/>
  <c r="C5" i="17"/>
  <c r="J594" i="17" s="1"/>
  <c r="T16" i="27"/>
  <c r="C11" i="28"/>
  <c r="T48" i="27"/>
  <c r="T37" i="27"/>
  <c r="T36" i="27"/>
  <c r="T80" i="27"/>
  <c r="T20" i="27"/>
  <c r="T95" i="27"/>
  <c r="T19" i="27"/>
  <c r="T40" i="27"/>
  <c r="T89" i="27"/>
  <c r="T25" i="27"/>
  <c r="T94" i="27"/>
  <c r="T44" i="27"/>
  <c r="T83" i="27"/>
  <c r="T35" i="27"/>
  <c r="T86" i="27"/>
  <c r="T34" i="27"/>
  <c r="T18" i="27"/>
  <c r="T24" i="27"/>
  <c r="T85" i="27"/>
  <c r="T49" i="27"/>
  <c r="T47" i="27"/>
  <c r="T46" i="27"/>
  <c r="T81" i="27"/>
  <c r="T43" i="27"/>
  <c r="T23" i="27"/>
  <c r="T26" i="27"/>
  <c r="T21" i="27"/>
  <c r="T41" i="27"/>
  <c r="T90" i="27"/>
  <c r="T31" i="27"/>
  <c r="T84" i="27"/>
  <c r="T32" i="27"/>
  <c r="T91" i="27"/>
  <c r="C7" i="17"/>
  <c r="F73" i="1"/>
  <c r="A629" i="17"/>
  <c r="A627" i="17"/>
  <c r="L403" i="17" l="1"/>
  <c r="K386" i="17"/>
  <c r="L173" i="17"/>
  <c r="K129" i="17"/>
  <c r="L265" i="17"/>
  <c r="K180" i="17"/>
  <c r="L538" i="17"/>
  <c r="L79" i="17"/>
  <c r="L484" i="17"/>
  <c r="L123" i="17"/>
  <c r="K272" i="17"/>
  <c r="K400" i="17"/>
  <c r="L122" i="17"/>
  <c r="L389" i="17"/>
  <c r="K470" i="17"/>
  <c r="V18" i="27"/>
  <c r="W18" i="27" s="1"/>
  <c r="Z18" i="27"/>
  <c r="V83" i="27"/>
  <c r="X83" i="27" s="1"/>
  <c r="Z83" i="27"/>
  <c r="V89" i="27"/>
  <c r="X89" i="27" s="1"/>
  <c r="Z89" i="27"/>
  <c r="V20" i="27"/>
  <c r="W20" i="27" s="1"/>
  <c r="Z20" i="27"/>
  <c r="V48" i="27"/>
  <c r="X48" i="27" s="1"/>
  <c r="Z48" i="27"/>
  <c r="V91" i="27"/>
  <c r="X91" i="27" s="1"/>
  <c r="Z91" i="27"/>
  <c r="V47" i="27"/>
  <c r="W47" i="27" s="1"/>
  <c r="Z47" i="27"/>
  <c r="V41" i="27"/>
  <c r="W41" i="27" s="1"/>
  <c r="Z41" i="27"/>
  <c r="V43" i="27"/>
  <c r="X43" i="27" s="1"/>
  <c r="Z43" i="27"/>
  <c r="V49" i="27"/>
  <c r="X49" i="27" s="1"/>
  <c r="Z49" i="27"/>
  <c r="V34" i="27"/>
  <c r="X34" i="27" s="1"/>
  <c r="Z34" i="27"/>
  <c r="V44" i="27"/>
  <c r="X44" i="27" s="1"/>
  <c r="Z44" i="27"/>
  <c r="V40" i="27"/>
  <c r="X40" i="27" s="1"/>
  <c r="Z40" i="27"/>
  <c r="V80" i="27"/>
  <c r="X80" i="27" s="1"/>
  <c r="Z80" i="27"/>
  <c r="V23" i="27"/>
  <c r="W23" i="27" s="1"/>
  <c r="Z23" i="27"/>
  <c r="V84" i="27"/>
  <c r="X84" i="27" s="1"/>
  <c r="Z84" i="27"/>
  <c r="V21" i="27"/>
  <c r="W21" i="27" s="1"/>
  <c r="Z21" i="27"/>
  <c r="V81" i="27"/>
  <c r="W81" i="27" s="1"/>
  <c r="Z81" i="27"/>
  <c r="V85" i="27"/>
  <c r="W85" i="27" s="1"/>
  <c r="Z85" i="27"/>
  <c r="V86" i="27"/>
  <c r="W86" i="27" s="1"/>
  <c r="Z86" i="27"/>
  <c r="V94" i="27"/>
  <c r="W94" i="27" s="1"/>
  <c r="Z94" i="27"/>
  <c r="V19" i="27"/>
  <c r="W19" i="27" s="1"/>
  <c r="Z19" i="27"/>
  <c r="V36" i="27"/>
  <c r="W36" i="27" s="1"/>
  <c r="Z36" i="27"/>
  <c r="V16" i="27"/>
  <c r="X16" i="27" s="1"/>
  <c r="Z16" i="27"/>
  <c r="V90" i="27"/>
  <c r="W90" i="27" s="1"/>
  <c r="Z90" i="27"/>
  <c r="V32" i="27"/>
  <c r="W32" i="27" s="1"/>
  <c r="Z32" i="27"/>
  <c r="V31" i="27"/>
  <c r="W31" i="27" s="1"/>
  <c r="Z31" i="27"/>
  <c r="V26" i="27"/>
  <c r="W26" i="27" s="1"/>
  <c r="Z26" i="27"/>
  <c r="V46" i="27"/>
  <c r="W46" i="27" s="1"/>
  <c r="Z46" i="27"/>
  <c r="V24" i="27"/>
  <c r="W24" i="27" s="1"/>
  <c r="Z24" i="27"/>
  <c r="V35" i="27"/>
  <c r="W35" i="27" s="1"/>
  <c r="Z35" i="27"/>
  <c r="V25" i="27"/>
  <c r="X25" i="27" s="1"/>
  <c r="Z25" i="27"/>
  <c r="V95" i="27"/>
  <c r="W95" i="27" s="1"/>
  <c r="Z95" i="27"/>
  <c r="V37" i="27"/>
  <c r="X37" i="27" s="1"/>
  <c r="Z37" i="27"/>
  <c r="L561" i="17"/>
  <c r="K257" i="17"/>
  <c r="L250" i="17"/>
  <c r="L80" i="17"/>
  <c r="L592" i="17"/>
  <c r="K481" i="17"/>
  <c r="K65" i="17"/>
  <c r="L567" i="17"/>
  <c r="K308" i="17"/>
  <c r="L301" i="17"/>
  <c r="K109" i="17"/>
  <c r="K514" i="17"/>
  <c r="L430" i="17"/>
  <c r="K221" i="17"/>
  <c r="L473" i="17"/>
  <c r="L236" i="17"/>
  <c r="L609" i="17"/>
  <c r="K606" i="17"/>
  <c r="L372" i="17"/>
  <c r="K116" i="17"/>
  <c r="K365" i="17"/>
  <c r="L314" i="17"/>
  <c r="K45" i="17"/>
  <c r="L16" i="17"/>
  <c r="K450" i="17"/>
  <c r="K564" i="17"/>
  <c r="L453" i="17"/>
  <c r="L331" i="17"/>
  <c r="K144" i="17"/>
  <c r="L294" i="17"/>
  <c r="L548" i="17"/>
  <c r="L463" i="17"/>
  <c r="L428" i="17"/>
  <c r="K425" i="17"/>
  <c r="K244" i="17"/>
  <c r="K193" i="17"/>
  <c r="L237" i="17"/>
  <c r="L186" i="17"/>
  <c r="L47" i="17"/>
  <c r="L410" i="17"/>
  <c r="K475" i="17"/>
  <c r="L325" i="17"/>
  <c r="L571" i="17"/>
  <c r="K320" i="17"/>
  <c r="K393" i="17"/>
  <c r="L36" i="17"/>
  <c r="K527" i="17"/>
  <c r="K545" i="17"/>
  <c r="L467" i="17"/>
  <c r="K592" i="17"/>
  <c r="K464" i="17"/>
  <c r="L340" i="17"/>
  <c r="K212" i="17"/>
  <c r="K289" i="17"/>
  <c r="K161" i="17"/>
  <c r="K333" i="17"/>
  <c r="L205" i="17"/>
  <c r="L282" i="17"/>
  <c r="L154" i="17"/>
  <c r="K77" i="17"/>
  <c r="L63" i="17"/>
  <c r="L48" i="17"/>
  <c r="K354" i="17"/>
  <c r="K482" i="17"/>
  <c r="K507" i="17"/>
  <c r="L560" i="17"/>
  <c r="L357" i="17"/>
  <c r="L485" i="17"/>
  <c r="K582" i="17"/>
  <c r="K576" i="17"/>
  <c r="L336" i="17"/>
  <c r="K285" i="17"/>
  <c r="K329" i="17"/>
  <c r="L166" i="17"/>
  <c r="K342" i="17"/>
  <c r="L345" i="17"/>
  <c r="K243" i="17"/>
  <c r="L541" i="17"/>
  <c r="L492" i="17"/>
  <c r="L339" i="17"/>
  <c r="K489" i="17"/>
  <c r="K336" i="17"/>
  <c r="K276" i="17"/>
  <c r="K148" i="17"/>
  <c r="K225" i="17"/>
  <c r="K397" i="17"/>
  <c r="L269" i="17"/>
  <c r="L141" i="17"/>
  <c r="L218" i="17"/>
  <c r="K13" i="17"/>
  <c r="L31" i="17"/>
  <c r="L95" i="17"/>
  <c r="K622" i="17"/>
  <c r="K418" i="17"/>
  <c r="K443" i="17"/>
  <c r="K522" i="17"/>
  <c r="K605" i="17"/>
  <c r="L421" i="17"/>
  <c r="L494" i="17"/>
  <c r="L459" i="17"/>
  <c r="K456" i="17"/>
  <c r="K208" i="17"/>
  <c r="K157" i="17"/>
  <c r="L201" i="17"/>
  <c r="L57" i="17"/>
  <c r="K495" i="17"/>
  <c r="L506" i="17"/>
  <c r="K412" i="17"/>
  <c r="L539" i="17"/>
  <c r="L460" i="17"/>
  <c r="L435" i="17"/>
  <c r="K409" i="17"/>
  <c r="K536" i="17"/>
  <c r="K457" i="17"/>
  <c r="K432" i="17"/>
  <c r="L390" i="17"/>
  <c r="L324" i="17"/>
  <c r="K260" i="17"/>
  <c r="K196" i="17"/>
  <c r="K132" i="17"/>
  <c r="K273" i="17"/>
  <c r="K209" i="17"/>
  <c r="K145" i="17"/>
  <c r="K381" i="17"/>
  <c r="K317" i="17"/>
  <c r="L253" i="17"/>
  <c r="L189" i="17"/>
  <c r="L125" i="17"/>
  <c r="L266" i="17"/>
  <c r="L202" i="17"/>
  <c r="L138" i="17"/>
  <c r="K29" i="17"/>
  <c r="K93" i="17"/>
  <c r="L39" i="17"/>
  <c r="L71" i="17"/>
  <c r="L103" i="17"/>
  <c r="L64" i="17"/>
  <c r="L392" i="17"/>
  <c r="K370" i="17"/>
  <c r="K434" i="17"/>
  <c r="K498" i="17"/>
  <c r="K459" i="17"/>
  <c r="L522" i="17"/>
  <c r="K538" i="17"/>
  <c r="L576" i="17"/>
  <c r="K411" i="17"/>
  <c r="L373" i="17"/>
  <c r="L437" i="17"/>
  <c r="L509" i="17"/>
  <c r="K525" i="17"/>
  <c r="L551" i="17"/>
  <c r="L395" i="17"/>
  <c r="L545" i="17"/>
  <c r="K392" i="17"/>
  <c r="K304" i="17"/>
  <c r="K176" i="17"/>
  <c r="K253" i="17"/>
  <c r="K125" i="17"/>
  <c r="L297" i="17"/>
  <c r="L153" i="17"/>
  <c r="L114" i="17"/>
  <c r="L89" i="17"/>
  <c r="K406" i="17"/>
  <c r="L573" i="17"/>
  <c r="L409" i="17"/>
  <c r="K551" i="17"/>
  <c r="L287" i="17"/>
  <c r="K135" i="17"/>
  <c r="K74" i="17"/>
  <c r="K577" i="17"/>
  <c r="K523" i="17"/>
  <c r="L499" i="17"/>
  <c r="L371" i="17"/>
  <c r="L574" i="17"/>
  <c r="L520" i="17"/>
  <c r="K496" i="17"/>
  <c r="K368" i="17"/>
  <c r="L356" i="17"/>
  <c r="K292" i="17"/>
  <c r="K228" i="17"/>
  <c r="K164" i="17"/>
  <c r="K305" i="17"/>
  <c r="K241" i="17"/>
  <c r="K177" i="17"/>
  <c r="K318" i="17"/>
  <c r="K349" i="17"/>
  <c r="L285" i="17"/>
  <c r="L221" i="17"/>
  <c r="L157" i="17"/>
  <c r="L298" i="17"/>
  <c r="L234" i="17"/>
  <c r="L170" i="17"/>
  <c r="K121" i="17"/>
  <c r="K61" i="17"/>
  <c r="L23" i="17"/>
  <c r="L55" i="17"/>
  <c r="L87" i="17"/>
  <c r="L32" i="17"/>
  <c r="L96" i="17"/>
  <c r="K338" i="17"/>
  <c r="K402" i="17"/>
  <c r="K466" i="17"/>
  <c r="K427" i="17"/>
  <c r="K491" i="17"/>
  <c r="L565" i="17"/>
  <c r="L544" i="17"/>
  <c r="K608" i="17"/>
  <c r="L341" i="17"/>
  <c r="L405" i="17"/>
  <c r="L469" i="17"/>
  <c r="L462" i="17"/>
  <c r="L601" i="17"/>
  <c r="L420" i="17"/>
  <c r="K598" i="17"/>
  <c r="K417" i="17"/>
  <c r="L368" i="17"/>
  <c r="K240" i="17"/>
  <c r="K112" i="17"/>
  <c r="K189" i="17"/>
  <c r="K361" i="17"/>
  <c r="L233" i="17"/>
  <c r="L230" i="17"/>
  <c r="L25" i="17"/>
  <c r="L100" i="17"/>
  <c r="K431" i="17"/>
  <c r="K612" i="17"/>
  <c r="L434" i="17"/>
  <c r="L524" i="17"/>
  <c r="L94" i="17"/>
  <c r="L50" i="17"/>
  <c r="K52" i="17"/>
  <c r="K294" i="17"/>
  <c r="K22" i="17"/>
  <c r="L128" i="17"/>
  <c r="L610" i="17"/>
  <c r="K492" i="17"/>
  <c r="L559" i="17"/>
  <c r="K183" i="17"/>
  <c r="L70" i="17"/>
  <c r="L260" i="17"/>
  <c r="K267" i="17"/>
  <c r="K524" i="17"/>
  <c r="K547" i="17"/>
  <c r="K143" i="17"/>
  <c r="K517" i="17"/>
  <c r="K331" i="17"/>
  <c r="K584" i="17"/>
  <c r="K108" i="17"/>
  <c r="K39" i="17"/>
  <c r="L115" i="17"/>
  <c r="K371" i="17"/>
  <c r="K122" i="17"/>
  <c r="L378" i="17"/>
  <c r="K599" i="17"/>
  <c r="L602" i="17"/>
  <c r="K102" i="17"/>
  <c r="K38" i="17"/>
  <c r="K27" i="17"/>
  <c r="L204" i="17"/>
  <c r="L127" i="17"/>
  <c r="L255" i="17"/>
  <c r="K383" i="17"/>
  <c r="K211" i="17"/>
  <c r="K134" i="17"/>
  <c r="K262" i="17"/>
  <c r="L394" i="17"/>
  <c r="K461" i="17"/>
  <c r="K413" i="17"/>
  <c r="L464" i="17"/>
  <c r="L612" i="17"/>
  <c r="K567" i="17"/>
  <c r="L529" i="17"/>
  <c r="K521" i="17"/>
  <c r="L474" i="17"/>
  <c r="L442" i="17"/>
  <c r="L513" i="17"/>
  <c r="L481" i="17"/>
  <c r="L449" i="17"/>
  <c r="L417" i="17"/>
  <c r="L385" i="17"/>
  <c r="L353" i="17"/>
  <c r="L321" i="17"/>
  <c r="K601" i="17"/>
  <c r="L588" i="17"/>
  <c r="L556" i="17"/>
  <c r="K556" i="17"/>
  <c r="L589" i="17"/>
  <c r="L534" i="17"/>
  <c r="K503" i="17"/>
  <c r="K471" i="17"/>
  <c r="K439" i="17"/>
  <c r="K510" i="17"/>
  <c r="K478" i="17"/>
  <c r="K446" i="17"/>
  <c r="K414" i="17"/>
  <c r="K382" i="17"/>
  <c r="K350" i="17"/>
  <c r="L404" i="17"/>
  <c r="L108" i="17"/>
  <c r="L76" i="17"/>
  <c r="L44" i="17"/>
  <c r="L109" i="17"/>
  <c r="L93" i="17"/>
  <c r="L77" i="17"/>
  <c r="L61" i="17"/>
  <c r="L45" i="17"/>
  <c r="L29" i="17"/>
  <c r="K105" i="17"/>
  <c r="K73" i="17"/>
  <c r="K41" i="17"/>
  <c r="K16" i="17"/>
  <c r="L126" i="17"/>
  <c r="L158" i="17"/>
  <c r="L190" i="17"/>
  <c r="L222" i="17"/>
  <c r="L254" i="17"/>
  <c r="L286" i="17"/>
  <c r="L113" i="17"/>
  <c r="L145" i="17"/>
  <c r="L177" i="17"/>
  <c r="K315" i="17"/>
  <c r="L299" i="17"/>
  <c r="L176" i="17"/>
  <c r="K508" i="17"/>
  <c r="K99" i="17"/>
  <c r="L311" i="17"/>
  <c r="L318" i="17"/>
  <c r="L527" i="17"/>
  <c r="K130" i="17"/>
  <c r="L232" i="17"/>
  <c r="K79" i="17"/>
  <c r="L338" i="17"/>
  <c r="K590" i="17"/>
  <c r="K44" i="17"/>
  <c r="L192" i="17"/>
  <c r="L243" i="17"/>
  <c r="K199" i="17"/>
  <c r="K250" i="17"/>
  <c r="K437" i="17"/>
  <c r="L440" i="17"/>
  <c r="L62" i="17"/>
  <c r="K70" i="17"/>
  <c r="K91" i="17"/>
  <c r="L140" i="17"/>
  <c r="L268" i="17"/>
  <c r="L191" i="17"/>
  <c r="K319" i="17"/>
  <c r="K147" i="17"/>
  <c r="K275" i="17"/>
  <c r="K198" i="17"/>
  <c r="L326" i="17"/>
  <c r="K436" i="17"/>
  <c r="K540" i="17"/>
  <c r="L439" i="17"/>
  <c r="L543" i="17"/>
  <c r="L599" i="17"/>
  <c r="K578" i="17"/>
  <c r="L563" i="17"/>
  <c r="L490" i="17"/>
  <c r="L458" i="17"/>
  <c r="L426" i="17"/>
  <c r="L497" i="17"/>
  <c r="L465" i="17"/>
  <c r="L433" i="17"/>
  <c r="L401" i="17"/>
  <c r="L369" i="17"/>
  <c r="L337" i="17"/>
  <c r="K407" i="17"/>
  <c r="K604" i="17"/>
  <c r="L572" i="17"/>
  <c r="K588" i="17"/>
  <c r="K534" i="17"/>
  <c r="L557" i="17"/>
  <c r="L518" i="17"/>
  <c r="K487" i="17"/>
  <c r="K455" i="17"/>
  <c r="K423" i="17"/>
  <c r="K494" i="17"/>
  <c r="K462" i="17"/>
  <c r="K430" i="17"/>
  <c r="K398" i="17"/>
  <c r="K366" i="17"/>
  <c r="K332" i="17"/>
  <c r="L388" i="17"/>
  <c r="L92" i="17"/>
  <c r="L60" i="17"/>
  <c r="L28" i="17"/>
  <c r="L101" i="17"/>
  <c r="L85" i="17"/>
  <c r="L69" i="17"/>
  <c r="L53" i="17"/>
  <c r="L37" i="17"/>
  <c r="L21" i="17"/>
  <c r="K89" i="17"/>
  <c r="K57" i="17"/>
  <c r="K25" i="17"/>
  <c r="K113" i="17"/>
  <c r="L142" i="17"/>
  <c r="L174" i="17"/>
  <c r="L206" i="17"/>
  <c r="L238" i="17"/>
  <c r="L270" i="17"/>
  <c r="L302" i="17"/>
  <c r="L129" i="17"/>
  <c r="L161" i="17"/>
  <c r="K306" i="17"/>
  <c r="L511" i="17"/>
  <c r="K139" i="17"/>
  <c r="L603" i="17"/>
  <c r="K239" i="17"/>
  <c r="K460" i="17"/>
  <c r="K103" i="17"/>
  <c r="L307" i="17"/>
  <c r="K314" i="17"/>
  <c r="L591" i="17"/>
  <c r="K54" i="17"/>
  <c r="L172" i="17"/>
  <c r="L223" i="17"/>
  <c r="K179" i="17"/>
  <c r="K230" i="17"/>
  <c r="K500" i="17"/>
  <c r="L503" i="17"/>
  <c r="K583" i="17"/>
  <c r="K537" i="17"/>
  <c r="L450" i="17"/>
  <c r="L489" i="17"/>
  <c r="L425" i="17"/>
  <c r="L361" i="17"/>
  <c r="K609" i="17"/>
  <c r="L564" i="17"/>
  <c r="K526" i="17"/>
  <c r="K511" i="17"/>
  <c r="K447" i="17"/>
  <c r="K486" i="17"/>
  <c r="K422" i="17"/>
  <c r="K358" i="17"/>
  <c r="L626" i="17"/>
  <c r="L52" i="17"/>
  <c r="L97" i="17"/>
  <c r="L65" i="17"/>
  <c r="L33" i="17"/>
  <c r="K81" i="17"/>
  <c r="K17" i="17"/>
  <c r="L150" i="17"/>
  <c r="L214" i="17"/>
  <c r="L278" i="17"/>
  <c r="L137" i="17"/>
  <c r="L193" i="17"/>
  <c r="L225" i="17"/>
  <c r="L257" i="17"/>
  <c r="L289" i="17"/>
  <c r="K321" i="17"/>
  <c r="K353" i="17"/>
  <c r="K385" i="17"/>
  <c r="K326" i="17"/>
  <c r="K149" i="17"/>
  <c r="K181" i="17"/>
  <c r="K213" i="17"/>
  <c r="K245" i="17"/>
  <c r="K277" i="17"/>
  <c r="K309" i="17"/>
  <c r="K136" i="17"/>
  <c r="K168" i="17"/>
  <c r="K200" i="17"/>
  <c r="K232" i="17"/>
  <c r="K264" i="17"/>
  <c r="K296" i="17"/>
  <c r="L328" i="17"/>
  <c r="L360" i="17"/>
  <c r="L398" i="17"/>
  <c r="K376" i="17"/>
  <c r="K440" i="17"/>
  <c r="K504" i="17"/>
  <c r="K465" i="17"/>
  <c r="L528" i="17"/>
  <c r="K544" i="17"/>
  <c r="L582" i="17"/>
  <c r="L315" i="17"/>
  <c r="L379" i="17"/>
  <c r="L443" i="17"/>
  <c r="L507" i="17"/>
  <c r="L468" i="17"/>
  <c r="K531" i="17"/>
  <c r="K550" i="17"/>
  <c r="K585" i="17"/>
  <c r="L587" i="17"/>
  <c r="K533" i="17"/>
  <c r="L502" i="17"/>
  <c r="L470" i="17"/>
  <c r="L438" i="17"/>
  <c r="L168" i="17"/>
  <c r="L227" i="17"/>
  <c r="L132" i="17"/>
  <c r="K420" i="17"/>
  <c r="L456" i="17"/>
  <c r="L280" i="17"/>
  <c r="L74" i="17"/>
  <c r="L256" i="17"/>
  <c r="K263" i="17"/>
  <c r="L585" i="17"/>
  <c r="L30" i="17"/>
  <c r="K59" i="17"/>
  <c r="L300" i="17"/>
  <c r="K351" i="17"/>
  <c r="K307" i="17"/>
  <c r="L358" i="17"/>
  <c r="L578" i="17"/>
  <c r="K581" i="17"/>
  <c r="K546" i="17"/>
  <c r="L482" i="17"/>
  <c r="L418" i="17"/>
  <c r="L457" i="17"/>
  <c r="L393" i="17"/>
  <c r="L329" i="17"/>
  <c r="K596" i="17"/>
  <c r="K572" i="17"/>
  <c r="L542" i="17"/>
  <c r="K479" i="17"/>
  <c r="K518" i="17"/>
  <c r="K454" i="17"/>
  <c r="K390" i="17"/>
  <c r="K316" i="17"/>
  <c r="L84" i="17"/>
  <c r="L20" i="17"/>
  <c r="L81" i="17"/>
  <c r="L49" i="17"/>
  <c r="L15" i="17"/>
  <c r="K49" i="17"/>
  <c r="L118" i="17"/>
  <c r="L182" i="17"/>
  <c r="L246" i="17"/>
  <c r="L310" i="17"/>
  <c r="L169" i="17"/>
  <c r="L209" i="17"/>
  <c r="L241" i="17"/>
  <c r="L273" i="17"/>
  <c r="L305" i="17"/>
  <c r="K337" i="17"/>
  <c r="K369" i="17"/>
  <c r="K401" i="17"/>
  <c r="K133" i="17"/>
  <c r="K165" i="17"/>
  <c r="K197" i="17"/>
  <c r="K229" i="17"/>
  <c r="K261" i="17"/>
  <c r="K293" i="17"/>
  <c r="K120" i="17"/>
  <c r="K152" i="17"/>
  <c r="K184" i="17"/>
  <c r="K216" i="17"/>
  <c r="K248" i="17"/>
  <c r="K280" i="17"/>
  <c r="K312" i="17"/>
  <c r="L344" i="17"/>
  <c r="L376" i="17"/>
  <c r="K344" i="17"/>
  <c r="K408" i="17"/>
  <c r="K472" i="17"/>
  <c r="K433" i="17"/>
  <c r="K497" i="17"/>
  <c r="L577" i="17"/>
  <c r="L550" i="17"/>
  <c r="K595" i="17"/>
  <c r="L347" i="17"/>
  <c r="L411" i="17"/>
  <c r="L475" i="17"/>
  <c r="L436" i="17"/>
  <c r="L500" i="17"/>
  <c r="L583" i="17"/>
  <c r="K553" i="17"/>
  <c r="L598" i="17"/>
  <c r="L555" i="17"/>
  <c r="L519" i="17"/>
  <c r="L486" i="17"/>
  <c r="L454" i="17"/>
  <c r="L422" i="17"/>
  <c r="L493" i="17"/>
  <c r="K593" i="17"/>
  <c r="K566" i="17"/>
  <c r="K539" i="17"/>
  <c r="L476" i="17"/>
  <c r="L515" i="17"/>
  <c r="L451" i="17"/>
  <c r="L387" i="17"/>
  <c r="L323" i="17"/>
  <c r="L590" i="17"/>
  <c r="K560" i="17"/>
  <c r="L536" i="17"/>
  <c r="K473" i="17"/>
  <c r="K512" i="17"/>
  <c r="K448" i="17"/>
  <c r="K384" i="17"/>
  <c r="L406" i="17"/>
  <c r="L364" i="17"/>
  <c r="L332" i="17"/>
  <c r="K300" i="17"/>
  <c r="K268" i="17"/>
  <c r="K236" i="17"/>
  <c r="K204" i="17"/>
  <c r="K172" i="17"/>
  <c r="K140" i="17"/>
  <c r="K313" i="17"/>
  <c r="K281" i="17"/>
  <c r="K249" i="17"/>
  <c r="K217" i="17"/>
  <c r="K185" i="17"/>
  <c r="K153" i="17"/>
  <c r="K334" i="17"/>
  <c r="K389" i="17"/>
  <c r="K357" i="17"/>
  <c r="K325" i="17"/>
  <c r="L293" i="17"/>
  <c r="L261" i="17"/>
  <c r="L229" i="17"/>
  <c r="L197" i="17"/>
  <c r="L165" i="17"/>
  <c r="L133" i="17"/>
  <c r="L306" i="17"/>
  <c r="L274" i="17"/>
  <c r="L242" i="17"/>
  <c r="L210" i="17"/>
  <c r="L178" i="17"/>
  <c r="L146" i="17"/>
  <c r="K119" i="17"/>
  <c r="K21" i="17"/>
  <c r="K53" i="17"/>
  <c r="K85" i="17"/>
  <c r="L19" i="17"/>
  <c r="L35" i="17"/>
  <c r="L51" i="17"/>
  <c r="L67" i="17"/>
  <c r="L83" i="17"/>
  <c r="L99" i="17"/>
  <c r="L24" i="17"/>
  <c r="L56" i="17"/>
  <c r="L88" i="17"/>
  <c r="L623" i="17"/>
  <c r="K324" i="17"/>
  <c r="K362" i="17"/>
  <c r="K394" i="17"/>
  <c r="K426" i="17"/>
  <c r="K458" i="17"/>
  <c r="K490" i="17"/>
  <c r="K419" i="17"/>
  <c r="K451" i="17"/>
  <c r="K483" i="17"/>
  <c r="K515" i="17"/>
  <c r="L549" i="17"/>
  <c r="K530" i="17"/>
  <c r="K580" i="17"/>
  <c r="L568" i="17"/>
  <c r="K600" i="17"/>
  <c r="K613" i="17"/>
  <c r="L333" i="17"/>
  <c r="L365" i="17"/>
  <c r="L397" i="17"/>
  <c r="L429" i="17"/>
  <c r="L461" i="17"/>
  <c r="L501" i="17"/>
  <c r="L446" i="17"/>
  <c r="L510" i="17"/>
  <c r="A625" i="17"/>
  <c r="P625" i="17" s="1"/>
  <c r="L531" i="17"/>
  <c r="L452" i="17"/>
  <c r="L427" i="17"/>
  <c r="K611" i="17"/>
  <c r="K528" i="17"/>
  <c r="K449" i="17"/>
  <c r="K424" i="17"/>
  <c r="L384" i="17"/>
  <c r="L320" i="17"/>
  <c r="K256" i="17"/>
  <c r="K192" i="17"/>
  <c r="K128" i="17"/>
  <c r="K269" i="17"/>
  <c r="K205" i="17"/>
  <c r="K141" i="17"/>
  <c r="K377" i="17"/>
  <c r="L313" i="17"/>
  <c r="L249" i="17"/>
  <c r="L185" i="17"/>
  <c r="L262" i="17"/>
  <c r="L134" i="17"/>
  <c r="K97" i="17"/>
  <c r="L73" i="17"/>
  <c r="L68" i="17"/>
  <c r="K374" i="17"/>
  <c r="K502" i="17"/>
  <c r="L526" i="17"/>
  <c r="L580" i="17"/>
  <c r="L377" i="17"/>
  <c r="L505" i="17"/>
  <c r="L525" i="17"/>
  <c r="L375" i="17"/>
  <c r="K166" i="17"/>
  <c r="L159" i="17"/>
  <c r="K86" i="17"/>
  <c r="K186" i="17"/>
  <c r="K76" i="17"/>
  <c r="L98" i="17"/>
  <c r="L183" i="17"/>
  <c r="L13" i="17"/>
  <c r="L606" i="17"/>
  <c r="K561" i="17"/>
  <c r="L523" i="17"/>
  <c r="L508" i="17"/>
  <c r="L444" i="17"/>
  <c r="L483" i="17"/>
  <c r="L419" i="17"/>
  <c r="L355" i="17"/>
  <c r="K603" i="17"/>
  <c r="L558" i="17"/>
  <c r="L593" i="17"/>
  <c r="K505" i="17"/>
  <c r="K441" i="17"/>
  <c r="K480" i="17"/>
  <c r="K416" i="17"/>
  <c r="K352" i="17"/>
  <c r="L380" i="17"/>
  <c r="L348" i="17"/>
  <c r="L316" i="17"/>
  <c r="K284" i="17"/>
  <c r="K252" i="17"/>
  <c r="K220" i="17"/>
  <c r="K188" i="17"/>
  <c r="K156" i="17"/>
  <c r="K124" i="17"/>
  <c r="K297" i="17"/>
  <c r="K265" i="17"/>
  <c r="K233" i="17"/>
  <c r="K201" i="17"/>
  <c r="K169" i="17"/>
  <c r="K137" i="17"/>
  <c r="K405" i="17"/>
  <c r="K373" i="17"/>
  <c r="K341" i="17"/>
  <c r="L309" i="17"/>
  <c r="L277" i="17"/>
  <c r="L245" i="17"/>
  <c r="L213" i="17"/>
  <c r="L181" i="17"/>
  <c r="L149" i="17"/>
  <c r="L117" i="17"/>
  <c r="L290" i="17"/>
  <c r="L258" i="17"/>
  <c r="L226" i="17"/>
  <c r="L194" i="17"/>
  <c r="L162" i="17"/>
  <c r="L130" i="17"/>
  <c r="L110" i="17"/>
  <c r="K37" i="17"/>
  <c r="K69" i="17"/>
  <c r="K101" i="17"/>
  <c r="L27" i="17"/>
  <c r="L43" i="17"/>
  <c r="L59" i="17"/>
  <c r="L75" i="17"/>
  <c r="L91" i="17"/>
  <c r="L107" i="17"/>
  <c r="L40" i="17"/>
  <c r="L72" i="17"/>
  <c r="L104" i="17"/>
  <c r="L400" i="17"/>
  <c r="K346" i="17"/>
  <c r="K378" i="17"/>
  <c r="K410" i="17"/>
  <c r="K442" i="17"/>
  <c r="K474" i="17"/>
  <c r="K506" i="17"/>
  <c r="K435" i="17"/>
  <c r="K467" i="17"/>
  <c r="K499" i="17"/>
  <c r="L530" i="17"/>
  <c r="L581" i="17"/>
  <c r="K548" i="17"/>
  <c r="L552" i="17"/>
  <c r="L584" i="17"/>
  <c r="K597" i="17"/>
  <c r="L317" i="17"/>
  <c r="L349" i="17"/>
  <c r="L381" i="17"/>
  <c r="L413" i="17"/>
  <c r="L445" i="17"/>
  <c r="L477" i="17"/>
  <c r="L517" i="17"/>
  <c r="L478" i="17"/>
  <c r="K541" i="17"/>
  <c r="K569" i="17"/>
  <c r="L516" i="17"/>
  <c r="L491" i="17"/>
  <c r="L363" i="17"/>
  <c r="L566" i="17"/>
  <c r="K513" i="17"/>
  <c r="K488" i="17"/>
  <c r="K360" i="17"/>
  <c r="L352" i="17"/>
  <c r="K288" i="17"/>
  <c r="K224" i="17"/>
  <c r="K160" i="17"/>
  <c r="K301" i="17"/>
  <c r="K237" i="17"/>
  <c r="K173" i="17"/>
  <c r="L412" i="17"/>
  <c r="K345" i="17"/>
  <c r="L281" i="17"/>
  <c r="L217" i="17"/>
  <c r="L121" i="17"/>
  <c r="L198" i="17"/>
  <c r="K33" i="17"/>
  <c r="L41" i="17"/>
  <c r="L105" i="17"/>
  <c r="L396" i="17"/>
  <c r="K438" i="17"/>
  <c r="K463" i="17"/>
  <c r="K542" i="17"/>
  <c r="K415" i="17"/>
  <c r="L441" i="17"/>
  <c r="L466" i="17"/>
  <c r="L596" i="17"/>
  <c r="K372" i="17"/>
  <c r="K322" i="17"/>
  <c r="K111" i="17"/>
  <c r="L415" i="17"/>
  <c r="L179" i="17"/>
  <c r="K287" i="17"/>
  <c r="L423" i="17"/>
  <c r="K234" i="17"/>
  <c r="L498" i="17"/>
  <c r="K529" i="17"/>
  <c r="L579" i="17"/>
  <c r="L537" i="17"/>
  <c r="K594" i="17"/>
  <c r="K575" i="17"/>
  <c r="L607" i="17"/>
  <c r="L613" i="17"/>
  <c r="L575" i="17"/>
  <c r="L432" i="17"/>
  <c r="L407" i="17"/>
  <c r="K610" i="17"/>
  <c r="L569" i="17"/>
  <c r="K429" i="17"/>
  <c r="K404" i="17"/>
  <c r="L374" i="17"/>
  <c r="K310" i="17"/>
  <c r="K246" i="17"/>
  <c r="K182" i="17"/>
  <c r="K118" i="17"/>
  <c r="K259" i="17"/>
  <c r="K195" i="17"/>
  <c r="K131" i="17"/>
  <c r="K367" i="17"/>
  <c r="L303" i="17"/>
  <c r="L239" i="17"/>
  <c r="L175" i="17"/>
  <c r="L111" i="17"/>
  <c r="L252" i="17"/>
  <c r="L188" i="17"/>
  <c r="L124" i="17"/>
  <c r="K43" i="17"/>
  <c r="K107" i="17"/>
  <c r="K46" i="17"/>
  <c r="K78" i="17"/>
  <c r="L14" i="17"/>
  <c r="L78" i="17"/>
  <c r="K557" i="17"/>
  <c r="L479" i="17"/>
  <c r="L554" i="17"/>
  <c r="K476" i="17"/>
  <c r="L346" i="17"/>
  <c r="K218" i="17"/>
  <c r="K295" i="17"/>
  <c r="K167" i="17"/>
  <c r="K339" i="17"/>
  <c r="L211" i="17"/>
  <c r="L288" i="17"/>
  <c r="L160" i="17"/>
  <c r="K71" i="17"/>
  <c r="K60" i="17"/>
  <c r="L42" i="17"/>
  <c r="L488" i="17"/>
  <c r="K485" i="17"/>
  <c r="K210" i="17"/>
  <c r="L203" i="17"/>
  <c r="K64" i="17"/>
  <c r="K290" i="17"/>
  <c r="K24" i="17"/>
  <c r="L136" i="17"/>
  <c r="K31" i="17"/>
  <c r="K571" i="17"/>
  <c r="L448" i="17"/>
  <c r="K445" i="17"/>
  <c r="K254" i="17"/>
  <c r="K203" i="17"/>
  <c r="L247" i="17"/>
  <c r="L196" i="17"/>
  <c r="K42" i="17"/>
  <c r="K589" i="17"/>
  <c r="L362" i="17"/>
  <c r="K355" i="17"/>
  <c r="K55" i="17"/>
  <c r="L553" i="17"/>
  <c r="L248" i="17"/>
  <c r="K175" i="17"/>
  <c r="K453" i="17"/>
  <c r="L514" i="17"/>
  <c r="L547" i="17"/>
  <c r="L521" i="17"/>
  <c r="K562" i="17"/>
  <c r="K559" i="17"/>
  <c r="K591" i="17"/>
  <c r="L604" i="17"/>
  <c r="K549" i="17"/>
  <c r="L496" i="17"/>
  <c r="L471" i="17"/>
  <c r="L343" i="17"/>
  <c r="L546" i="17"/>
  <c r="K493" i="17"/>
  <c r="K468" i="17"/>
  <c r="K340" i="17"/>
  <c r="L342" i="17"/>
  <c r="K278" i="17"/>
  <c r="K214" i="17"/>
  <c r="K150" i="17"/>
  <c r="K291" i="17"/>
  <c r="K227" i="17"/>
  <c r="K163" i="17"/>
  <c r="K399" i="17"/>
  <c r="K335" i="17"/>
  <c r="L271" i="17"/>
  <c r="L207" i="17"/>
  <c r="L143" i="17"/>
  <c r="L284" i="17"/>
  <c r="L220" i="17"/>
  <c r="L156" i="17"/>
  <c r="K18" i="17"/>
  <c r="K75" i="17"/>
  <c r="K30" i="17"/>
  <c r="K62" i="17"/>
  <c r="K94" i="17"/>
  <c r="L46" i="17"/>
  <c r="L622" i="17"/>
  <c r="L504" i="17"/>
  <c r="L351" i="17"/>
  <c r="K501" i="17"/>
  <c r="K348" i="17"/>
  <c r="K282" i="17"/>
  <c r="K154" i="17"/>
  <c r="K231" i="17"/>
  <c r="K403" i="17"/>
  <c r="L275" i="17"/>
  <c r="L147" i="17"/>
  <c r="L224" i="17"/>
  <c r="K14" i="17"/>
  <c r="K28" i="17"/>
  <c r="K92" i="17"/>
  <c r="L106" i="17"/>
  <c r="L335" i="17"/>
  <c r="K328" i="17"/>
  <c r="K159" i="17"/>
  <c r="L152" i="17"/>
  <c r="K519" i="17"/>
  <c r="L283" i="17"/>
  <c r="K428" i="17"/>
  <c r="L251" i="17"/>
  <c r="K570" i="17"/>
  <c r="C635" i="17"/>
  <c r="K607" i="17"/>
  <c r="L382" i="17"/>
  <c r="K126" i="17"/>
  <c r="K375" i="17"/>
  <c r="L119" i="17"/>
  <c r="K35" i="17"/>
  <c r="K106" i="17"/>
  <c r="L586" i="17"/>
  <c r="K311" i="17"/>
  <c r="L304" i="17"/>
  <c r="L26" i="17"/>
  <c r="K255" i="17"/>
  <c r="L82" i="17"/>
  <c r="L535" i="17"/>
  <c r="J628" i="17"/>
  <c r="K274" i="17"/>
  <c r="K223" i="17"/>
  <c r="L267" i="17"/>
  <c r="L216" i="17"/>
  <c r="K32" i="17"/>
  <c r="K626" i="17"/>
  <c r="K364" i="17"/>
  <c r="L416" i="17"/>
  <c r="K117" i="17"/>
  <c r="L431" i="17"/>
  <c r="L187" i="17"/>
  <c r="K258" i="17"/>
  <c r="K104" i="17"/>
  <c r="K554" i="17"/>
  <c r="K555" i="17"/>
  <c r="L600" i="17"/>
  <c r="L512" i="17"/>
  <c r="L359" i="17"/>
  <c r="K509" i="17"/>
  <c r="K356" i="17"/>
  <c r="K286" i="17"/>
  <c r="K158" i="17"/>
  <c r="K235" i="17"/>
  <c r="L408" i="17"/>
  <c r="L279" i="17"/>
  <c r="L151" i="17"/>
  <c r="L228" i="17"/>
  <c r="L112" i="17"/>
  <c r="K26" i="17"/>
  <c r="K90" i="17"/>
  <c r="L102" i="17"/>
  <c r="L383" i="17"/>
  <c r="K380" i="17"/>
  <c r="K170" i="17"/>
  <c r="K330" i="17"/>
  <c r="L163" i="17"/>
  <c r="K115" i="17"/>
  <c r="K84" i="17"/>
  <c r="L399" i="17"/>
  <c r="K178" i="17"/>
  <c r="L171" i="17"/>
  <c r="K80" i="17"/>
  <c r="K226" i="17"/>
  <c r="K56" i="17"/>
  <c r="K95" i="17"/>
  <c r="K379" i="17"/>
  <c r="K146" i="17"/>
  <c r="K395" i="17"/>
  <c r="L139" i="17"/>
  <c r="K15" i="17"/>
  <c r="K96" i="17"/>
  <c r="L367" i="17"/>
  <c r="K162" i="17"/>
  <c r="L155" i="17"/>
  <c r="K88" i="17"/>
  <c r="K194" i="17"/>
  <c r="K72" i="17"/>
  <c r="K40" i="17"/>
  <c r="L533" i="17"/>
  <c r="K586" i="17"/>
  <c r="K587" i="17"/>
  <c r="K565" i="17"/>
  <c r="L487" i="17"/>
  <c r="L562" i="17"/>
  <c r="K484" i="17"/>
  <c r="L350" i="17"/>
  <c r="K222" i="17"/>
  <c r="K299" i="17"/>
  <c r="K171" i="17"/>
  <c r="K343" i="17"/>
  <c r="L215" i="17"/>
  <c r="L292" i="17"/>
  <c r="L164" i="17"/>
  <c r="K67" i="17"/>
  <c r="K58" i="17"/>
  <c r="L38" i="17"/>
  <c r="K535" i="17"/>
  <c r="L532" i="17"/>
  <c r="K298" i="17"/>
  <c r="K247" i="17"/>
  <c r="L291" i="17"/>
  <c r="L240" i="17"/>
  <c r="K20" i="17"/>
  <c r="L90" i="17"/>
  <c r="K396" i="17"/>
  <c r="K127" i="17"/>
  <c r="L120" i="17"/>
  <c r="L495" i="17"/>
  <c r="L219" i="17"/>
  <c r="L322" i="17"/>
  <c r="L200" i="17"/>
  <c r="J34" i="17"/>
  <c r="J351" i="17"/>
  <c r="J253" i="17"/>
  <c r="H627" i="17"/>
  <c r="O627" i="17"/>
  <c r="R627" i="17"/>
  <c r="Q627" i="17"/>
  <c r="P627" i="17"/>
  <c r="I381" i="17"/>
  <c r="J174" i="17"/>
  <c r="L628" i="17"/>
  <c r="I353" i="17"/>
  <c r="I51" i="17"/>
  <c r="J62" i="17"/>
  <c r="I561" i="17"/>
  <c r="I62" i="17"/>
  <c r="J623" i="17"/>
  <c r="J202" i="17"/>
  <c r="J109" i="17"/>
  <c r="J302" i="17"/>
  <c r="J435" i="17"/>
  <c r="J147" i="17"/>
  <c r="I40" i="17"/>
  <c r="J125" i="17"/>
  <c r="I79" i="17"/>
  <c r="J225" i="17"/>
  <c r="J519" i="17"/>
  <c r="I311" i="17"/>
  <c r="K579" i="17"/>
  <c r="L611" i="17"/>
  <c r="L597" i="17"/>
  <c r="K543" i="17"/>
  <c r="K520" i="17"/>
  <c r="L391" i="17"/>
  <c r="L594" i="17"/>
  <c r="L540" i="17"/>
  <c r="K516" i="17"/>
  <c r="K388" i="17"/>
  <c r="L366" i="17"/>
  <c r="K302" i="17"/>
  <c r="K238" i="17"/>
  <c r="K174" i="17"/>
  <c r="K110" i="17"/>
  <c r="K251" i="17"/>
  <c r="K187" i="17"/>
  <c r="K123" i="17"/>
  <c r="K359" i="17"/>
  <c r="L295" i="17"/>
  <c r="L231" i="17"/>
  <c r="L167" i="17"/>
  <c r="L308" i="17"/>
  <c r="L244" i="17"/>
  <c r="L180" i="17"/>
  <c r="L116" i="17"/>
  <c r="K51" i="17"/>
  <c r="L17" i="17"/>
  <c r="K50" i="17"/>
  <c r="K82" i="17"/>
  <c r="L22" i="17"/>
  <c r="L86" i="17"/>
  <c r="K558" i="17"/>
  <c r="L447" i="17"/>
  <c r="K552" i="17"/>
  <c r="K444" i="17"/>
  <c r="L330" i="17"/>
  <c r="K202" i="17"/>
  <c r="K279" i="17"/>
  <c r="K151" i="17"/>
  <c r="K323" i="17"/>
  <c r="L195" i="17"/>
  <c r="L272" i="17"/>
  <c r="L144" i="17"/>
  <c r="K87" i="17"/>
  <c r="K68" i="17"/>
  <c r="L58" i="17"/>
  <c r="L424" i="17"/>
  <c r="K421" i="17"/>
  <c r="K242" i="17"/>
  <c r="K191" i="17"/>
  <c r="L235" i="17"/>
  <c r="L184" i="17"/>
  <c r="K48" i="17"/>
  <c r="K573" i="17"/>
  <c r="L354" i="17"/>
  <c r="K347" i="17"/>
  <c r="K63" i="17"/>
  <c r="K532" i="17"/>
  <c r="L264" i="17"/>
  <c r="K207" i="17"/>
  <c r="L386" i="17"/>
  <c r="J73" i="17"/>
  <c r="J98" i="17"/>
  <c r="J266" i="17"/>
  <c r="I317" i="17"/>
  <c r="I76" i="17"/>
  <c r="J110" i="17"/>
  <c r="J161" i="17"/>
  <c r="I409" i="17"/>
  <c r="J479" i="17"/>
  <c r="I159" i="17"/>
  <c r="J275" i="17"/>
  <c r="K628" i="17"/>
  <c r="K563" i="17"/>
  <c r="L595" i="17"/>
  <c r="L608" i="17"/>
  <c r="K574" i="17"/>
  <c r="L480" i="17"/>
  <c r="L455" i="17"/>
  <c r="L327" i="17"/>
  <c r="K568" i="17"/>
  <c r="K477" i="17"/>
  <c r="K452" i="17"/>
  <c r="L414" i="17"/>
  <c r="L334" i="17"/>
  <c r="K270" i="17"/>
  <c r="K206" i="17"/>
  <c r="K142" i="17"/>
  <c r="K283" i="17"/>
  <c r="K219" i="17"/>
  <c r="K155" i="17"/>
  <c r="K391" i="17"/>
  <c r="K327" i="17"/>
  <c r="L263" i="17"/>
  <c r="L199" i="17"/>
  <c r="L135" i="17"/>
  <c r="L276" i="17"/>
  <c r="L212" i="17"/>
  <c r="L148" i="17"/>
  <c r="K19" i="17"/>
  <c r="K83" i="17"/>
  <c r="K34" i="17"/>
  <c r="K66" i="17"/>
  <c r="K98" i="17"/>
  <c r="L54" i="17"/>
  <c r="K623" i="17"/>
  <c r="L472" i="17"/>
  <c r="L319" i="17"/>
  <c r="K469" i="17"/>
  <c r="L402" i="17"/>
  <c r="K266" i="17"/>
  <c r="K138" i="17"/>
  <c r="K215" i="17"/>
  <c r="K387" i="17"/>
  <c r="L259" i="17"/>
  <c r="L131" i="17"/>
  <c r="L208" i="17"/>
  <c r="K23" i="17"/>
  <c r="K36" i="17"/>
  <c r="K100" i="17"/>
  <c r="L605" i="17"/>
  <c r="K602" i="17"/>
  <c r="L370" i="17"/>
  <c r="K114" i="17"/>
  <c r="K363" i="17"/>
  <c r="L312" i="17"/>
  <c r="K47" i="17"/>
  <c r="L18" i="17"/>
  <c r="L570" i="17"/>
  <c r="K303" i="17"/>
  <c r="L296" i="17"/>
  <c r="L34" i="17"/>
  <c r="K271" i="17"/>
  <c r="L66" i="17"/>
  <c r="AA625" i="17"/>
  <c r="I104" i="17"/>
  <c r="J138" i="17"/>
  <c r="J189" i="17"/>
  <c r="J45" i="17"/>
  <c r="I15" i="17"/>
  <c r="J238" i="17"/>
  <c r="J289" i="17"/>
  <c r="J391" i="17"/>
  <c r="J460" i="17"/>
  <c r="I29" i="17"/>
  <c r="I516" i="17"/>
  <c r="J508" i="17"/>
  <c r="I622" i="17"/>
  <c r="I111" i="17"/>
  <c r="J389" i="17"/>
  <c r="I172" i="17"/>
  <c r="I522" i="17"/>
  <c r="J75" i="17"/>
  <c r="J224" i="17"/>
  <c r="I541" i="17"/>
  <c r="J49" i="17"/>
  <c r="I16" i="17"/>
  <c r="I80" i="17"/>
  <c r="I75" i="17"/>
  <c r="I113" i="17"/>
  <c r="J58" i="17"/>
  <c r="J114" i="17"/>
  <c r="J178" i="17"/>
  <c r="J242" i="17"/>
  <c r="J306" i="17"/>
  <c r="J165" i="17"/>
  <c r="J229" i="17"/>
  <c r="J293" i="17"/>
  <c r="I357" i="17"/>
  <c r="J21" i="17"/>
  <c r="J85" i="17"/>
  <c r="I52" i="17"/>
  <c r="I103" i="17"/>
  <c r="I39" i="17"/>
  <c r="J86" i="17"/>
  <c r="J22" i="17"/>
  <c r="J150" i="17"/>
  <c r="J214" i="17"/>
  <c r="J278" i="17"/>
  <c r="J137" i="17"/>
  <c r="J201" i="17"/>
  <c r="J265" i="17"/>
  <c r="I329" i="17"/>
  <c r="I393" i="17"/>
  <c r="J335" i="17"/>
  <c r="J375" i="17"/>
  <c r="J419" i="17"/>
  <c r="J463" i="17"/>
  <c r="J503" i="17"/>
  <c r="J444" i="17"/>
  <c r="J488" i="17"/>
  <c r="I558" i="17"/>
  <c r="J589" i="17"/>
  <c r="J613" i="17"/>
  <c r="I247" i="17"/>
  <c r="J55" i="17"/>
  <c r="I22" i="17"/>
  <c r="I73" i="17"/>
  <c r="J56" i="17"/>
  <c r="J180" i="17"/>
  <c r="J308" i="17"/>
  <c r="J231" i="17"/>
  <c r="I403" i="17"/>
  <c r="J454" i="17"/>
  <c r="I179" i="17"/>
  <c r="I340" i="17"/>
  <c r="I611" i="17"/>
  <c r="J17" i="17"/>
  <c r="J81" i="17"/>
  <c r="I48" i="17"/>
  <c r="I107" i="17"/>
  <c r="I43" i="17"/>
  <c r="J90" i="17"/>
  <c r="J26" i="17"/>
  <c r="J146" i="17"/>
  <c r="J210" i="17"/>
  <c r="J274" i="17"/>
  <c r="J133" i="17"/>
  <c r="J197" i="17"/>
  <c r="J261" i="17"/>
  <c r="I325" i="17"/>
  <c r="I389" i="17"/>
  <c r="J53" i="17"/>
  <c r="I20" i="17"/>
  <c r="I84" i="17"/>
  <c r="I71" i="17"/>
  <c r="I121" i="17"/>
  <c r="J54" i="17"/>
  <c r="J118" i="17"/>
  <c r="J182" i="17"/>
  <c r="J246" i="17"/>
  <c r="J310" i="17"/>
  <c r="J169" i="17"/>
  <c r="J233" i="17"/>
  <c r="J297" i="17"/>
  <c r="I361" i="17"/>
  <c r="I413" i="17"/>
  <c r="J355" i="17"/>
  <c r="J399" i="17"/>
  <c r="J439" i="17"/>
  <c r="J483" i="17"/>
  <c r="J424" i="17"/>
  <c r="J464" i="17"/>
  <c r="I519" i="17"/>
  <c r="I534" i="17"/>
  <c r="I573" i="17"/>
  <c r="I183" i="17"/>
  <c r="J23" i="17"/>
  <c r="J87" i="17"/>
  <c r="I82" i="17"/>
  <c r="I117" i="17"/>
  <c r="J116" i="17"/>
  <c r="J244" i="17"/>
  <c r="J167" i="17"/>
  <c r="J295" i="17"/>
  <c r="J429" i="17"/>
  <c r="I532" i="17"/>
  <c r="I186" i="17"/>
  <c r="I493" i="17"/>
  <c r="I300" i="17"/>
  <c r="J41" i="17"/>
  <c r="J105" i="17"/>
  <c r="I72" i="17"/>
  <c r="I83" i="17"/>
  <c r="I19" i="17"/>
  <c r="J66" i="17"/>
  <c r="I131" i="17"/>
  <c r="J170" i="17"/>
  <c r="J234" i="17"/>
  <c r="J298" i="17"/>
  <c r="J157" i="17"/>
  <c r="J221" i="17"/>
  <c r="J285" i="17"/>
  <c r="I349" i="17"/>
  <c r="J13" i="17"/>
  <c r="J77" i="17"/>
  <c r="I44" i="17"/>
  <c r="I108" i="17"/>
  <c r="I47" i="17"/>
  <c r="J94" i="17"/>
  <c r="J30" i="17"/>
  <c r="J142" i="17"/>
  <c r="J206" i="17"/>
  <c r="J270" i="17"/>
  <c r="J129" i="17"/>
  <c r="J193" i="17"/>
  <c r="J257" i="17"/>
  <c r="I321" i="17"/>
  <c r="I385" i="17"/>
  <c r="J327" i="17"/>
  <c r="J371" i="17"/>
  <c r="J415" i="17"/>
  <c r="J455" i="17"/>
  <c r="J499" i="17"/>
  <c r="J440" i="17"/>
  <c r="J480" i="17"/>
  <c r="I539" i="17"/>
  <c r="J565" i="17"/>
  <c r="I593" i="17"/>
  <c r="I223" i="17"/>
  <c r="J43" i="17"/>
  <c r="J107" i="17"/>
  <c r="I93" i="17"/>
  <c r="J76" i="17"/>
  <c r="J160" i="17"/>
  <c r="J288" i="17"/>
  <c r="J211" i="17"/>
  <c r="I363" i="17"/>
  <c r="J517" i="17"/>
  <c r="J595" i="17"/>
  <c r="J362" i="17"/>
  <c r="I498" i="17"/>
  <c r="J344" i="17"/>
  <c r="I236" i="17"/>
  <c r="I156" i="17"/>
  <c r="I265" i="17"/>
  <c r="I185" i="17"/>
  <c r="J599" i="17"/>
  <c r="J578" i="17"/>
  <c r="J539" i="17"/>
  <c r="J524" i="17"/>
  <c r="I461" i="17"/>
  <c r="I500" i="17"/>
  <c r="I436" i="17"/>
  <c r="I372" i="17"/>
  <c r="J410" i="17"/>
  <c r="J346" i="17"/>
  <c r="I282" i="17"/>
  <c r="I218" i="17"/>
  <c r="I154" i="17"/>
  <c r="I303" i="17"/>
  <c r="I271" i="17"/>
  <c r="I211" i="17"/>
  <c r="I147" i="17"/>
  <c r="I587" i="17"/>
  <c r="I555" i="17"/>
  <c r="J553" i="17"/>
  <c r="I586" i="17"/>
  <c r="I533" i="17"/>
  <c r="J502" i="17"/>
  <c r="J470" i="17"/>
  <c r="J438" i="17"/>
  <c r="J509" i="17"/>
  <c r="J477" i="17"/>
  <c r="J445" i="17"/>
  <c r="J413" i="17"/>
  <c r="J381" i="17"/>
  <c r="J349" i="17"/>
  <c r="J317" i="17"/>
  <c r="I387" i="17"/>
  <c r="I355" i="17"/>
  <c r="I323" i="17"/>
  <c r="J303" i="17"/>
  <c r="J287" i="17"/>
  <c r="J271" i="17"/>
  <c r="J255" i="17"/>
  <c r="J239" i="17"/>
  <c r="J223" i="17"/>
  <c r="J207" i="17"/>
  <c r="J191" i="17"/>
  <c r="J175" i="17"/>
  <c r="J159" i="17"/>
  <c r="J143" i="17"/>
  <c r="J127" i="17"/>
  <c r="J111" i="17"/>
  <c r="J300" i="17"/>
  <c r="J284" i="17"/>
  <c r="J268" i="17"/>
  <c r="J252" i="17"/>
  <c r="J236" i="17"/>
  <c r="J220" i="17"/>
  <c r="J204" i="17"/>
  <c r="J188" i="17"/>
  <c r="J172" i="17"/>
  <c r="J156" i="17"/>
  <c r="J140" i="17"/>
  <c r="J124" i="17"/>
  <c r="I135" i="17"/>
  <c r="J16" i="17"/>
  <c r="J32" i="17"/>
  <c r="J48" i="17"/>
  <c r="J64" i="17"/>
  <c r="J80" i="17"/>
  <c r="J96" i="17"/>
  <c r="I133" i="17"/>
  <c r="I17" i="17"/>
  <c r="I33" i="17"/>
  <c r="I49" i="17"/>
  <c r="I65" i="17"/>
  <c r="I81" i="17"/>
  <c r="I97" i="17"/>
  <c r="I106" i="17"/>
  <c r="I90" i="17"/>
  <c r="I74" i="17"/>
  <c r="I58" i="17"/>
  <c r="I42" i="17"/>
  <c r="I26" i="17"/>
  <c r="I414" i="17"/>
  <c r="J324" i="17"/>
  <c r="I220" i="17"/>
  <c r="I124" i="17"/>
  <c r="I249" i="17"/>
  <c r="I169" i="17"/>
  <c r="J604" i="17"/>
  <c r="J562" i="17"/>
  <c r="J523" i="17"/>
  <c r="I509" i="17"/>
  <c r="I445" i="17"/>
  <c r="I484" i="17"/>
  <c r="I420" i="17"/>
  <c r="I356" i="17"/>
  <c r="J394" i="17"/>
  <c r="J330" i="17"/>
  <c r="I266" i="17"/>
  <c r="I202" i="17"/>
  <c r="I138" i="17"/>
  <c r="I295" i="17"/>
  <c r="I259" i="17"/>
  <c r="I195" i="17"/>
  <c r="I603" i="17"/>
  <c r="I579" i="17"/>
  <c r="I547" i="17"/>
  <c r="I540" i="17"/>
  <c r="I570" i="17"/>
  <c r="I525" i="17"/>
  <c r="J494" i="17"/>
  <c r="J462" i="17"/>
  <c r="J430" i="17"/>
  <c r="J501" i="17"/>
  <c r="J469" i="17"/>
  <c r="J437" i="17"/>
  <c r="J405" i="17"/>
  <c r="J373" i="17"/>
  <c r="J341" i="17"/>
  <c r="I411" i="17"/>
  <c r="I379" i="17"/>
  <c r="I347" i="17"/>
  <c r="I315" i="17"/>
  <c r="J299" i="17"/>
  <c r="J283" i="17"/>
  <c r="J267" i="17"/>
  <c r="J251" i="17"/>
  <c r="J235" i="17"/>
  <c r="J219" i="17"/>
  <c r="J203" i="17"/>
  <c r="J187" i="17"/>
  <c r="J171" i="17"/>
  <c r="J155" i="17"/>
  <c r="J139" i="17"/>
  <c r="J123" i="17"/>
  <c r="J312" i="17"/>
  <c r="J296" i="17"/>
  <c r="J280" i="17"/>
  <c r="J264" i="17"/>
  <c r="J248" i="17"/>
  <c r="J232" i="17"/>
  <c r="J216" i="17"/>
  <c r="J200" i="17"/>
  <c r="J184" i="17"/>
  <c r="J168" i="17"/>
  <c r="J152" i="17"/>
  <c r="J136" i="17"/>
  <c r="J120" i="17"/>
  <c r="I127" i="17"/>
  <c r="J20" i="17"/>
  <c r="J36" i="17"/>
  <c r="J52" i="17"/>
  <c r="J68" i="17"/>
  <c r="J84" i="17"/>
  <c r="J100" i="17"/>
  <c r="I125" i="17"/>
  <c r="I21" i="17"/>
  <c r="I37" i="17"/>
  <c r="I53" i="17"/>
  <c r="I69" i="17"/>
  <c r="I85" i="17"/>
  <c r="I101" i="17"/>
  <c r="I102" i="17"/>
  <c r="I86" i="17"/>
  <c r="I70" i="17"/>
  <c r="I54" i="17"/>
  <c r="I38" i="17"/>
  <c r="I260" i="17"/>
  <c r="I297" i="17"/>
  <c r="AA624" i="17"/>
  <c r="J567" i="17"/>
  <c r="I477" i="17"/>
  <c r="I452" i="17"/>
  <c r="I324" i="17"/>
  <c r="I298" i="17"/>
  <c r="I170" i="17"/>
  <c r="I279" i="17"/>
  <c r="I163" i="17"/>
  <c r="I563" i="17"/>
  <c r="I524" i="17"/>
  <c r="J510" i="17"/>
  <c r="J446" i="17"/>
  <c r="J485" i="17"/>
  <c r="J421" i="17"/>
  <c r="J357" i="17"/>
  <c r="I395" i="17"/>
  <c r="I331" i="17"/>
  <c r="J291" i="17"/>
  <c r="J259" i="17"/>
  <c r="J227" i="17"/>
  <c r="J195" i="17"/>
  <c r="J163" i="17"/>
  <c r="J131" i="17"/>
  <c r="J304" i="17"/>
  <c r="J272" i="17"/>
  <c r="J240" i="17"/>
  <c r="J208" i="17"/>
  <c r="J176" i="17"/>
  <c r="J144" i="17"/>
  <c r="J112" i="17"/>
  <c r="J28" i="17"/>
  <c r="J60" i="17"/>
  <c r="J92" i="17"/>
  <c r="I13" i="17"/>
  <c r="I45" i="17"/>
  <c r="I77" i="17"/>
  <c r="I109" i="17"/>
  <c r="I78" i="17"/>
  <c r="I46" i="17"/>
  <c r="I18" i="17"/>
  <c r="J99" i="17"/>
  <c r="J83" i="17"/>
  <c r="J67" i="17"/>
  <c r="J51" i="17"/>
  <c r="J35" i="17"/>
  <c r="J19" i="17"/>
  <c r="I623" i="17"/>
  <c r="I239" i="17"/>
  <c r="I207" i="17"/>
  <c r="I175" i="17"/>
  <c r="I143" i="17"/>
  <c r="J605" i="17"/>
  <c r="I585" i="17"/>
  <c r="I569" i="17"/>
  <c r="I553" i="17"/>
  <c r="J581" i="17"/>
  <c r="J549" i="17"/>
  <c r="I530" i="17"/>
  <c r="I582" i="17"/>
  <c r="I550" i="17"/>
  <c r="I531" i="17"/>
  <c r="J516" i="17"/>
  <c r="J500" i="17"/>
  <c r="J484" i="17"/>
  <c r="J468" i="17"/>
  <c r="J452" i="17"/>
  <c r="J436" i="17"/>
  <c r="J420" i="17"/>
  <c r="J507" i="17"/>
  <c r="J491" i="17"/>
  <c r="J475" i="17"/>
  <c r="J459" i="17"/>
  <c r="J443" i="17"/>
  <c r="J427" i="17"/>
  <c r="J411" i="17"/>
  <c r="J395" i="17"/>
  <c r="J379" i="17"/>
  <c r="J363" i="17"/>
  <c r="J347" i="17"/>
  <c r="J331" i="17"/>
  <c r="J315" i="17"/>
  <c r="I401" i="17"/>
  <c r="I366" i="17"/>
  <c r="I188" i="17"/>
  <c r="I233" i="17"/>
  <c r="I610" i="17"/>
  <c r="I568" i="17"/>
  <c r="I429" i="17"/>
  <c r="I404" i="17"/>
  <c r="J378" i="17"/>
  <c r="I250" i="17"/>
  <c r="I122" i="17"/>
  <c r="I243" i="17"/>
  <c r="J609" i="17"/>
  <c r="J585" i="17"/>
  <c r="I554" i="17"/>
  <c r="J486" i="17"/>
  <c r="J422" i="17"/>
  <c r="J461" i="17"/>
  <c r="J397" i="17"/>
  <c r="J333" i="17"/>
  <c r="I371" i="17"/>
  <c r="J311" i="17"/>
  <c r="J279" i="17"/>
  <c r="J247" i="17"/>
  <c r="J215" i="17"/>
  <c r="J183" i="17"/>
  <c r="J151" i="17"/>
  <c r="J119" i="17"/>
  <c r="J292" i="17"/>
  <c r="J260" i="17"/>
  <c r="J228" i="17"/>
  <c r="J196" i="17"/>
  <c r="J164" i="17"/>
  <c r="J132" i="17"/>
  <c r="I119" i="17"/>
  <c r="J40" i="17"/>
  <c r="J72" i="17"/>
  <c r="J104" i="17"/>
  <c r="I25" i="17"/>
  <c r="I57" i="17"/>
  <c r="I89" i="17"/>
  <c r="I98" i="17"/>
  <c r="I66" i="17"/>
  <c r="I34" i="17"/>
  <c r="I14" i="17"/>
  <c r="J95" i="17"/>
  <c r="J79" i="17"/>
  <c r="J63" i="17"/>
  <c r="J47" i="17"/>
  <c r="J31" i="17"/>
  <c r="J15" i="17"/>
  <c r="I263" i="17"/>
  <c r="I231" i="17"/>
  <c r="I199" i="17"/>
  <c r="I167" i="17"/>
  <c r="I607" i="17"/>
  <c r="J597" i="17"/>
  <c r="I581" i="17"/>
  <c r="I565" i="17"/>
  <c r="I549" i="17"/>
  <c r="J573" i="17"/>
  <c r="I542" i="17"/>
  <c r="I526" i="17"/>
  <c r="I574" i="17"/>
  <c r="I543" i="17"/>
  <c r="I527" i="17"/>
  <c r="J512" i="17"/>
  <c r="J496" i="17"/>
  <c r="J25" i="17"/>
  <c r="J57" i="17"/>
  <c r="J89" i="17"/>
  <c r="I24" i="17"/>
  <c r="I56" i="17"/>
  <c r="I88" i="17"/>
  <c r="I99" i="17"/>
  <c r="I67" i="17"/>
  <c r="I35" i="17"/>
  <c r="I129" i="17"/>
  <c r="J82" i="17"/>
  <c r="J50" i="17"/>
  <c r="J18" i="17"/>
  <c r="J122" i="17"/>
  <c r="J154" i="17"/>
  <c r="J186" i="17"/>
  <c r="J218" i="17"/>
  <c r="J250" i="17"/>
  <c r="J282" i="17"/>
  <c r="J314" i="17"/>
  <c r="J141" i="17"/>
  <c r="J173" i="17"/>
  <c r="J205" i="17"/>
  <c r="J237" i="17"/>
  <c r="J269" i="17"/>
  <c r="J301" i="17"/>
  <c r="I333" i="17"/>
  <c r="I365" i="17"/>
  <c r="J622" i="17"/>
  <c r="J29" i="17"/>
  <c r="J61" i="17"/>
  <c r="J93" i="17"/>
  <c r="I28" i="17"/>
  <c r="I60" i="17"/>
  <c r="I92" i="17"/>
  <c r="I95" i="17"/>
  <c r="I63" i="17"/>
  <c r="I31" i="17"/>
  <c r="I137" i="17"/>
  <c r="J78" i="17"/>
  <c r="J46" i="17"/>
  <c r="J14" i="17"/>
  <c r="J126" i="17"/>
  <c r="J158" i="17"/>
  <c r="J190" i="17"/>
  <c r="J222" i="17"/>
  <c r="J254" i="17"/>
  <c r="J286" i="17"/>
  <c r="J113" i="17"/>
  <c r="J145" i="17"/>
  <c r="J177" i="17"/>
  <c r="J209" i="17"/>
  <c r="J241" i="17"/>
  <c r="J273" i="17"/>
  <c r="J305" i="17"/>
  <c r="I337" i="17"/>
  <c r="I369" i="17"/>
  <c r="I397" i="17"/>
  <c r="J319" i="17"/>
  <c r="J339" i="17"/>
  <c r="J359" i="17"/>
  <c r="J383" i="17"/>
  <c r="J403" i="17"/>
  <c r="J423" i="17"/>
  <c r="J447" i="17"/>
  <c r="J467" i="17"/>
  <c r="J487" i="17"/>
  <c r="J511" i="17"/>
  <c r="J428" i="17"/>
  <c r="J448" i="17"/>
  <c r="J472" i="17"/>
  <c r="J492" i="17"/>
  <c r="I523" i="17"/>
  <c r="I566" i="17"/>
  <c r="I538" i="17"/>
  <c r="I545" i="17"/>
  <c r="I577" i="17"/>
  <c r="I599" i="17"/>
  <c r="I191" i="17"/>
  <c r="I255" i="17"/>
  <c r="J27" i="17"/>
  <c r="J59" i="17"/>
  <c r="J91" i="17"/>
  <c r="I30" i="17"/>
  <c r="I94" i="17"/>
  <c r="I61" i="17"/>
  <c r="J108" i="17"/>
  <c r="J44" i="17"/>
  <c r="J128" i="17"/>
  <c r="J192" i="17"/>
  <c r="J256" i="17"/>
  <c r="J115" i="17"/>
  <c r="J179" i="17"/>
  <c r="J243" i="17"/>
  <c r="J307" i="17"/>
  <c r="J325" i="17"/>
  <c r="J453" i="17"/>
  <c r="J478" i="17"/>
  <c r="J569" i="17"/>
  <c r="I227" i="17"/>
  <c r="I234" i="17"/>
  <c r="I388" i="17"/>
  <c r="J540" i="17"/>
  <c r="I201" i="17"/>
  <c r="I322" i="17"/>
  <c r="J33" i="17"/>
  <c r="J65" i="17"/>
  <c r="J97" i="17"/>
  <c r="I32" i="17"/>
  <c r="I64" i="17"/>
  <c r="I96" i="17"/>
  <c r="I91" i="17"/>
  <c r="I59" i="17"/>
  <c r="I27" i="17"/>
  <c r="J106" i="17"/>
  <c r="J74" i="17"/>
  <c r="J42" i="17"/>
  <c r="I115" i="17"/>
  <c r="J130" i="17"/>
  <c r="J162" i="17"/>
  <c r="J194" i="17"/>
  <c r="J226" i="17"/>
  <c r="J258" i="17"/>
  <c r="J290" i="17"/>
  <c r="J117" i="17"/>
  <c r="J149" i="17"/>
  <c r="J181" i="17"/>
  <c r="J213" i="17"/>
  <c r="J245" i="17"/>
  <c r="J277" i="17"/>
  <c r="J309" i="17"/>
  <c r="I341" i="17"/>
  <c r="I373" i="17"/>
  <c r="I626" i="17"/>
  <c r="J37" i="17"/>
  <c r="J69" i="17"/>
  <c r="J101" i="17"/>
  <c r="I36" i="17"/>
  <c r="I68" i="17"/>
  <c r="I100" i="17"/>
  <c r="I87" i="17"/>
  <c r="I55" i="17"/>
  <c r="I23" i="17"/>
  <c r="J102" i="17"/>
  <c r="J70" i="17"/>
  <c r="J38" i="17"/>
  <c r="I123" i="17"/>
  <c r="J134" i="17"/>
  <c r="J166" i="17"/>
  <c r="J198" i="17"/>
  <c r="J230" i="17"/>
  <c r="J262" i="17"/>
  <c r="J294" i="17"/>
  <c r="J121" i="17"/>
  <c r="J153" i="17"/>
  <c r="J185" i="17"/>
  <c r="J217" i="17"/>
  <c r="J249" i="17"/>
  <c r="J281" i="17"/>
  <c r="J313" i="17"/>
  <c r="I345" i="17"/>
  <c r="I377" i="17"/>
  <c r="I405" i="17"/>
  <c r="J323" i="17"/>
  <c r="J343" i="17"/>
  <c r="J367" i="17"/>
  <c r="J387" i="17"/>
  <c r="J407" i="17"/>
  <c r="J431" i="17"/>
  <c r="J451" i="17"/>
  <c r="J471" i="17"/>
  <c r="J495" i="17"/>
  <c r="J515" i="17"/>
  <c r="J432" i="17"/>
  <c r="J456" i="17"/>
  <c r="J476" i="17"/>
  <c r="J504" i="17"/>
  <c r="I535" i="17"/>
  <c r="I590" i="17"/>
  <c r="J557" i="17"/>
  <c r="I557" i="17"/>
  <c r="I589" i="17"/>
  <c r="I151" i="17"/>
  <c r="I215" i="17"/>
  <c r="J626" i="17"/>
  <c r="J39" i="17"/>
  <c r="J71" i="17"/>
  <c r="J103" i="17"/>
  <c r="I50" i="17"/>
  <c r="I105" i="17"/>
  <c r="I41" i="17"/>
  <c r="J88" i="17"/>
  <c r="J24" i="17"/>
  <c r="J148" i="17"/>
  <c r="J212" i="17"/>
  <c r="J276" i="17"/>
  <c r="J135" i="17"/>
  <c r="J199" i="17"/>
  <c r="J263" i="17"/>
  <c r="I339" i="17"/>
  <c r="J365" i="17"/>
  <c r="J493" i="17"/>
  <c r="J518" i="17"/>
  <c r="I571" i="17"/>
  <c r="I287" i="17"/>
  <c r="I314" i="17"/>
  <c r="I468" i="17"/>
  <c r="J546" i="17"/>
  <c r="I313" i="17"/>
  <c r="I153" i="17"/>
  <c r="I217" i="17"/>
  <c r="I281" i="17"/>
  <c r="I140" i="17"/>
  <c r="I204" i="17"/>
  <c r="I280" i="17"/>
  <c r="J380" i="17"/>
  <c r="J555" i="17"/>
  <c r="I446" i="17"/>
  <c r="I342" i="17"/>
  <c r="J360" i="17"/>
  <c r="I312" i="17"/>
  <c r="I268" i="17"/>
  <c r="I228" i="17"/>
  <c r="I196" i="17"/>
  <c r="I164" i="17"/>
  <c r="I132" i="17"/>
  <c r="I305" i="17"/>
  <c r="I273" i="17"/>
  <c r="I241" i="17"/>
  <c r="I209" i="17"/>
  <c r="I177" i="17"/>
  <c r="I145" i="17"/>
  <c r="J607" i="17"/>
  <c r="J596" i="17"/>
  <c r="J586" i="17"/>
  <c r="J554" i="17"/>
  <c r="J551" i="17"/>
  <c r="I584" i="17"/>
  <c r="J532" i="17"/>
  <c r="I501" i="17"/>
  <c r="I469" i="17"/>
  <c r="I437" i="17"/>
  <c r="I508" i="17"/>
  <c r="I476" i="17"/>
  <c r="I444" i="17"/>
  <c r="I412" i="17"/>
  <c r="I380" i="17"/>
  <c r="I348" i="17"/>
  <c r="I316" i="17"/>
  <c r="J386" i="17"/>
  <c r="J354" i="17"/>
  <c r="J322" i="17"/>
  <c r="I290" i="17"/>
  <c r="I258" i="17"/>
  <c r="I226" i="17"/>
  <c r="I194" i="17"/>
  <c r="I162" i="17"/>
  <c r="I130" i="17"/>
  <c r="I307" i="17"/>
  <c r="I291" i="17"/>
  <c r="I275" i="17"/>
  <c r="I251" i="17"/>
  <c r="I219" i="17"/>
  <c r="I187" i="17"/>
  <c r="I155" i="17"/>
  <c r="I595" i="17"/>
  <c r="I591" i="17"/>
  <c r="I575" i="17"/>
  <c r="I559" i="17"/>
  <c r="J593" i="17"/>
  <c r="J561" i="17"/>
  <c r="I536" i="17"/>
  <c r="I594" i="17"/>
  <c r="I562" i="17"/>
  <c r="I537" i="17"/>
  <c r="I521" i="17"/>
  <c r="J506" i="17"/>
  <c r="J490" i="17"/>
  <c r="J474" i="17"/>
  <c r="J458" i="17"/>
  <c r="J442" i="17"/>
  <c r="J426" i="17"/>
  <c r="J513" i="17"/>
  <c r="J497" i="17"/>
  <c r="J481" i="17"/>
  <c r="J465" i="17"/>
  <c r="J449" i="17"/>
  <c r="J433" i="17"/>
  <c r="J417" i="17"/>
  <c r="J401" i="17"/>
  <c r="J385" i="17"/>
  <c r="J369" i="17"/>
  <c r="J353" i="17"/>
  <c r="J337" i="17"/>
  <c r="J321" i="17"/>
  <c r="I407" i="17"/>
  <c r="I391" i="17"/>
  <c r="I375" i="17"/>
  <c r="I359" i="17"/>
  <c r="I343" i="17"/>
  <c r="I327" i="17"/>
  <c r="I491" i="17"/>
  <c r="I386" i="17"/>
  <c r="J404" i="17"/>
  <c r="J332" i="17"/>
  <c r="I292" i="17"/>
  <c r="I248" i="17"/>
  <c r="I212" i="17"/>
  <c r="I180" i="17"/>
  <c r="I148" i="17"/>
  <c r="I116" i="17"/>
  <c r="I289" i="17"/>
  <c r="I257" i="17"/>
  <c r="I225" i="17"/>
  <c r="I193" i="17"/>
  <c r="I161" i="17"/>
  <c r="I601" i="17"/>
  <c r="J608" i="17"/>
  <c r="I602" i="17"/>
  <c r="J570" i="17"/>
  <c r="J583" i="17"/>
  <c r="J531" i="17"/>
  <c r="I552" i="17"/>
  <c r="I517" i="17"/>
  <c r="I485" i="17"/>
  <c r="I453" i="17"/>
  <c r="I421" i="17"/>
  <c r="I492" i="17"/>
  <c r="I460" i="17"/>
  <c r="I428" i="17"/>
  <c r="I396" i="17"/>
  <c r="I364" i="17"/>
  <c r="I332" i="17"/>
  <c r="J402" i="17"/>
  <c r="J370" i="17"/>
  <c r="J338" i="17"/>
  <c r="I306" i="17"/>
  <c r="I274" i="17"/>
  <c r="I242" i="17"/>
  <c r="I210" i="17"/>
  <c r="I178" i="17"/>
  <c r="I146" i="17"/>
  <c r="I114" i="17"/>
  <c r="I299" i="17"/>
  <c r="I283" i="17"/>
  <c r="I267" i="17"/>
  <c r="I235" i="17"/>
  <c r="I203" i="17"/>
  <c r="I171" i="17"/>
  <c r="I139" i="17"/>
  <c r="J601" i="17"/>
  <c r="I583" i="17"/>
  <c r="I567" i="17"/>
  <c r="I551" i="17"/>
  <c r="J577" i="17"/>
  <c r="J545" i="17"/>
  <c r="I528" i="17"/>
  <c r="I578" i="17"/>
  <c r="I546" i="17"/>
  <c r="I529" i="17"/>
  <c r="J514" i="17"/>
  <c r="J498" i="17"/>
  <c r="J482" i="17"/>
  <c r="J466" i="17"/>
  <c r="J450" i="17"/>
  <c r="J434" i="17"/>
  <c r="J418" i="17"/>
  <c r="J505" i="17"/>
  <c r="J489" i="17"/>
  <c r="J473" i="17"/>
  <c r="J457" i="17"/>
  <c r="J441" i="17"/>
  <c r="J425" i="17"/>
  <c r="J409" i="17"/>
  <c r="J393" i="17"/>
  <c r="J377" i="17"/>
  <c r="J361" i="17"/>
  <c r="J345" i="17"/>
  <c r="J329" i="17"/>
  <c r="I415" i="17"/>
  <c r="I399" i="17"/>
  <c r="I383" i="17"/>
  <c r="I367" i="17"/>
  <c r="I351" i="17"/>
  <c r="I335" i="17"/>
  <c r="I319" i="17"/>
  <c r="J542" i="17"/>
  <c r="I628" i="17"/>
  <c r="J592" i="17"/>
  <c r="I588" i="17"/>
  <c r="I471" i="17"/>
  <c r="I470" i="17"/>
  <c r="I398" i="17"/>
  <c r="I354" i="17"/>
  <c r="J412" i="17"/>
  <c r="J372" i="17"/>
  <c r="J340" i="17"/>
  <c r="J316" i="17"/>
  <c r="I296" i="17"/>
  <c r="I276" i="17"/>
  <c r="I252" i="17"/>
  <c r="I232" i="17"/>
  <c r="I216" i="17"/>
  <c r="I200" i="17"/>
  <c r="I184" i="17"/>
  <c r="I168" i="17"/>
  <c r="I152" i="17"/>
  <c r="I136" i="17"/>
  <c r="I120" i="17"/>
  <c r="I309" i="17"/>
  <c r="I293" i="17"/>
  <c r="I277" i="17"/>
  <c r="I261" i="17"/>
  <c r="I245" i="17"/>
  <c r="I229" i="17"/>
  <c r="I213" i="17"/>
  <c r="I197" i="17"/>
  <c r="I181" i="17"/>
  <c r="I165" i="17"/>
  <c r="I149" i="17"/>
  <c r="I605" i="17"/>
  <c r="J611" i="17"/>
  <c r="J612" i="17"/>
  <c r="J600" i="17"/>
  <c r="I606" i="17"/>
  <c r="J590" i="17"/>
  <c r="J574" i="17"/>
  <c r="J558" i="17"/>
  <c r="J591" i="17"/>
  <c r="J559" i="17"/>
  <c r="J535" i="17"/>
  <c r="I592" i="17"/>
  <c r="I560" i="17"/>
  <c r="J536" i="17"/>
  <c r="J520" i="17"/>
  <c r="I505" i="17"/>
  <c r="I489" i="17"/>
  <c r="I473" i="17"/>
  <c r="I457" i="17"/>
  <c r="I441" i="17"/>
  <c r="I425" i="17"/>
  <c r="I512" i="17"/>
  <c r="I496" i="17"/>
  <c r="I480" i="17"/>
  <c r="I464" i="17"/>
  <c r="I448" i="17"/>
  <c r="I432" i="17"/>
  <c r="I416" i="17"/>
  <c r="I400" i="17"/>
  <c r="I384" i="17"/>
  <c r="I368" i="17"/>
  <c r="I352" i="17"/>
  <c r="I336" i="17"/>
  <c r="I320" i="17"/>
  <c r="J406" i="17"/>
  <c r="J390" i="17"/>
  <c r="J374" i="17"/>
  <c r="J358" i="17"/>
  <c r="J342" i="17"/>
  <c r="J326" i="17"/>
  <c r="I310" i="17"/>
  <c r="I294" i="17"/>
  <c r="I278" i="17"/>
  <c r="I262" i="17"/>
  <c r="I246" i="17"/>
  <c r="I230" i="17"/>
  <c r="I214" i="17"/>
  <c r="I198" i="17"/>
  <c r="I182" i="17"/>
  <c r="I166" i="17"/>
  <c r="I150" i="17"/>
  <c r="I134" i="17"/>
  <c r="I118" i="17"/>
  <c r="J548" i="17"/>
  <c r="I520" i="17"/>
  <c r="I514" i="17"/>
  <c r="I430" i="17"/>
  <c r="I374" i="17"/>
  <c r="I334" i="17"/>
  <c r="J392" i="17"/>
  <c r="J348" i="17"/>
  <c r="J328" i="17"/>
  <c r="I308" i="17"/>
  <c r="I284" i="17"/>
  <c r="I264" i="17"/>
  <c r="I244" i="17"/>
  <c r="I224" i="17"/>
  <c r="I208" i="17"/>
  <c r="I192" i="17"/>
  <c r="I176" i="17"/>
  <c r="I160" i="17"/>
  <c r="I144" i="17"/>
  <c r="I128" i="17"/>
  <c r="I112" i="17"/>
  <c r="I301" i="17"/>
  <c r="I285" i="17"/>
  <c r="I269" i="17"/>
  <c r="I253" i="17"/>
  <c r="I237" i="17"/>
  <c r="I221" i="17"/>
  <c r="I205" i="17"/>
  <c r="I189" i="17"/>
  <c r="I173" i="17"/>
  <c r="I157" i="17"/>
  <c r="I141" i="17"/>
  <c r="I597" i="17"/>
  <c r="J603" i="17"/>
  <c r="I609" i="17"/>
  <c r="A624" i="17"/>
  <c r="I598" i="17"/>
  <c r="J582" i="17"/>
  <c r="J566" i="17"/>
  <c r="J550" i="17"/>
  <c r="J575" i="17"/>
  <c r="J543" i="17"/>
  <c r="J527" i="17"/>
  <c r="I576" i="17"/>
  <c r="I544" i="17"/>
  <c r="J528" i="17"/>
  <c r="I513" i="17"/>
  <c r="I497" i="17"/>
  <c r="I481" i="17"/>
  <c r="I465" i="17"/>
  <c r="I449" i="17"/>
  <c r="I433" i="17"/>
  <c r="I417" i="17"/>
  <c r="I504" i="17"/>
  <c r="I488" i="17"/>
  <c r="I472" i="17"/>
  <c r="I456" i="17"/>
  <c r="I440" i="17"/>
  <c r="I424" i="17"/>
  <c r="I408" i="17"/>
  <c r="I392" i="17"/>
  <c r="I376" i="17"/>
  <c r="I360" i="17"/>
  <c r="I344" i="17"/>
  <c r="I328" i="17"/>
  <c r="J414" i="17"/>
  <c r="J398" i="17"/>
  <c r="J382" i="17"/>
  <c r="J366" i="17"/>
  <c r="J350" i="17"/>
  <c r="J334" i="17"/>
  <c r="J318" i="17"/>
  <c r="I302" i="17"/>
  <c r="I286" i="17"/>
  <c r="I270" i="17"/>
  <c r="I254" i="17"/>
  <c r="I238" i="17"/>
  <c r="I222" i="17"/>
  <c r="I206" i="17"/>
  <c r="I190" i="17"/>
  <c r="I174" i="17"/>
  <c r="I158" i="17"/>
  <c r="I142" i="17"/>
  <c r="I126" i="17"/>
  <c r="I110" i="17"/>
  <c r="I439" i="17"/>
  <c r="J564" i="17"/>
  <c r="J364" i="17"/>
  <c r="J388" i="17"/>
  <c r="J408" i="17"/>
  <c r="I326" i="17"/>
  <c r="I350" i="17"/>
  <c r="I370" i="17"/>
  <c r="I390" i="17"/>
  <c r="I418" i="17"/>
  <c r="I454" i="17"/>
  <c r="I510" i="17"/>
  <c r="I455" i="17"/>
  <c r="I511" i="17"/>
  <c r="I564" i="17"/>
  <c r="J563" i="17"/>
  <c r="J588" i="17"/>
  <c r="J356" i="17"/>
  <c r="J376" i="17"/>
  <c r="J396" i="17"/>
  <c r="I318" i="17"/>
  <c r="I338" i="17"/>
  <c r="I358" i="17"/>
  <c r="I382" i="17"/>
  <c r="I406" i="17"/>
  <c r="I434" i="17"/>
  <c r="I478" i="17"/>
  <c r="I431" i="17"/>
  <c r="I479" i="17"/>
  <c r="J522" i="17"/>
  <c r="J533" i="17"/>
  <c r="J556" i="17"/>
  <c r="I612" i="17"/>
  <c r="I402" i="17"/>
  <c r="I422" i="17"/>
  <c r="I450" i="17"/>
  <c r="I486" i="17"/>
  <c r="I427" i="17"/>
  <c r="I459" i="17"/>
  <c r="I495" i="17"/>
  <c r="J538" i="17"/>
  <c r="J525" i="17"/>
  <c r="J571" i="17"/>
  <c r="J576" i="17"/>
  <c r="J598" i="17"/>
  <c r="I466" i="17"/>
  <c r="I494" i="17"/>
  <c r="I518" i="17"/>
  <c r="I447" i="17"/>
  <c r="I475" i="17"/>
  <c r="I503" i="17"/>
  <c r="J534" i="17"/>
  <c r="I572" i="17"/>
  <c r="J537" i="17"/>
  <c r="J544" i="17"/>
  <c r="J572" i="17"/>
  <c r="I596" i="17"/>
  <c r="I608" i="17"/>
  <c r="I438" i="17"/>
  <c r="I462" i="17"/>
  <c r="I482" i="17"/>
  <c r="I502" i="17"/>
  <c r="I423" i="17"/>
  <c r="I443" i="17"/>
  <c r="I463" i="17"/>
  <c r="I487" i="17"/>
  <c r="I507" i="17"/>
  <c r="J526" i="17"/>
  <c r="I556" i="17"/>
  <c r="J521" i="17"/>
  <c r="J541" i="17"/>
  <c r="J587" i="17"/>
  <c r="J560" i="17"/>
  <c r="J580" i="17"/>
  <c r="I604" i="17"/>
  <c r="J602" i="17"/>
  <c r="M81" i="17"/>
  <c r="N15" i="17"/>
  <c r="N19" i="17"/>
  <c r="N23" i="17"/>
  <c r="N27" i="17"/>
  <c r="N31" i="17"/>
  <c r="N35" i="17"/>
  <c r="N39" i="17"/>
  <c r="N43" i="17"/>
  <c r="N47" i="17"/>
  <c r="N51" i="17"/>
  <c r="N55" i="17"/>
  <c r="N59" i="17"/>
  <c r="N63" i="17"/>
  <c r="N67" i="17"/>
  <c r="N71" i="17"/>
  <c r="N75" i="17"/>
  <c r="N79" i="17"/>
  <c r="N83" i="17"/>
  <c r="N87" i="17"/>
  <c r="N91" i="17"/>
  <c r="N95" i="17"/>
  <c r="N99" i="17"/>
  <c r="N103" i="17"/>
  <c r="N107" i="17"/>
  <c r="N111" i="17"/>
  <c r="N115" i="17"/>
  <c r="N16" i="17"/>
  <c r="N20" i="17"/>
  <c r="N24" i="17"/>
  <c r="N28" i="17"/>
  <c r="N32" i="17"/>
  <c r="N36" i="17"/>
  <c r="N40" i="17"/>
  <c r="N44" i="17"/>
  <c r="N48" i="17"/>
  <c r="N52" i="17"/>
  <c r="N56" i="17"/>
  <c r="N60" i="17"/>
  <c r="N64" i="17"/>
  <c r="N68" i="17"/>
  <c r="N72" i="17"/>
  <c r="N76" i="17"/>
  <c r="N80" i="17"/>
  <c r="N84" i="17"/>
  <c r="N88" i="17"/>
  <c r="N92" i="17"/>
  <c r="N96" i="17"/>
  <c r="N100" i="17"/>
  <c r="N104" i="17"/>
  <c r="N108" i="17"/>
  <c r="N112" i="17"/>
  <c r="N116" i="17"/>
  <c r="N120" i="17"/>
  <c r="N124" i="17"/>
  <c r="N128" i="17"/>
  <c r="N132" i="17"/>
  <c r="N136" i="17"/>
  <c r="N140" i="17"/>
  <c r="N144" i="17"/>
  <c r="N148" i="17"/>
  <c r="N152" i="17"/>
  <c r="N156" i="17"/>
  <c r="N160" i="17"/>
  <c r="N164" i="17"/>
  <c r="N168" i="17"/>
  <c r="N172" i="17"/>
  <c r="N176" i="17"/>
  <c r="N180" i="17"/>
  <c r="N17" i="17"/>
  <c r="N21" i="17"/>
  <c r="N25" i="17"/>
  <c r="N29" i="17"/>
  <c r="N33" i="17"/>
  <c r="N37" i="17"/>
  <c r="N41" i="17"/>
  <c r="N45" i="17"/>
  <c r="N49" i="17"/>
  <c r="N53" i="17"/>
  <c r="N57" i="17"/>
  <c r="N61" i="17"/>
  <c r="N65" i="17"/>
  <c r="N69" i="17"/>
  <c r="N73" i="17"/>
  <c r="N77" i="17"/>
  <c r="N81" i="17"/>
  <c r="N85" i="17"/>
  <c r="N89" i="17"/>
  <c r="N93" i="17"/>
  <c r="N97" i="17"/>
  <c r="N101" i="17"/>
  <c r="N105" i="17"/>
  <c r="N109" i="17"/>
  <c r="N113" i="17"/>
  <c r="N117" i="17"/>
  <c r="N121" i="17"/>
  <c r="N125" i="17"/>
  <c r="N129" i="17"/>
  <c r="N133" i="17"/>
  <c r="N137" i="17"/>
  <c r="N141" i="17"/>
  <c r="N145" i="17"/>
  <c r="N149" i="17"/>
  <c r="N153" i="17"/>
  <c r="N157" i="17"/>
  <c r="N161" i="17"/>
  <c r="N165" i="17"/>
  <c r="N169" i="17"/>
  <c r="N173" i="17"/>
  <c r="N177" i="17"/>
  <c r="N181" i="17"/>
  <c r="N18" i="17"/>
  <c r="N34" i="17"/>
  <c r="N50" i="17"/>
  <c r="N66" i="17"/>
  <c r="N82" i="17"/>
  <c r="N98" i="17"/>
  <c r="N114" i="17"/>
  <c r="N123" i="17"/>
  <c r="N131" i="17"/>
  <c r="N139" i="17"/>
  <c r="N147" i="17"/>
  <c r="N155" i="17"/>
  <c r="N163" i="17"/>
  <c r="N171" i="17"/>
  <c r="N179" i="17"/>
  <c r="N185" i="17"/>
  <c r="N189" i="17"/>
  <c r="N193" i="17"/>
  <c r="N197" i="17"/>
  <c r="N201" i="17"/>
  <c r="N205" i="17"/>
  <c r="N209" i="17"/>
  <c r="N213" i="17"/>
  <c r="N217" i="17"/>
  <c r="N221" i="17"/>
  <c r="N225" i="17"/>
  <c r="N229" i="17"/>
  <c r="N233" i="17"/>
  <c r="N237" i="17"/>
  <c r="N241" i="17"/>
  <c r="N245" i="17"/>
  <c r="N249" i="17"/>
  <c r="N253" i="17"/>
  <c r="N257" i="17"/>
  <c r="N261" i="17"/>
  <c r="N265" i="17"/>
  <c r="N269" i="17"/>
  <c r="N273" i="17"/>
  <c r="N277" i="17"/>
  <c r="N281" i="17"/>
  <c r="N285" i="17"/>
  <c r="N289" i="17"/>
  <c r="N293" i="17"/>
  <c r="N297" i="17"/>
  <c r="N301" i="17"/>
  <c r="N305" i="17"/>
  <c r="N309" i="17"/>
  <c r="N313" i="17"/>
  <c r="N317" i="17"/>
  <c r="N321" i="17"/>
  <c r="N325" i="17"/>
  <c r="N329" i="17"/>
  <c r="N333" i="17"/>
  <c r="N337" i="17"/>
  <c r="N341" i="17"/>
  <c r="N345" i="17"/>
  <c r="N349" i="17"/>
  <c r="N353" i="17"/>
  <c r="N357" i="17"/>
  <c r="N361" i="17"/>
  <c r="N365" i="17"/>
  <c r="N369" i="17"/>
  <c r="N373" i="17"/>
  <c r="N377" i="17"/>
  <c r="N381" i="17"/>
  <c r="N385" i="17"/>
  <c r="N389" i="17"/>
  <c r="N393" i="17"/>
  <c r="N397" i="17"/>
  <c r="N401" i="17"/>
  <c r="N405" i="17"/>
  <c r="N409" i="17"/>
  <c r="N413" i="17"/>
  <c r="N417" i="17"/>
  <c r="N421" i="17"/>
  <c r="N425" i="17"/>
  <c r="N429" i="17"/>
  <c r="N433" i="17"/>
  <c r="N437" i="17"/>
  <c r="N441" i="17"/>
  <c r="N445" i="17"/>
  <c r="N449" i="17"/>
  <c r="N453" i="17"/>
  <c r="N457" i="17"/>
  <c r="N461" i="17"/>
  <c r="N465" i="17"/>
  <c r="N469" i="17"/>
  <c r="N473" i="17"/>
  <c r="N477" i="17"/>
  <c r="N481" i="17"/>
  <c r="N485" i="17"/>
  <c r="N489" i="17"/>
  <c r="N493" i="17"/>
  <c r="N497" i="17"/>
  <c r="N501" i="17"/>
  <c r="N505" i="17"/>
  <c r="N509" i="17"/>
  <c r="N513" i="17"/>
  <c r="N517" i="17"/>
  <c r="N521" i="17"/>
  <c r="N525" i="17"/>
  <c r="N529" i="17"/>
  <c r="N533" i="17"/>
  <c r="N537" i="17"/>
  <c r="N541" i="17"/>
  <c r="N545" i="17"/>
  <c r="N549" i="17"/>
  <c r="N553" i="17"/>
  <c r="N557" i="17"/>
  <c r="N561" i="17"/>
  <c r="N565" i="17"/>
  <c r="N569" i="17"/>
  <c r="N573" i="17"/>
  <c r="N22" i="17"/>
  <c r="N38" i="17"/>
  <c r="N54" i="17"/>
  <c r="N70" i="17"/>
  <c r="N86" i="17"/>
  <c r="N102" i="17"/>
  <c r="N118" i="17"/>
  <c r="N126" i="17"/>
  <c r="N134" i="17"/>
  <c r="N142" i="17"/>
  <c r="N150" i="17"/>
  <c r="N158" i="17"/>
  <c r="N166" i="17"/>
  <c r="N174" i="17"/>
  <c r="N182" i="17"/>
  <c r="N186" i="17"/>
  <c r="N190" i="17"/>
  <c r="N194" i="17"/>
  <c r="N198" i="17"/>
  <c r="N202" i="17"/>
  <c r="N206" i="17"/>
  <c r="N210" i="17"/>
  <c r="N214" i="17"/>
  <c r="N218" i="17"/>
  <c r="N222" i="17"/>
  <c r="N226" i="17"/>
  <c r="N230" i="17"/>
  <c r="N234" i="17"/>
  <c r="N238" i="17"/>
  <c r="N242" i="17"/>
  <c r="N246" i="17"/>
  <c r="N250" i="17"/>
  <c r="N254" i="17"/>
  <c r="N258" i="17"/>
  <c r="N262" i="17"/>
  <c r="N266" i="17"/>
  <c r="N270" i="17"/>
  <c r="N274" i="17"/>
  <c r="N278" i="17"/>
  <c r="N282" i="17"/>
  <c r="N286" i="17"/>
  <c r="N290" i="17"/>
  <c r="N294" i="17"/>
  <c r="N298" i="17"/>
  <c r="N302" i="17"/>
  <c r="N306" i="17"/>
  <c r="N310" i="17"/>
  <c r="N314" i="17"/>
  <c r="N318" i="17"/>
  <c r="N322" i="17"/>
  <c r="N326" i="17"/>
  <c r="N330" i="17"/>
  <c r="N334" i="17"/>
  <c r="N338" i="17"/>
  <c r="N342" i="17"/>
  <c r="N346" i="17"/>
  <c r="N350" i="17"/>
  <c r="N354" i="17"/>
  <c r="N358" i="17"/>
  <c r="N362" i="17"/>
  <c r="N366" i="17"/>
  <c r="N370" i="17"/>
  <c r="N374" i="17"/>
  <c r="N378" i="17"/>
  <c r="N382" i="17"/>
  <c r="N386" i="17"/>
  <c r="N390" i="17"/>
  <c r="N394" i="17"/>
  <c r="N398" i="17"/>
  <c r="N402" i="17"/>
  <c r="N406" i="17"/>
  <c r="N410" i="17"/>
  <c r="N414" i="17"/>
  <c r="N418" i="17"/>
  <c r="N422" i="17"/>
  <c r="N426" i="17"/>
  <c r="N430" i="17"/>
  <c r="N434" i="17"/>
  <c r="N438" i="17"/>
  <c r="N442" i="17"/>
  <c r="N446" i="17"/>
  <c r="N450" i="17"/>
  <c r="N454" i="17"/>
  <c r="N458" i="17"/>
  <c r="N462" i="17"/>
  <c r="N466" i="17"/>
  <c r="N470" i="17"/>
  <c r="N474" i="17"/>
  <c r="N478" i="17"/>
  <c r="N482" i="17"/>
  <c r="N486" i="17"/>
  <c r="N490" i="17"/>
  <c r="N494" i="17"/>
  <c r="N498" i="17"/>
  <c r="N502" i="17"/>
  <c r="N506" i="17"/>
  <c r="N510" i="17"/>
  <c r="N514" i="17"/>
  <c r="N518" i="17"/>
  <c r="N522" i="17"/>
  <c r="N526" i="17"/>
  <c r="N530" i="17"/>
  <c r="N534" i="17"/>
  <c r="N538" i="17"/>
  <c r="N542" i="17"/>
  <c r="N546" i="17"/>
  <c r="N550" i="17"/>
  <c r="N554" i="17"/>
  <c r="N558" i="17"/>
  <c r="N562" i="17"/>
  <c r="N566" i="17"/>
  <c r="N570" i="17"/>
  <c r="N574" i="17"/>
  <c r="N578" i="17"/>
  <c r="N582" i="17"/>
  <c r="N586" i="17"/>
  <c r="N590" i="17"/>
  <c r="N594" i="17"/>
  <c r="N598" i="17"/>
  <c r="N602" i="17"/>
  <c r="N606" i="17"/>
  <c r="N610" i="17"/>
  <c r="N14" i="17"/>
  <c r="N26" i="17"/>
  <c r="N42" i="17"/>
  <c r="N58" i="17"/>
  <c r="N74" i="17"/>
  <c r="N90" i="17"/>
  <c r="N106" i="17"/>
  <c r="N119" i="17"/>
  <c r="N127" i="17"/>
  <c r="N135" i="17"/>
  <c r="N143" i="17"/>
  <c r="N151" i="17"/>
  <c r="N159" i="17"/>
  <c r="N167" i="17"/>
  <c r="N175" i="17"/>
  <c r="N183" i="17"/>
  <c r="N187" i="17"/>
  <c r="N191" i="17"/>
  <c r="N195" i="17"/>
  <c r="N199" i="17"/>
  <c r="N203" i="17"/>
  <c r="N207" i="17"/>
  <c r="N211" i="17"/>
  <c r="N215" i="17"/>
  <c r="N219" i="17"/>
  <c r="N223" i="17"/>
  <c r="N227" i="17"/>
  <c r="N231" i="17"/>
  <c r="N235" i="17"/>
  <c r="V235" i="17" s="1"/>
  <c r="N239" i="17"/>
  <c r="N243" i="17"/>
  <c r="N247" i="17"/>
  <c r="N251" i="17"/>
  <c r="N255" i="17"/>
  <c r="N259" i="17"/>
  <c r="N263" i="17"/>
  <c r="N267" i="17"/>
  <c r="N271" i="17"/>
  <c r="N275" i="17"/>
  <c r="N279" i="17"/>
  <c r="N283" i="17"/>
  <c r="N287" i="17"/>
  <c r="N291" i="17"/>
  <c r="N295" i="17"/>
  <c r="N299" i="17"/>
  <c r="N303" i="17"/>
  <c r="N307" i="17"/>
  <c r="N311" i="17"/>
  <c r="N315" i="17"/>
  <c r="N319" i="17"/>
  <c r="N323" i="17"/>
  <c r="N327" i="17"/>
  <c r="N331" i="17"/>
  <c r="N335" i="17"/>
  <c r="N339" i="17"/>
  <c r="N343" i="17"/>
  <c r="N347" i="17"/>
  <c r="N351" i="17"/>
  <c r="N355" i="17"/>
  <c r="N359" i="17"/>
  <c r="N363" i="17"/>
  <c r="N367" i="17"/>
  <c r="N371" i="17"/>
  <c r="N375" i="17"/>
  <c r="N379" i="17"/>
  <c r="N383" i="17"/>
  <c r="N387" i="17"/>
  <c r="N391" i="17"/>
  <c r="N395" i="17"/>
  <c r="N399" i="17"/>
  <c r="N403" i="17"/>
  <c r="N407" i="17"/>
  <c r="N411" i="17"/>
  <c r="N415" i="17"/>
  <c r="N419" i="17"/>
  <c r="N423" i="17"/>
  <c r="N427" i="17"/>
  <c r="N431" i="17"/>
  <c r="N435" i="17"/>
  <c r="N439" i="17"/>
  <c r="N443" i="17"/>
  <c r="N447" i="17"/>
  <c r="N451" i="17"/>
  <c r="N455" i="17"/>
  <c r="N459" i="17"/>
  <c r="N463" i="17"/>
  <c r="N467" i="17"/>
  <c r="N471" i="17"/>
  <c r="N475" i="17"/>
  <c r="N479" i="17"/>
  <c r="N483" i="17"/>
  <c r="N487" i="17"/>
  <c r="N491" i="17"/>
  <c r="N495" i="17"/>
  <c r="N499" i="17"/>
  <c r="N503" i="17"/>
  <c r="N507" i="17"/>
  <c r="N511" i="17"/>
  <c r="N515" i="17"/>
  <c r="N519" i="17"/>
  <c r="N523" i="17"/>
  <c r="N527" i="17"/>
  <c r="N531" i="17"/>
  <c r="N535" i="17"/>
  <c r="N539" i="17"/>
  <c r="N543" i="17"/>
  <c r="N547" i="17"/>
  <c r="N551" i="17"/>
  <c r="N555" i="17"/>
  <c r="N559" i="17"/>
  <c r="N563" i="17"/>
  <c r="N567" i="17"/>
  <c r="N571" i="17"/>
  <c r="N575" i="17"/>
  <c r="N579" i="17"/>
  <c r="N583" i="17"/>
  <c r="N587" i="17"/>
  <c r="N591" i="17"/>
  <c r="N595" i="17"/>
  <c r="N599" i="17"/>
  <c r="N603" i="17"/>
  <c r="N607" i="17"/>
  <c r="N611" i="17"/>
  <c r="N30" i="17"/>
  <c r="N94" i="17"/>
  <c r="N138" i="17"/>
  <c r="N170" i="17"/>
  <c r="N192" i="17"/>
  <c r="N208" i="17"/>
  <c r="N224" i="17"/>
  <c r="N240" i="17"/>
  <c r="N256" i="17"/>
  <c r="N272" i="17"/>
  <c r="N288" i="17"/>
  <c r="N304" i="17"/>
  <c r="N320" i="17"/>
  <c r="N336" i="17"/>
  <c r="N352" i="17"/>
  <c r="N368" i="17"/>
  <c r="N384" i="17"/>
  <c r="N400" i="17"/>
  <c r="N416" i="17"/>
  <c r="N432" i="17"/>
  <c r="N448" i="17"/>
  <c r="N464" i="17"/>
  <c r="N480" i="17"/>
  <c r="N496" i="17"/>
  <c r="N512" i="17"/>
  <c r="N528" i="17"/>
  <c r="N544" i="17"/>
  <c r="N560" i="17"/>
  <c r="N576" i="17"/>
  <c r="N584" i="17"/>
  <c r="N592" i="17"/>
  <c r="N600" i="17"/>
  <c r="N608" i="17"/>
  <c r="N46" i="17"/>
  <c r="N110" i="17"/>
  <c r="N146" i="17"/>
  <c r="N178" i="17"/>
  <c r="N196" i="17"/>
  <c r="N212" i="17"/>
  <c r="N228" i="17"/>
  <c r="N244" i="17"/>
  <c r="N260" i="17"/>
  <c r="N276" i="17"/>
  <c r="N292" i="17"/>
  <c r="N308" i="17"/>
  <c r="N324" i="17"/>
  <c r="N340" i="17"/>
  <c r="N356" i="17"/>
  <c r="N372" i="17"/>
  <c r="N388" i="17"/>
  <c r="N404" i="17"/>
  <c r="N420" i="17"/>
  <c r="N436" i="17"/>
  <c r="N452" i="17"/>
  <c r="N468" i="17"/>
  <c r="N484" i="17"/>
  <c r="N500" i="17"/>
  <c r="N516" i="17"/>
  <c r="N532" i="17"/>
  <c r="N548" i="17"/>
  <c r="N564" i="17"/>
  <c r="N577" i="17"/>
  <c r="N585" i="17"/>
  <c r="N593" i="17"/>
  <c r="N601" i="17"/>
  <c r="N609" i="17"/>
  <c r="N62" i="17"/>
  <c r="N122" i="17"/>
  <c r="N154" i="17"/>
  <c r="N184" i="17"/>
  <c r="N200" i="17"/>
  <c r="N216" i="17"/>
  <c r="N232" i="17"/>
  <c r="N248" i="17"/>
  <c r="N264" i="17"/>
  <c r="N280" i="17"/>
  <c r="N296" i="17"/>
  <c r="N312" i="17"/>
  <c r="N328" i="17"/>
  <c r="N344" i="17"/>
  <c r="N360" i="17"/>
  <c r="N376" i="17"/>
  <c r="N392" i="17"/>
  <c r="N408" i="17"/>
  <c r="N424" i="17"/>
  <c r="N440" i="17"/>
  <c r="N456" i="17"/>
  <c r="N472" i="17"/>
  <c r="N488" i="17"/>
  <c r="N504" i="17"/>
  <c r="N520" i="17"/>
  <c r="N536" i="17"/>
  <c r="N552" i="17"/>
  <c r="N568" i="17"/>
  <c r="N580" i="17"/>
  <c r="N588" i="17"/>
  <c r="N596" i="17"/>
  <c r="N604" i="17"/>
  <c r="N612" i="17"/>
  <c r="N78" i="17"/>
  <c r="N204" i="17"/>
  <c r="N268" i="17"/>
  <c r="N332" i="17"/>
  <c r="N396" i="17"/>
  <c r="N460" i="17"/>
  <c r="N524" i="17"/>
  <c r="N581" i="17"/>
  <c r="N613" i="17"/>
  <c r="N130" i="17"/>
  <c r="N220" i="17"/>
  <c r="N284" i="17"/>
  <c r="N348" i="17"/>
  <c r="N412" i="17"/>
  <c r="N476" i="17"/>
  <c r="N540" i="17"/>
  <c r="N589" i="17"/>
  <c r="N162" i="17"/>
  <c r="N236" i="17"/>
  <c r="N300" i="17"/>
  <c r="N364" i="17"/>
  <c r="N428" i="17"/>
  <c r="N492" i="17"/>
  <c r="N556" i="17"/>
  <c r="N597" i="17"/>
  <c r="N188" i="17"/>
  <c r="N252" i="17"/>
  <c r="N316" i="17"/>
  <c r="N380" i="17"/>
  <c r="N444" i="17"/>
  <c r="N508" i="17"/>
  <c r="N572" i="17"/>
  <c r="N605" i="17"/>
  <c r="J606" i="17"/>
  <c r="J610" i="17"/>
  <c r="I240" i="17"/>
  <c r="I256" i="17"/>
  <c r="I272" i="17"/>
  <c r="I288" i="17"/>
  <c r="I304" i="17"/>
  <c r="J320" i="17"/>
  <c r="J336" i="17"/>
  <c r="J352" i="17"/>
  <c r="J368" i="17"/>
  <c r="J384" i="17"/>
  <c r="J400" i="17"/>
  <c r="J416" i="17"/>
  <c r="I330" i="17"/>
  <c r="I346" i="17"/>
  <c r="I362" i="17"/>
  <c r="I378" i="17"/>
  <c r="I394" i="17"/>
  <c r="I410" i="17"/>
  <c r="I426" i="17"/>
  <c r="I442" i="17"/>
  <c r="I458" i="17"/>
  <c r="I474" i="17"/>
  <c r="I490" i="17"/>
  <c r="I506" i="17"/>
  <c r="I419" i="17"/>
  <c r="I435" i="17"/>
  <c r="I451" i="17"/>
  <c r="I467" i="17"/>
  <c r="I483" i="17"/>
  <c r="I499" i="17"/>
  <c r="I515" i="17"/>
  <c r="J530" i="17"/>
  <c r="I548" i="17"/>
  <c r="I580" i="17"/>
  <c r="J529" i="17"/>
  <c r="J547" i="17"/>
  <c r="J579" i="17"/>
  <c r="J552" i="17"/>
  <c r="J568" i="17"/>
  <c r="J584" i="17"/>
  <c r="I600" i="17"/>
  <c r="C634" i="17"/>
  <c r="I613" i="17"/>
  <c r="T22" i="27"/>
  <c r="T42" i="27"/>
  <c r="T70" i="27"/>
  <c r="T92" i="27"/>
  <c r="T13" i="27"/>
  <c r="T15" i="27"/>
  <c r="T27" i="27"/>
  <c r="T30" i="27"/>
  <c r="T87" i="27"/>
  <c r="T14" i="27"/>
  <c r="T39" i="27"/>
  <c r="T66" i="27"/>
  <c r="T57" i="27"/>
  <c r="Z57" i="27" s="1"/>
  <c r="T68" i="27"/>
  <c r="Z68" i="27" s="1"/>
  <c r="T59" i="27"/>
  <c r="T28" i="27"/>
  <c r="T17" i="27"/>
  <c r="Z17" i="27" s="1"/>
  <c r="T58" i="27"/>
  <c r="T65" i="27"/>
  <c r="Z65" i="27" s="1"/>
  <c r="T60" i="27"/>
  <c r="T67" i="27"/>
  <c r="T33" i="27"/>
  <c r="T93" i="27"/>
  <c r="V65" i="27"/>
  <c r="T61" i="27"/>
  <c r="Z61" i="27" s="1"/>
  <c r="T63" i="27"/>
  <c r="T45" i="27"/>
  <c r="V61" i="27"/>
  <c r="T62" i="27"/>
  <c r="V57" i="27"/>
  <c r="V68" i="27"/>
  <c r="T64" i="27"/>
  <c r="T38" i="27"/>
  <c r="T71" i="27"/>
  <c r="T88" i="27"/>
  <c r="T29" i="27"/>
  <c r="T82" i="27"/>
  <c r="T56" i="27"/>
  <c r="T51" i="27"/>
  <c r="Z51" i="27" s="1"/>
  <c r="T72" i="27"/>
  <c r="T54" i="27"/>
  <c r="T52" i="27"/>
  <c r="T78" i="27"/>
  <c r="T55" i="27"/>
  <c r="T73" i="27"/>
  <c r="T77" i="27"/>
  <c r="V51" i="27"/>
  <c r="X51" i="27" s="1"/>
  <c r="V17" i="27"/>
  <c r="X17" i="27" s="1"/>
  <c r="T74" i="27"/>
  <c r="T75" i="27"/>
  <c r="T76" i="27"/>
  <c r="T79" i="27"/>
  <c r="T50" i="27"/>
  <c r="T53" i="27"/>
  <c r="T69" i="27"/>
  <c r="T96" i="27"/>
  <c r="T97" i="27"/>
  <c r="M345" i="17"/>
  <c r="M572" i="17"/>
  <c r="M36" i="17"/>
  <c r="M263" i="17"/>
  <c r="M417" i="17"/>
  <c r="M297" i="17"/>
  <c r="M494" i="17"/>
  <c r="M277" i="17"/>
  <c r="M151" i="17"/>
  <c r="M283" i="17"/>
  <c r="M487" i="17"/>
  <c r="M326" i="17"/>
  <c r="M435" i="17"/>
  <c r="M320" i="17"/>
  <c r="M237" i="17"/>
  <c r="M252" i="17"/>
  <c r="M381" i="17"/>
  <c r="M560" i="17"/>
  <c r="M612" i="17"/>
  <c r="M454" i="17"/>
  <c r="M212" i="17"/>
  <c r="M402" i="17"/>
  <c r="M314" i="17"/>
  <c r="M161" i="17"/>
  <c r="M578" i="17"/>
  <c r="M30" i="17"/>
  <c r="M465" i="17"/>
  <c r="M166" i="17"/>
  <c r="M400" i="17"/>
  <c r="M208" i="17"/>
  <c r="M600" i="17"/>
  <c r="M178" i="17"/>
  <c r="M479" i="17"/>
  <c r="M540" i="17"/>
  <c r="M76" i="17"/>
  <c r="M406" i="17"/>
  <c r="M312" i="17"/>
  <c r="M468" i="17"/>
  <c r="M517" i="17"/>
  <c r="M515" i="17"/>
  <c r="M383" i="17"/>
  <c r="M58" i="17"/>
  <c r="M488" i="17"/>
  <c r="M172" i="17"/>
  <c r="M607" i="17"/>
  <c r="M218" i="17"/>
  <c r="M385" i="17"/>
  <c r="M259" i="17"/>
  <c r="M125" i="17"/>
  <c r="M63" i="17"/>
  <c r="M45" i="17"/>
  <c r="M543" i="17"/>
  <c r="M246" i="17"/>
  <c r="M561" i="17"/>
  <c r="M482" i="17"/>
  <c r="M24" i="17"/>
  <c r="M123" i="17"/>
  <c r="M366" i="17"/>
  <c r="M300" i="17"/>
  <c r="M152" i="17"/>
  <c r="M372" i="17"/>
  <c r="M138" i="17"/>
  <c r="M437" i="17"/>
  <c r="M475" i="17"/>
  <c r="M335" i="17"/>
  <c r="N622" i="17"/>
  <c r="M90" i="17"/>
  <c r="M333" i="17"/>
  <c r="M559" i="17"/>
  <c r="M209" i="17"/>
  <c r="M442" i="17"/>
  <c r="M232" i="17"/>
  <c r="M428" i="17"/>
  <c r="M179" i="17"/>
  <c r="N628" i="17"/>
  <c r="M199" i="17"/>
  <c r="M41" i="17"/>
  <c r="M555" i="17"/>
  <c r="M92" i="17"/>
  <c r="M99" i="17"/>
  <c r="M525" i="17"/>
  <c r="M84" i="17"/>
  <c r="M20" i="17"/>
  <c r="M83" i="17"/>
  <c r="M155" i="17"/>
  <c r="M363" i="17"/>
  <c r="M541" i="17"/>
  <c r="M219" i="17"/>
  <c r="M97" i="17"/>
  <c r="M17" i="17"/>
  <c r="M96" i="17"/>
  <c r="M64" i="17"/>
  <c r="M32" i="17"/>
  <c r="M159" i="17"/>
  <c r="M107" i="17"/>
  <c r="M43" i="17"/>
  <c r="N13" i="17"/>
  <c r="M173" i="17"/>
  <c r="M339" i="17"/>
  <c r="M403" i="17"/>
  <c r="M455" i="17"/>
  <c r="M520" i="17"/>
  <c r="M532" i="17"/>
  <c r="M121" i="17"/>
  <c r="M321" i="17"/>
  <c r="M377" i="17"/>
  <c r="M429" i="17"/>
  <c r="M493" i="17"/>
  <c r="M566" i="17"/>
  <c r="M551" i="17"/>
  <c r="M247" i="17"/>
  <c r="M114" i="17"/>
  <c r="M85" i="17"/>
  <c r="M251" i="17"/>
  <c r="M60" i="17"/>
  <c r="M189" i="17"/>
  <c r="M137" i="17"/>
  <c r="M52" i="17"/>
  <c r="M626" i="17"/>
  <c r="M447" i="17"/>
  <c r="M33" i="17"/>
  <c r="M80" i="17"/>
  <c r="M40" i="17"/>
  <c r="M117" i="17"/>
  <c r="M75" i="17"/>
  <c r="M323" i="17"/>
  <c r="M471" i="17"/>
  <c r="M554" i="17"/>
  <c r="M571" i="17"/>
  <c r="M153" i="17"/>
  <c r="M361" i="17"/>
  <c r="M509" i="17"/>
  <c r="M538" i="17"/>
  <c r="M215" i="17"/>
  <c r="M130" i="17"/>
  <c r="M194" i="17"/>
  <c r="M258" i="17"/>
  <c r="M348" i="17"/>
  <c r="M412" i="17"/>
  <c r="M476" i="17"/>
  <c r="M584" i="17"/>
  <c r="M599" i="17"/>
  <c r="M589" i="17"/>
  <c r="M221" i="17"/>
  <c r="M285" i="17"/>
  <c r="M144" i="17"/>
  <c r="M264" i="17"/>
  <c r="M418" i="17"/>
  <c r="M597" i="17"/>
  <c r="M580" i="17"/>
  <c r="M474" i="17"/>
  <c r="M410" i="17"/>
  <c r="M346" i="17"/>
  <c r="M256" i="17"/>
  <c r="M192" i="17"/>
  <c r="M140" i="17"/>
  <c r="M313" i="17"/>
  <c r="M281" i="17"/>
  <c r="M249" i="17"/>
  <c r="M217" i="17"/>
  <c r="M585" i="17"/>
  <c r="M553" i="17"/>
  <c r="M595" i="17"/>
  <c r="M576" i="17"/>
  <c r="M504" i="17"/>
  <c r="M472" i="17"/>
  <c r="M440" i="17"/>
  <c r="M408" i="17"/>
  <c r="M376" i="17"/>
  <c r="M344" i="17"/>
  <c r="M286" i="17"/>
  <c r="M254" i="17"/>
  <c r="M222" i="17"/>
  <c r="M190" i="17"/>
  <c r="M158" i="17"/>
  <c r="M126" i="17"/>
  <c r="M299" i="17"/>
  <c r="M267" i="17"/>
  <c r="M207" i="17"/>
  <c r="M575" i="17"/>
  <c r="M590" i="17"/>
  <c r="M535" i="17"/>
  <c r="M505" i="17"/>
  <c r="M473" i="17"/>
  <c r="M441" i="17"/>
  <c r="M389" i="17"/>
  <c r="M357" i="17"/>
  <c r="N623" i="17"/>
  <c r="M61" i="17"/>
  <c r="M29" i="17"/>
  <c r="M102" i="17"/>
  <c r="M86" i="17"/>
  <c r="M70" i="17"/>
  <c r="M54" i="17"/>
  <c r="M38" i="17"/>
  <c r="M22" i="17"/>
  <c r="M135" i="17"/>
  <c r="M133" i="17"/>
  <c r="M623" i="17"/>
  <c r="M87" i="17"/>
  <c r="M55" i="17"/>
  <c r="M23" i="17"/>
  <c r="M111" i="17"/>
  <c r="M108" i="17"/>
  <c r="M495" i="17"/>
  <c r="M35" i="17"/>
  <c r="M411" i="17"/>
  <c r="M143" i="17"/>
  <c r="M511" i="17"/>
  <c r="M169" i="17"/>
  <c r="M65" i="17"/>
  <c r="M72" i="17"/>
  <c r="M16" i="17"/>
  <c r="M91" i="17"/>
  <c r="M371" i="17"/>
  <c r="M503" i="17"/>
  <c r="M185" i="17"/>
  <c r="M393" i="17"/>
  <c r="M523" i="17"/>
  <c r="M583" i="17"/>
  <c r="M303" i="17"/>
  <c r="M210" i="17"/>
  <c r="M290" i="17"/>
  <c r="M364" i="17"/>
  <c r="M444" i="17"/>
  <c r="M518" i="17"/>
  <c r="M602" i="17"/>
  <c r="M253" i="17"/>
  <c r="M128" i="17"/>
  <c r="M296" i="17"/>
  <c r="M354" i="17"/>
  <c r="M514" i="17"/>
  <c r="M506" i="17"/>
  <c r="M426" i="17"/>
  <c r="M330" i="17"/>
  <c r="M272" i="17"/>
  <c r="M176" i="17"/>
  <c r="M124" i="17"/>
  <c r="M289" i="17"/>
  <c r="M241" i="17"/>
  <c r="M201" i="17"/>
  <c r="M593" i="17"/>
  <c r="M545" i="17"/>
  <c r="M598" i="17"/>
  <c r="M544" i="17"/>
  <c r="M480" i="17"/>
  <c r="M432" i="17"/>
  <c r="M392" i="17"/>
  <c r="M352" i="17"/>
  <c r="M278" i="17"/>
  <c r="M238" i="17"/>
  <c r="M198" i="17"/>
  <c r="M150" i="17"/>
  <c r="M110" i="17"/>
  <c r="M275" i="17"/>
  <c r="M526" i="17"/>
  <c r="M527" i="17"/>
  <c r="M489" i="17"/>
  <c r="M449" i="17"/>
  <c r="M397" i="17"/>
  <c r="M349" i="17"/>
  <c r="M89" i="17"/>
  <c r="M37" i="17"/>
  <c r="M106" i="17"/>
  <c r="M82" i="17"/>
  <c r="M62" i="17"/>
  <c r="M42" i="17"/>
  <c r="M18" i="17"/>
  <c r="M167" i="17"/>
  <c r="M77" i="17"/>
  <c r="M79" i="17"/>
  <c r="M39" i="17"/>
  <c r="M115" i="17"/>
  <c r="M183" i="17"/>
  <c r="M181" i="17"/>
  <c r="M343" i="17"/>
  <c r="M375" i="17"/>
  <c r="M407" i="17"/>
  <c r="M427" i="17"/>
  <c r="M459" i="17"/>
  <c r="M491" i="17"/>
  <c r="M521" i="17"/>
  <c r="M562" i="17"/>
  <c r="M536" i="17"/>
  <c r="M547" i="17"/>
  <c r="M243" i="17"/>
  <c r="M129" i="17"/>
  <c r="M193" i="17"/>
  <c r="M317" i="17"/>
  <c r="M369" i="17"/>
  <c r="M421" i="17"/>
  <c r="M485" i="17"/>
  <c r="M550" i="17"/>
  <c r="M231" i="17"/>
  <c r="M311" i="17"/>
  <c r="M170" i="17"/>
  <c r="M234" i="17"/>
  <c r="M298" i="17"/>
  <c r="M324" i="17"/>
  <c r="M388" i="17"/>
  <c r="M452" i="17"/>
  <c r="M516" i="17"/>
  <c r="M565" i="17"/>
  <c r="M261" i="17"/>
  <c r="M120" i="17"/>
  <c r="M216" i="17"/>
  <c r="M370" i="17"/>
  <c r="M498" i="17"/>
  <c r="M164" i="17"/>
  <c r="M196" i="17"/>
  <c r="M228" i="17"/>
  <c r="M260" i="17"/>
  <c r="M292" i="17"/>
  <c r="M318" i="17"/>
  <c r="M350" i="17"/>
  <c r="M382" i="17"/>
  <c r="M414" i="17"/>
  <c r="M446" i="17"/>
  <c r="M478" i="17"/>
  <c r="M510" i="17"/>
  <c r="M588" i="17"/>
  <c r="M601" i="17"/>
  <c r="M44" i="17"/>
  <c r="M431" i="17"/>
  <c r="M622" i="17"/>
  <c r="M100" i="17"/>
  <c r="N626" i="17"/>
  <c r="M157" i="17"/>
  <c r="M331" i="17"/>
  <c r="M524" i="17"/>
  <c r="M49" i="17"/>
  <c r="M56" i="17"/>
  <c r="M127" i="17"/>
  <c r="M59" i="17"/>
  <c r="M139" i="17"/>
  <c r="M387" i="17"/>
  <c r="M423" i="17"/>
  <c r="M533" i="17"/>
  <c r="M203" i="17"/>
  <c r="M409" i="17"/>
  <c r="M445" i="17"/>
  <c r="M539" i="17"/>
  <c r="M146" i="17"/>
  <c r="M226" i="17"/>
  <c r="M306" i="17"/>
  <c r="M380" i="17"/>
  <c r="M460" i="17"/>
  <c r="M269" i="17"/>
  <c r="M168" i="17"/>
  <c r="M386" i="17"/>
  <c r="M548" i="17"/>
  <c r="M490" i="17"/>
  <c r="M394" i="17"/>
  <c r="M240" i="17"/>
  <c r="M160" i="17"/>
  <c r="M116" i="17"/>
  <c r="M273" i="17"/>
  <c r="M233" i="17"/>
  <c r="M577" i="17"/>
  <c r="M611" i="17"/>
  <c r="M512" i="17"/>
  <c r="M464" i="17"/>
  <c r="M424" i="17"/>
  <c r="M384" i="17"/>
  <c r="M336" i="17"/>
  <c r="M310" i="17"/>
  <c r="M270" i="17"/>
  <c r="M230" i="17"/>
  <c r="M182" i="17"/>
  <c r="M142" i="17"/>
  <c r="M307" i="17"/>
  <c r="M255" i="17"/>
  <c r="M574" i="17"/>
  <c r="M519" i="17"/>
  <c r="M604" i="17"/>
  <c r="M556" i="17"/>
  <c r="M486" i="17"/>
  <c r="M438" i="17"/>
  <c r="M398" i="17"/>
  <c r="M358" i="17"/>
  <c r="M284" i="17"/>
  <c r="M244" i="17"/>
  <c r="M204" i="17"/>
  <c r="M156" i="17"/>
  <c r="M338" i="17"/>
  <c r="M280" i="17"/>
  <c r="M136" i="17"/>
  <c r="M245" i="17"/>
  <c r="M610" i="17"/>
  <c r="M436" i="17"/>
  <c r="M356" i="17"/>
  <c r="M282" i="17"/>
  <c r="M202" i="17"/>
  <c r="M122" i="17"/>
  <c r="M530" i="17"/>
  <c r="M501" i="17"/>
  <c r="M353" i="17"/>
  <c r="M145" i="17"/>
  <c r="M227" i="17"/>
  <c r="M579" i="17"/>
  <c r="M546" i="17"/>
  <c r="M507" i="17"/>
  <c r="M467" i="17"/>
  <c r="M419" i="17"/>
  <c r="M415" i="17"/>
  <c r="M367" i="17"/>
  <c r="M327" i="17"/>
  <c r="M197" i="17"/>
  <c r="M163" i="17"/>
  <c r="M15" i="17"/>
  <c r="M71" i="17"/>
  <c r="M93" i="17"/>
  <c r="M119" i="17"/>
  <c r="M34" i="17"/>
  <c r="M66" i="17"/>
  <c r="M94" i="17"/>
  <c r="M53" i="17"/>
  <c r="M341" i="17"/>
  <c r="M405" i="17"/>
  <c r="M425" i="17"/>
  <c r="M481" i="17"/>
  <c r="M558" i="17"/>
  <c r="M591" i="17"/>
  <c r="M291" i="17"/>
  <c r="M174" i="17"/>
  <c r="M262" i="17"/>
  <c r="M328" i="17"/>
  <c r="M416" i="17"/>
  <c r="M496" i="17"/>
  <c r="M592" i="17"/>
  <c r="M569" i="17"/>
  <c r="M225" i="17"/>
  <c r="M305" i="17"/>
  <c r="M224" i="17"/>
  <c r="M458" i="17"/>
  <c r="M613" i="17"/>
  <c r="M450" i="17"/>
  <c r="M200" i="17"/>
  <c r="M205" i="17"/>
  <c r="M396" i="17"/>
  <c r="M162" i="17"/>
  <c r="M522" i="17"/>
  <c r="M329" i="17"/>
  <c r="M235" i="17"/>
  <c r="M439" i="17"/>
  <c r="M27" i="17"/>
  <c r="M48" i="17"/>
  <c r="M68" i="17"/>
  <c r="M463" i="17"/>
  <c r="M570" i="17"/>
  <c r="M67" i="17"/>
  <c r="M596" i="17"/>
  <c r="M470" i="17"/>
  <c r="M430" i="17"/>
  <c r="M390" i="17"/>
  <c r="M342" i="17"/>
  <c r="M276" i="17"/>
  <c r="M236" i="17"/>
  <c r="M188" i="17"/>
  <c r="M605" i="17"/>
  <c r="M564" i="17"/>
  <c r="M466" i="17"/>
  <c r="M248" i="17"/>
  <c r="M309" i="17"/>
  <c r="M229" i="17"/>
  <c r="M581" i="17"/>
  <c r="M500" i="17"/>
  <c r="M420" i="17"/>
  <c r="M340" i="17"/>
  <c r="M266" i="17"/>
  <c r="M186" i="17"/>
  <c r="M295" i="17"/>
  <c r="M582" i="17"/>
  <c r="M469" i="17"/>
  <c r="M337" i="17"/>
  <c r="M113" i="17"/>
  <c r="M211" i="17"/>
  <c r="M563" i="17"/>
  <c r="M528" i="17"/>
  <c r="M537" i="17"/>
  <c r="M499" i="17"/>
  <c r="M451" i="17"/>
  <c r="M399" i="17"/>
  <c r="M359" i="17"/>
  <c r="M319" i="17"/>
  <c r="M165" i="17"/>
  <c r="M147" i="17"/>
  <c r="M31" i="17"/>
  <c r="M95" i="17"/>
  <c r="M109" i="17"/>
  <c r="M14" i="17"/>
  <c r="M46" i="17"/>
  <c r="M74" i="17"/>
  <c r="M98" i="17"/>
  <c r="M13" i="17"/>
  <c r="M73" i="17"/>
  <c r="M365" i="17"/>
  <c r="M413" i="17"/>
  <c r="M433" i="17"/>
  <c r="M497" i="17"/>
  <c r="M534" i="17"/>
  <c r="M223" i="17"/>
  <c r="M118" i="17"/>
  <c r="M206" i="17"/>
  <c r="M294" i="17"/>
  <c r="M360" i="17"/>
  <c r="M448" i="17"/>
  <c r="M606" i="17"/>
  <c r="M257" i="17"/>
  <c r="M132" i="17"/>
  <c r="M288" i="17"/>
  <c r="M362" i="17"/>
  <c r="M322" i="17"/>
  <c r="M112" i="17"/>
  <c r="M573" i="17"/>
  <c r="M508" i="17"/>
  <c r="M332" i="17"/>
  <c r="M274" i="17"/>
  <c r="M287" i="17"/>
  <c r="M477" i="17"/>
  <c r="M355" i="17"/>
  <c r="M141" i="17"/>
  <c r="M69" i="17"/>
  <c r="M88" i="17"/>
  <c r="M195" i="17"/>
  <c r="M19" i="17"/>
  <c r="M25" i="17"/>
  <c r="M347" i="17"/>
  <c r="M175" i="17"/>
  <c r="M379" i="17"/>
  <c r="M609" i="17"/>
  <c r="M502" i="17"/>
  <c r="M462" i="17"/>
  <c r="M422" i="17"/>
  <c r="M374" i="17"/>
  <c r="M334" i="17"/>
  <c r="M308" i="17"/>
  <c r="M268" i="17"/>
  <c r="M220" i="17"/>
  <c r="M180" i="17"/>
  <c r="M608" i="17"/>
  <c r="M434" i="17"/>
  <c r="M184" i="17"/>
  <c r="M293" i="17"/>
  <c r="M213" i="17"/>
  <c r="M549" i="17"/>
  <c r="M568" i="17"/>
  <c r="M484" i="17"/>
  <c r="M404" i="17"/>
  <c r="M250" i="17"/>
  <c r="M154" i="17"/>
  <c r="M279" i="17"/>
  <c r="M567" i="17"/>
  <c r="M531" i="17"/>
  <c r="M453" i="17"/>
  <c r="M401" i="17"/>
  <c r="M325" i="17"/>
  <c r="M177" i="17"/>
  <c r="M187" i="17"/>
  <c r="M594" i="17"/>
  <c r="M529" i="17"/>
  <c r="M483" i="17"/>
  <c r="M443" i="17"/>
  <c r="M391" i="17"/>
  <c r="M351" i="17"/>
  <c r="M149" i="17"/>
  <c r="M131" i="17"/>
  <c r="M47" i="17"/>
  <c r="M103" i="17"/>
  <c r="M191" i="17"/>
  <c r="M26" i="17"/>
  <c r="M50" i="17"/>
  <c r="M78" i="17"/>
  <c r="M21" i="17"/>
  <c r="M105" i="17"/>
  <c r="M373" i="17"/>
  <c r="M457" i="17"/>
  <c r="M513" i="17"/>
  <c r="M542" i="17"/>
  <c r="M239" i="17"/>
  <c r="M134" i="17"/>
  <c r="M214" i="17"/>
  <c r="M302" i="17"/>
  <c r="M368" i="17"/>
  <c r="M456" i="17"/>
  <c r="M603" i="17"/>
  <c r="M265" i="17"/>
  <c r="M148" i="17"/>
  <c r="M304" i="17"/>
  <c r="M378" i="17"/>
  <c r="M301" i="17"/>
  <c r="M557" i="17"/>
  <c r="M552" i="17"/>
  <c r="M492" i="17"/>
  <c r="M316" i="17"/>
  <c r="M242" i="17"/>
  <c r="M271" i="17"/>
  <c r="M461" i="17"/>
  <c r="M586" i="17"/>
  <c r="M171" i="17"/>
  <c r="M101" i="17"/>
  <c r="M104" i="17"/>
  <c r="M587" i="17"/>
  <c r="M395" i="17"/>
  <c r="M51" i="17"/>
  <c r="M57" i="17"/>
  <c r="M28" i="17"/>
  <c r="M315" i="17"/>
  <c r="M628" i="17"/>
  <c r="F627" i="17"/>
  <c r="E627" i="17"/>
  <c r="N627" i="17"/>
  <c r="M627" i="17"/>
  <c r="J627" i="17"/>
  <c r="D627" i="17"/>
  <c r="L627" i="17"/>
  <c r="K627" i="17"/>
  <c r="I627" i="17"/>
  <c r="T627" i="17"/>
  <c r="S627" i="17"/>
  <c r="C627" i="17"/>
  <c r="G627" i="17"/>
  <c r="H624" i="17"/>
  <c r="G624" i="17"/>
  <c r="H625" i="17"/>
  <c r="G625" i="17"/>
  <c r="W91" i="27" l="1"/>
  <c r="V131" i="17"/>
  <c r="V389" i="17"/>
  <c r="W389" i="17" s="1"/>
  <c r="V567" i="17"/>
  <c r="W567" i="17" s="1"/>
  <c r="W34" i="27"/>
  <c r="W89" i="27"/>
  <c r="V584" i="17"/>
  <c r="W584" i="17" s="1"/>
  <c r="V609" i="17"/>
  <c r="W609" i="17" s="1"/>
  <c r="V290" i="17"/>
  <c r="W290" i="17" s="1"/>
  <c r="V549" i="17"/>
  <c r="W549" i="17" s="1"/>
  <c r="V341" i="17"/>
  <c r="W341" i="17" s="1"/>
  <c r="AC301" i="17"/>
  <c r="X41" i="27"/>
  <c r="X20" i="27"/>
  <c r="V43" i="17"/>
  <c r="W43" i="17" s="1"/>
  <c r="W44" i="27"/>
  <c r="V84" i="17"/>
  <c r="W84" i="17" s="1"/>
  <c r="V599" i="17"/>
  <c r="W599" i="17" s="1"/>
  <c r="V220" i="17"/>
  <c r="W220" i="17" s="1"/>
  <c r="V324" i="17"/>
  <c r="W324" i="17" s="1"/>
  <c r="V464" i="17"/>
  <c r="W464" i="17" s="1"/>
  <c r="V605" i="17"/>
  <c r="W605" i="17" s="1"/>
  <c r="V589" i="17"/>
  <c r="W589" i="17" s="1"/>
  <c r="V403" i="17"/>
  <c r="W403" i="17" s="1"/>
  <c r="V32" i="17"/>
  <c r="W32" i="17" s="1"/>
  <c r="Q625" i="17"/>
  <c r="V516" i="17"/>
  <c r="W516" i="17" s="1"/>
  <c r="V427" i="17"/>
  <c r="W427" i="17" s="1"/>
  <c r="V85" i="17"/>
  <c r="W85" i="17" s="1"/>
  <c r="V594" i="17"/>
  <c r="W594" i="17" s="1"/>
  <c r="V338" i="17"/>
  <c r="W338" i="17" s="1"/>
  <c r="V213" i="17"/>
  <c r="W213" i="17" s="1"/>
  <c r="V88" i="17"/>
  <c r="W88" i="17" s="1"/>
  <c r="V372" i="17"/>
  <c r="W372" i="17" s="1"/>
  <c r="V162" i="17"/>
  <c r="W162" i="17" s="1"/>
  <c r="V546" i="17"/>
  <c r="W546" i="17" s="1"/>
  <c r="V485" i="17"/>
  <c r="W485" i="17" s="1"/>
  <c r="V40" i="17"/>
  <c r="W40" i="17" s="1"/>
  <c r="X18" i="27"/>
  <c r="X90" i="27"/>
  <c r="W40" i="27"/>
  <c r="X23" i="27"/>
  <c r="X31" i="27"/>
  <c r="W43" i="27"/>
  <c r="X85" i="27"/>
  <c r="W48" i="27"/>
  <c r="X47" i="27"/>
  <c r="W84" i="27"/>
  <c r="X36" i="27"/>
  <c r="X46" i="27"/>
  <c r="X94" i="27"/>
  <c r="V556" i="17"/>
  <c r="W556" i="17" s="1"/>
  <c r="V559" i="17"/>
  <c r="W559" i="17" s="1"/>
  <c r="AC255" i="17"/>
  <c r="V266" i="17"/>
  <c r="W266" i="17" s="1"/>
  <c r="V57" i="17"/>
  <c r="W57" i="17" s="1"/>
  <c r="X21" i="27"/>
  <c r="V565" i="17"/>
  <c r="W565" i="17" s="1"/>
  <c r="V114" i="17"/>
  <c r="W114" i="17" s="1"/>
  <c r="V63" i="17"/>
  <c r="W63" i="17" s="1"/>
  <c r="X95" i="27"/>
  <c r="X35" i="27"/>
  <c r="V420" i="17"/>
  <c r="W420" i="17" s="1"/>
  <c r="V561" i="17"/>
  <c r="W561" i="17" s="1"/>
  <c r="V294" i="17"/>
  <c r="W294" i="17" s="1"/>
  <c r="V469" i="17"/>
  <c r="W469" i="17" s="1"/>
  <c r="AC325" i="17"/>
  <c r="V50" i="17"/>
  <c r="W50" i="17" s="1"/>
  <c r="V484" i="17"/>
  <c r="W484" i="17" s="1"/>
  <c r="V560" i="17"/>
  <c r="W560" i="17" s="1"/>
  <c r="V574" i="17"/>
  <c r="W574" i="17" s="1"/>
  <c r="V250" i="17"/>
  <c r="W250" i="17" s="1"/>
  <c r="V571" i="17"/>
  <c r="W571" i="17" s="1"/>
  <c r="X24" i="27"/>
  <c r="W16" i="27"/>
  <c r="W25" i="27"/>
  <c r="X26" i="27"/>
  <c r="X32" i="27"/>
  <c r="U578" i="17"/>
  <c r="Y578" i="17" s="1"/>
  <c r="V463" i="17"/>
  <c r="W463" i="17" s="1"/>
  <c r="W80" i="27"/>
  <c r="X81" i="27"/>
  <c r="W37" i="27"/>
  <c r="W49" i="27"/>
  <c r="X19" i="27"/>
  <c r="W83" i="27"/>
  <c r="X86" i="27"/>
  <c r="AA37" i="27"/>
  <c r="AB37" i="27"/>
  <c r="AA25" i="27"/>
  <c r="AB25" i="27"/>
  <c r="AB24" i="27"/>
  <c r="AA24" i="27"/>
  <c r="AB26" i="27"/>
  <c r="AA26" i="27"/>
  <c r="AB32" i="27"/>
  <c r="AA32" i="27"/>
  <c r="AB16" i="27"/>
  <c r="AA16" i="27"/>
  <c r="AB19" i="27"/>
  <c r="AA19" i="27"/>
  <c r="AB86" i="27"/>
  <c r="AA86" i="27"/>
  <c r="AA81" i="27"/>
  <c r="AB81" i="27"/>
  <c r="AB84" i="27"/>
  <c r="AA84" i="27"/>
  <c r="AB80" i="27"/>
  <c r="AA80" i="27"/>
  <c r="AB44" i="27"/>
  <c r="AA44" i="27"/>
  <c r="AA49" i="27"/>
  <c r="AB49" i="27"/>
  <c r="AA41" i="27"/>
  <c r="AB41" i="27"/>
  <c r="AB91" i="27"/>
  <c r="AA91" i="27"/>
  <c r="AB20" i="27"/>
  <c r="AA20" i="27"/>
  <c r="AB83" i="27"/>
  <c r="AA83" i="27"/>
  <c r="AA61" i="27"/>
  <c r="AB61" i="27"/>
  <c r="AA17" i="27"/>
  <c r="AB17" i="27"/>
  <c r="AA57" i="27"/>
  <c r="AB57" i="27"/>
  <c r="AB51" i="27"/>
  <c r="AA51" i="27"/>
  <c r="AA65" i="27"/>
  <c r="AB65" i="27"/>
  <c r="AB68" i="27"/>
  <c r="AA68" i="27"/>
  <c r="AB95" i="27"/>
  <c r="AA95" i="27"/>
  <c r="AB35" i="27"/>
  <c r="AA35" i="27"/>
  <c r="AB46" i="27"/>
  <c r="AA46" i="27"/>
  <c r="AB31" i="27"/>
  <c r="AA31" i="27"/>
  <c r="AB90" i="27"/>
  <c r="AA90" i="27"/>
  <c r="AB36" i="27"/>
  <c r="AA36" i="27"/>
  <c r="AB94" i="27"/>
  <c r="AA94" i="27"/>
  <c r="AA85" i="27"/>
  <c r="AB85" i="27"/>
  <c r="AA21" i="27"/>
  <c r="AB21" i="27"/>
  <c r="AB23" i="27"/>
  <c r="AA23" i="27"/>
  <c r="AB40" i="27"/>
  <c r="AA40" i="27"/>
  <c r="AB34" i="27"/>
  <c r="AA34" i="27"/>
  <c r="AB43" i="27"/>
  <c r="AA43" i="27"/>
  <c r="AB47" i="27"/>
  <c r="AA47" i="27"/>
  <c r="AB48" i="27"/>
  <c r="AA48" i="27"/>
  <c r="AA89" i="27"/>
  <c r="AB89" i="27"/>
  <c r="AB18" i="27"/>
  <c r="AA18" i="27"/>
  <c r="V96" i="27"/>
  <c r="W96" i="27" s="1"/>
  <c r="Z96" i="27"/>
  <c r="V79" i="27"/>
  <c r="X79" i="27" s="1"/>
  <c r="Z79" i="27"/>
  <c r="V55" i="27"/>
  <c r="X55" i="27" s="1"/>
  <c r="Z55" i="27"/>
  <c r="V72" i="27"/>
  <c r="X72" i="27" s="1"/>
  <c r="Z72" i="27"/>
  <c r="V29" i="27"/>
  <c r="W29" i="27" s="1"/>
  <c r="Z29" i="27"/>
  <c r="V64" i="27"/>
  <c r="W64" i="27" s="1"/>
  <c r="Z64" i="27"/>
  <c r="V60" i="27"/>
  <c r="X60" i="27" s="1"/>
  <c r="Z60" i="27"/>
  <c r="V28" i="27"/>
  <c r="X28" i="27" s="1"/>
  <c r="Z28" i="27"/>
  <c r="V66" i="27"/>
  <c r="X66" i="27" s="1"/>
  <c r="Z66" i="27"/>
  <c r="V30" i="27"/>
  <c r="X30" i="27" s="1"/>
  <c r="Z30" i="27"/>
  <c r="V92" i="27"/>
  <c r="W92" i="27" s="1"/>
  <c r="Z92" i="27"/>
  <c r="V69" i="27"/>
  <c r="W69" i="27" s="1"/>
  <c r="Z69" i="27"/>
  <c r="V76" i="27"/>
  <c r="W76" i="27" s="1"/>
  <c r="Z76" i="27"/>
  <c r="V78" i="27"/>
  <c r="W78" i="27" s="1"/>
  <c r="Z78" i="27"/>
  <c r="V88" i="27"/>
  <c r="X88" i="27" s="1"/>
  <c r="Z88" i="27"/>
  <c r="V45" i="27"/>
  <c r="W45" i="27" s="1"/>
  <c r="Z45" i="27"/>
  <c r="V93" i="27"/>
  <c r="X93" i="27" s="1"/>
  <c r="Z93" i="27"/>
  <c r="V59" i="27"/>
  <c r="W59" i="27" s="1"/>
  <c r="Z59" i="27"/>
  <c r="V39" i="27"/>
  <c r="X39" i="27" s="1"/>
  <c r="Z39" i="27"/>
  <c r="V27" i="27"/>
  <c r="X27" i="27" s="1"/>
  <c r="Z27" i="27"/>
  <c r="V70" i="27"/>
  <c r="X70" i="27" s="1"/>
  <c r="Z70" i="27"/>
  <c r="V53" i="27"/>
  <c r="W53" i="27" s="1"/>
  <c r="Z53" i="27"/>
  <c r="V75" i="27"/>
  <c r="W75" i="27" s="1"/>
  <c r="Z75" i="27"/>
  <c r="V77" i="27"/>
  <c r="X77" i="27" s="1"/>
  <c r="Z77" i="27"/>
  <c r="V52" i="27"/>
  <c r="W52" i="27" s="1"/>
  <c r="Z52" i="27"/>
  <c r="V56" i="27"/>
  <c r="W56" i="27" s="1"/>
  <c r="Z56" i="27"/>
  <c r="V71" i="27"/>
  <c r="W71" i="27" s="1"/>
  <c r="Z71" i="27"/>
  <c r="V63" i="27"/>
  <c r="W63" i="27" s="1"/>
  <c r="Z63" i="27"/>
  <c r="V33" i="27"/>
  <c r="W33" i="27" s="1"/>
  <c r="Z33" i="27"/>
  <c r="V58" i="27"/>
  <c r="X58" i="27" s="1"/>
  <c r="Z58" i="27"/>
  <c r="V14" i="27"/>
  <c r="X14" i="27" s="1"/>
  <c r="Z14" i="27"/>
  <c r="V15" i="27"/>
  <c r="X15" i="27" s="1"/>
  <c r="Z15" i="27"/>
  <c r="V42" i="27"/>
  <c r="W42" i="27" s="1"/>
  <c r="Z42" i="27"/>
  <c r="V97" i="27"/>
  <c r="X97" i="27" s="1"/>
  <c r="Z97" i="27"/>
  <c r="V50" i="27"/>
  <c r="W50" i="27" s="1"/>
  <c r="Z50" i="27"/>
  <c r="V74" i="27"/>
  <c r="W74" i="27" s="1"/>
  <c r="Z74" i="27"/>
  <c r="V73" i="27"/>
  <c r="X73" i="27" s="1"/>
  <c r="Z73" i="27"/>
  <c r="V54" i="27"/>
  <c r="W54" i="27" s="1"/>
  <c r="Z54" i="27"/>
  <c r="V82" i="27"/>
  <c r="X82" i="27" s="1"/>
  <c r="Z82" i="27"/>
  <c r="V38" i="27"/>
  <c r="W38" i="27" s="1"/>
  <c r="Z38" i="27"/>
  <c r="V62" i="27"/>
  <c r="X62" i="27" s="1"/>
  <c r="Z62" i="27"/>
  <c r="V67" i="27"/>
  <c r="X67" i="27" s="1"/>
  <c r="Z67" i="27"/>
  <c r="V87" i="27"/>
  <c r="W87" i="27" s="1"/>
  <c r="Z87" i="27"/>
  <c r="V22" i="27"/>
  <c r="X22" i="27" s="1"/>
  <c r="Z22" i="27"/>
  <c r="X13" i="27"/>
  <c r="AE13" i="27" s="1"/>
  <c r="Z13" i="27"/>
  <c r="V376" i="17"/>
  <c r="W376" i="17" s="1"/>
  <c r="V363" i="17"/>
  <c r="W363" i="17" s="1"/>
  <c r="V246" i="17"/>
  <c r="W246" i="17" s="1"/>
  <c r="V425" i="17"/>
  <c r="W425" i="17" s="1"/>
  <c r="V297" i="17"/>
  <c r="W297" i="17" s="1"/>
  <c r="V117" i="17"/>
  <c r="W117" i="17" s="1"/>
  <c r="V53" i="17"/>
  <c r="W53" i="17" s="1"/>
  <c r="V444" i="17"/>
  <c r="W444" i="17" s="1"/>
  <c r="V119" i="17"/>
  <c r="W119" i="17" s="1"/>
  <c r="V322" i="17"/>
  <c r="W322" i="17" s="1"/>
  <c r="V97" i="17"/>
  <c r="W97" i="17" s="1"/>
  <c r="AC136" i="17"/>
  <c r="V374" i="17"/>
  <c r="W374" i="17" s="1"/>
  <c r="U101" i="17"/>
  <c r="Y101" i="17" s="1"/>
  <c r="AB211" i="17"/>
  <c r="U305" i="17"/>
  <c r="Y305" i="17" s="1"/>
  <c r="U317" i="17"/>
  <c r="Y317" i="17" s="1"/>
  <c r="U137" i="17"/>
  <c r="Y137" i="17" s="1"/>
  <c r="AB525" i="17"/>
  <c r="V415" i="17"/>
  <c r="W415" i="17" s="1"/>
  <c r="AC602" i="17"/>
  <c r="V490" i="17"/>
  <c r="W490" i="17" s="1"/>
  <c r="V137" i="17"/>
  <c r="W137" i="17" s="1"/>
  <c r="V121" i="17"/>
  <c r="W121" i="17" s="1"/>
  <c r="V23" i="17"/>
  <c r="W23" i="17" s="1"/>
  <c r="U439" i="17"/>
  <c r="Y439" i="17" s="1"/>
  <c r="U546" i="17"/>
  <c r="Y546" i="17" s="1"/>
  <c r="U150" i="17"/>
  <c r="Y150" i="17" s="1"/>
  <c r="U590" i="17"/>
  <c r="Y590" i="17" s="1"/>
  <c r="U376" i="17"/>
  <c r="Y376" i="17" s="1"/>
  <c r="U504" i="17"/>
  <c r="Y504" i="17" s="1"/>
  <c r="U123" i="17"/>
  <c r="Y123" i="17" s="1"/>
  <c r="U308" i="17"/>
  <c r="Y308" i="17" s="1"/>
  <c r="V440" i="17"/>
  <c r="W440" i="17" s="1"/>
  <c r="V452" i="17"/>
  <c r="W452" i="17" s="1"/>
  <c r="V46" i="17"/>
  <c r="W46" i="17" s="1"/>
  <c r="V555" i="17"/>
  <c r="W555" i="17" s="1"/>
  <c r="V588" i="17"/>
  <c r="W588" i="17" s="1"/>
  <c r="V280" i="17"/>
  <c r="W280" i="17" s="1"/>
  <c r="V304" i="17"/>
  <c r="W304" i="17" s="1"/>
  <c r="V483" i="17"/>
  <c r="W483" i="17" s="1"/>
  <c r="V387" i="17"/>
  <c r="W387" i="17" s="1"/>
  <c r="V227" i="17"/>
  <c r="W227" i="17" s="1"/>
  <c r="V106" i="17"/>
  <c r="W106" i="17" s="1"/>
  <c r="V446" i="17"/>
  <c r="W446" i="17" s="1"/>
  <c r="V254" i="17"/>
  <c r="W254" i="17" s="1"/>
  <c r="V513" i="17"/>
  <c r="W513" i="17" s="1"/>
  <c r="V385" i="17"/>
  <c r="W385" i="17" s="1"/>
  <c r="V20" i="17"/>
  <c r="W20" i="17" s="1"/>
  <c r="U103" i="17"/>
  <c r="Y103" i="17" s="1"/>
  <c r="AB534" i="17"/>
  <c r="U229" i="17"/>
  <c r="Y229" i="17" s="1"/>
  <c r="U496" i="17"/>
  <c r="Y496" i="17" s="1"/>
  <c r="AB119" i="17"/>
  <c r="AB550" i="17"/>
  <c r="U167" i="17"/>
  <c r="Y167" i="17" s="1"/>
  <c r="AB538" i="17"/>
  <c r="U455" i="17"/>
  <c r="Y455" i="17" s="1"/>
  <c r="AB372" i="17"/>
  <c r="U381" i="17"/>
  <c r="Y381" i="17" s="1"/>
  <c r="AC328" i="17"/>
  <c r="V585" i="17"/>
  <c r="W585" i="17" s="1"/>
  <c r="AC477" i="17"/>
  <c r="V221" i="17"/>
  <c r="W221" i="17" s="1"/>
  <c r="V422" i="17"/>
  <c r="W422" i="17" s="1"/>
  <c r="V361" i="17"/>
  <c r="W361" i="17" s="1"/>
  <c r="V101" i="17"/>
  <c r="W101" i="17" s="1"/>
  <c r="V83" i="17"/>
  <c r="W83" i="17" s="1"/>
  <c r="V19" i="17"/>
  <c r="W19" i="17" s="1"/>
  <c r="V383" i="17"/>
  <c r="W383" i="17" s="1"/>
  <c r="V367" i="17"/>
  <c r="W367" i="17" s="1"/>
  <c r="AC426" i="17"/>
  <c r="V429" i="17"/>
  <c r="W429" i="17" s="1"/>
  <c r="U311" i="17"/>
  <c r="Y311" i="17" s="1"/>
  <c r="V360" i="17"/>
  <c r="W360" i="17" s="1"/>
  <c r="V519" i="17"/>
  <c r="W519" i="17" s="1"/>
  <c r="V307" i="17"/>
  <c r="W307" i="17" s="1"/>
  <c r="V542" i="17"/>
  <c r="W542" i="17" s="1"/>
  <c r="V238" i="17"/>
  <c r="W238" i="17" s="1"/>
  <c r="V305" i="17"/>
  <c r="W305" i="17" s="1"/>
  <c r="V225" i="17"/>
  <c r="W225" i="17" s="1"/>
  <c r="V61" i="17"/>
  <c r="W61" i="17" s="1"/>
  <c r="V75" i="17"/>
  <c r="W75" i="17" s="1"/>
  <c r="AC321" i="17"/>
  <c r="U148" i="17"/>
  <c r="Y148" i="17" s="1"/>
  <c r="U279" i="17"/>
  <c r="Y279" i="17" s="1"/>
  <c r="U46" i="17"/>
  <c r="Y46" i="17" s="1"/>
  <c r="AB31" i="17"/>
  <c r="U309" i="17"/>
  <c r="Y309" i="17" s="1"/>
  <c r="U245" i="17"/>
  <c r="Y245" i="17" s="1"/>
  <c r="U384" i="17"/>
  <c r="Y384" i="17" s="1"/>
  <c r="U431" i="17"/>
  <c r="Y431" i="17" s="1"/>
  <c r="U510" i="17"/>
  <c r="Y510" i="17" s="1"/>
  <c r="U382" i="17"/>
  <c r="Y382" i="17" s="1"/>
  <c r="U498" i="17"/>
  <c r="Y498" i="17" s="1"/>
  <c r="U106" i="17"/>
  <c r="Y106" i="17" s="1"/>
  <c r="U397" i="17"/>
  <c r="Y397" i="17" s="1"/>
  <c r="U598" i="17"/>
  <c r="Y598" i="17" s="1"/>
  <c r="U253" i="17"/>
  <c r="Y253" i="17" s="1"/>
  <c r="U143" i="17"/>
  <c r="Y143" i="17" s="1"/>
  <c r="U473" i="17"/>
  <c r="Y473" i="17" s="1"/>
  <c r="U189" i="17"/>
  <c r="Y189" i="17" s="1"/>
  <c r="U43" i="17"/>
  <c r="Y43" i="17" s="1"/>
  <c r="U64" i="17"/>
  <c r="Y64" i="17" s="1"/>
  <c r="U199" i="17"/>
  <c r="Y199" i="17" s="1"/>
  <c r="U232" i="17"/>
  <c r="Y232" i="17" s="1"/>
  <c r="I625" i="17"/>
  <c r="L625" i="17"/>
  <c r="F625" i="17"/>
  <c r="M625" i="17"/>
  <c r="U185" i="17"/>
  <c r="Y185" i="17" s="1"/>
  <c r="U479" i="17"/>
  <c r="Y479" i="17" s="1"/>
  <c r="V344" i="17"/>
  <c r="W344" i="17" s="1"/>
  <c r="V175" i="17"/>
  <c r="W175" i="17" s="1"/>
  <c r="V449" i="17"/>
  <c r="W449" i="17" s="1"/>
  <c r="V321" i="17"/>
  <c r="W321" i="17" s="1"/>
  <c r="V139" i="17"/>
  <c r="W139" i="17" s="1"/>
  <c r="V91" i="17"/>
  <c r="W91" i="17" s="1"/>
  <c r="J625" i="17"/>
  <c r="AC394" i="17"/>
  <c r="V202" i="17"/>
  <c r="W202" i="17" s="1"/>
  <c r="V461" i="17"/>
  <c r="W461" i="17" s="1"/>
  <c r="R625" i="17"/>
  <c r="AB484" i="17"/>
  <c r="U83" i="17"/>
  <c r="Y83" i="17" s="1"/>
  <c r="AC572" i="17"/>
  <c r="V62" i="17"/>
  <c r="W62" i="17" s="1"/>
  <c r="V351" i="17"/>
  <c r="W351" i="17" s="1"/>
  <c r="S625" i="17"/>
  <c r="U26" i="17"/>
  <c r="Y26" i="17" s="1"/>
  <c r="AB25" i="17"/>
  <c r="AB405" i="17"/>
  <c r="AB44" i="17"/>
  <c r="U324" i="17"/>
  <c r="Y324" i="17" s="1"/>
  <c r="U37" i="17"/>
  <c r="Y37" i="17" s="1"/>
  <c r="AB65" i="17"/>
  <c r="U111" i="17"/>
  <c r="Y111" i="17" s="1"/>
  <c r="V508" i="17"/>
  <c r="W508" i="17" s="1"/>
  <c r="V504" i="17"/>
  <c r="W504" i="17" s="1"/>
  <c r="V248" i="17"/>
  <c r="W248" i="17" s="1"/>
  <c r="V491" i="17"/>
  <c r="W491" i="17" s="1"/>
  <c r="V299" i="17"/>
  <c r="W299" i="17" s="1"/>
  <c r="V550" i="17"/>
  <c r="W550" i="17" s="1"/>
  <c r="V278" i="17"/>
  <c r="W278" i="17" s="1"/>
  <c r="V489" i="17"/>
  <c r="W489" i="17" s="1"/>
  <c r="V217" i="17"/>
  <c r="W217" i="17" s="1"/>
  <c r="V156" i="17"/>
  <c r="W156" i="17" s="1"/>
  <c r="O625" i="17"/>
  <c r="E625" i="17"/>
  <c r="D625" i="17"/>
  <c r="U395" i="17"/>
  <c r="Y395" i="17" s="1"/>
  <c r="AB347" i="17"/>
  <c r="U409" i="17"/>
  <c r="Y409" i="17" s="1"/>
  <c r="U388" i="17"/>
  <c r="Y388" i="17" s="1"/>
  <c r="U22" i="17"/>
  <c r="Y22" i="17" s="1"/>
  <c r="K625" i="17"/>
  <c r="N625" i="17"/>
  <c r="T625" i="17"/>
  <c r="C625" i="17"/>
  <c r="U191" i="17"/>
  <c r="Y191" i="17" s="1"/>
  <c r="U413" i="17"/>
  <c r="Y413" i="17" s="1"/>
  <c r="U367" i="17"/>
  <c r="Y367" i="17" s="1"/>
  <c r="U122" i="17"/>
  <c r="Y122" i="17" s="1"/>
  <c r="U280" i="17"/>
  <c r="U539" i="17"/>
  <c r="Y539" i="17" s="1"/>
  <c r="AB23" i="17"/>
  <c r="U54" i="17"/>
  <c r="Y54" i="17" s="1"/>
  <c r="U29" i="17"/>
  <c r="Y29" i="17" s="1"/>
  <c r="U84" i="17"/>
  <c r="Y84" i="17" s="1"/>
  <c r="U218" i="17"/>
  <c r="Y218" i="17" s="1"/>
  <c r="U468" i="17"/>
  <c r="Y468" i="17" s="1"/>
  <c r="V188" i="17"/>
  <c r="W188" i="17" s="1"/>
  <c r="V130" i="17"/>
  <c r="W130" i="17" s="1"/>
  <c r="V154" i="17"/>
  <c r="W154" i="17" s="1"/>
  <c r="V601" i="17"/>
  <c r="W601" i="17" s="1"/>
  <c r="V564" i="17"/>
  <c r="W564" i="17" s="1"/>
  <c r="V308" i="17"/>
  <c r="W308" i="17" s="1"/>
  <c r="V512" i="17"/>
  <c r="W512" i="17" s="1"/>
  <c r="V256" i="17"/>
  <c r="W256" i="17" s="1"/>
  <c r="V30" i="17"/>
  <c r="W30" i="17" s="1"/>
  <c r="V503" i="17"/>
  <c r="W503" i="17" s="1"/>
  <c r="V471" i="17"/>
  <c r="W471" i="17" s="1"/>
  <c r="V423" i="17"/>
  <c r="W423" i="17" s="1"/>
  <c r="V407" i="17"/>
  <c r="W407" i="17" s="1"/>
  <c r="V375" i="17"/>
  <c r="W375" i="17" s="1"/>
  <c r="V279" i="17"/>
  <c r="W279" i="17" s="1"/>
  <c r="V263" i="17"/>
  <c r="W263" i="17" s="1"/>
  <c r="V247" i="17"/>
  <c r="W247" i="17" s="1"/>
  <c r="V151" i="17"/>
  <c r="W151" i="17" s="1"/>
  <c r="AC58" i="17"/>
  <c r="V466" i="17"/>
  <c r="W466" i="17" s="1"/>
  <c r="V306" i="17"/>
  <c r="W306" i="17" s="1"/>
  <c r="V274" i="17"/>
  <c r="W274" i="17" s="1"/>
  <c r="AC174" i="17"/>
  <c r="V142" i="17"/>
  <c r="W142" i="17" s="1"/>
  <c r="V517" i="17"/>
  <c r="W517" i="17" s="1"/>
  <c r="V501" i="17"/>
  <c r="W501" i="17" s="1"/>
  <c r="V373" i="17"/>
  <c r="W373" i="17" s="1"/>
  <c r="V147" i="17"/>
  <c r="W147" i="17" s="1"/>
  <c r="V129" i="17"/>
  <c r="W129" i="17" s="1"/>
  <c r="V81" i="17"/>
  <c r="W81" i="17" s="1"/>
  <c r="U565" i="17"/>
  <c r="Y565" i="17" s="1"/>
  <c r="U532" i="17"/>
  <c r="Y532" i="17" s="1"/>
  <c r="AB76" i="17"/>
  <c r="V312" i="17"/>
  <c r="W312" i="17" s="1"/>
  <c r="V102" i="17"/>
  <c r="W102" i="17" s="1"/>
  <c r="V487" i="17"/>
  <c r="W487" i="17" s="1"/>
  <c r="U547" i="17"/>
  <c r="Y547" i="17" s="1"/>
  <c r="U82" i="17"/>
  <c r="Y82" i="17" s="1"/>
  <c r="U349" i="17"/>
  <c r="Y349" i="17" s="1"/>
  <c r="U135" i="17"/>
  <c r="Y135" i="17" s="1"/>
  <c r="AB222" i="17"/>
  <c r="V228" i="17"/>
  <c r="W228" i="17" s="1"/>
  <c r="V350" i="17"/>
  <c r="W350" i="17" s="1"/>
  <c r="V109" i="17"/>
  <c r="W109" i="17" s="1"/>
  <c r="AB88" i="17"/>
  <c r="AC480" i="17"/>
  <c r="AC253" i="17"/>
  <c r="V189" i="17"/>
  <c r="W189" i="17" s="1"/>
  <c r="V73" i="17"/>
  <c r="W73" i="17" s="1"/>
  <c r="U404" i="17"/>
  <c r="Y404" i="17" s="1"/>
  <c r="AB365" i="17"/>
  <c r="U95" i="17"/>
  <c r="Y95" i="17" s="1"/>
  <c r="U574" i="17"/>
  <c r="Y574" i="17" s="1"/>
  <c r="U331" i="17"/>
  <c r="Y331" i="17" s="1"/>
  <c r="U201" i="17"/>
  <c r="Y201" i="17" s="1"/>
  <c r="U585" i="17"/>
  <c r="Y585" i="17" s="1"/>
  <c r="U571" i="17"/>
  <c r="Y571" i="17" s="1"/>
  <c r="U607" i="17"/>
  <c r="Y607" i="17" s="1"/>
  <c r="V289" i="17"/>
  <c r="W289" i="17" s="1"/>
  <c r="U516" i="17"/>
  <c r="Y516" i="17" s="1"/>
  <c r="V562" i="17"/>
  <c r="W562" i="17" s="1"/>
  <c r="V408" i="17"/>
  <c r="W408" i="17" s="1"/>
  <c r="V216" i="17"/>
  <c r="W216" i="17" s="1"/>
  <c r="U353" i="17"/>
  <c r="Y353" i="17" s="1"/>
  <c r="U626" i="17"/>
  <c r="D636" i="17" s="1"/>
  <c r="V623" i="17"/>
  <c r="W623" i="17" s="1"/>
  <c r="V626" i="17"/>
  <c r="W626" i="17" s="1"/>
  <c r="V184" i="17"/>
  <c r="W184" i="17" s="1"/>
  <c r="U603" i="17"/>
  <c r="Y603" i="17" s="1"/>
  <c r="U250" i="17"/>
  <c r="Y250" i="17" s="1"/>
  <c r="U570" i="17"/>
  <c r="Y570" i="17" s="1"/>
  <c r="U522" i="17"/>
  <c r="Y522" i="17" s="1"/>
  <c r="U15" i="17"/>
  <c r="Y15" i="17" s="1"/>
  <c r="U436" i="17"/>
  <c r="Y436" i="17" s="1"/>
  <c r="U519" i="17"/>
  <c r="Y519" i="17" s="1"/>
  <c r="U553" i="17"/>
  <c r="Y553" i="17" s="1"/>
  <c r="U366" i="17"/>
  <c r="Y366" i="17" s="1"/>
  <c r="V439" i="17"/>
  <c r="W439" i="17" s="1"/>
  <c r="V327" i="17"/>
  <c r="W327" i="17" s="1"/>
  <c r="V231" i="17"/>
  <c r="W231" i="17" s="1"/>
  <c r="V242" i="17"/>
  <c r="W242" i="17" s="1"/>
  <c r="U104" i="17"/>
  <c r="Y104" i="17" s="1"/>
  <c r="U268" i="17"/>
  <c r="Y268" i="17" s="1"/>
  <c r="AB19" i="17"/>
  <c r="U223" i="17"/>
  <c r="Y223" i="17" s="1"/>
  <c r="U581" i="17"/>
  <c r="Y581" i="17" s="1"/>
  <c r="U27" i="17"/>
  <c r="Y27" i="17" s="1"/>
  <c r="U558" i="17"/>
  <c r="Y558" i="17" s="1"/>
  <c r="U393" i="17"/>
  <c r="Y393" i="17" s="1"/>
  <c r="AB52" i="17"/>
  <c r="U363" i="17"/>
  <c r="Y363" i="17" s="1"/>
  <c r="U555" i="17"/>
  <c r="Y555" i="17" s="1"/>
  <c r="V204" i="17"/>
  <c r="W204" i="17" s="1"/>
  <c r="V232" i="17"/>
  <c r="W232" i="17" s="1"/>
  <c r="U51" i="17"/>
  <c r="Y51" i="17" s="1"/>
  <c r="V414" i="17"/>
  <c r="W414" i="17" s="1"/>
  <c r="V34" i="17"/>
  <c r="W34" i="17" s="1"/>
  <c r="U628" i="17"/>
  <c r="F624" i="17"/>
  <c r="Q624" i="17"/>
  <c r="P624" i="17"/>
  <c r="O624" i="17"/>
  <c r="R624" i="17"/>
  <c r="U623" i="17"/>
  <c r="D633" i="17" s="1"/>
  <c r="V628" i="17"/>
  <c r="W628" i="17" s="1"/>
  <c r="U622" i="17"/>
  <c r="D632" i="17" s="1"/>
  <c r="V622" i="17"/>
  <c r="W622" i="17" s="1"/>
  <c r="U627" i="17"/>
  <c r="V627" i="17"/>
  <c r="W627" i="17" s="1"/>
  <c r="U265" i="17"/>
  <c r="Y265" i="17" s="1"/>
  <c r="AB542" i="17"/>
  <c r="U105" i="17"/>
  <c r="Y105" i="17" s="1"/>
  <c r="U453" i="17"/>
  <c r="Y453" i="17" s="1"/>
  <c r="U568" i="17"/>
  <c r="Y568" i="17" s="1"/>
  <c r="U204" i="17"/>
  <c r="Y204" i="17" s="1"/>
  <c r="U146" i="17"/>
  <c r="Y146" i="17" s="1"/>
  <c r="AB139" i="17"/>
  <c r="U49" i="17"/>
  <c r="Y49" i="17" s="1"/>
  <c r="AB129" i="17"/>
  <c r="U595" i="17"/>
  <c r="Y595" i="17" s="1"/>
  <c r="U589" i="17"/>
  <c r="Y589" i="17" s="1"/>
  <c r="U412" i="17"/>
  <c r="Y412" i="17" s="1"/>
  <c r="U130" i="17"/>
  <c r="U60" i="17"/>
  <c r="Y60" i="17" s="1"/>
  <c r="U20" i="17"/>
  <c r="Y20" i="17" s="1"/>
  <c r="U437" i="17"/>
  <c r="Y437" i="17" s="1"/>
  <c r="U300" i="17"/>
  <c r="Y300" i="17" s="1"/>
  <c r="U45" i="17"/>
  <c r="Y45" i="17" s="1"/>
  <c r="V268" i="17"/>
  <c r="W268" i="17" s="1"/>
  <c r="V604" i="17"/>
  <c r="W604" i="17" s="1"/>
  <c r="V260" i="17"/>
  <c r="W260" i="17" s="1"/>
  <c r="V94" i="17"/>
  <c r="W94" i="17" s="1"/>
  <c r="V539" i="17"/>
  <c r="W539" i="17" s="1"/>
  <c r="V475" i="17"/>
  <c r="W475" i="17" s="1"/>
  <c r="V411" i="17"/>
  <c r="W411" i="17" s="1"/>
  <c r="V347" i="17"/>
  <c r="W347" i="17" s="1"/>
  <c r="V283" i="17"/>
  <c r="W283" i="17" s="1"/>
  <c r="V219" i="17"/>
  <c r="W219" i="17" s="1"/>
  <c r="V127" i="17"/>
  <c r="W127" i="17" s="1"/>
  <c r="V14" i="17"/>
  <c r="W14" i="17" s="1"/>
  <c r="V502" i="17"/>
  <c r="W502" i="17" s="1"/>
  <c r="V454" i="17"/>
  <c r="W454" i="17" s="1"/>
  <c r="V310" i="17"/>
  <c r="W310" i="17" s="1"/>
  <c r="V198" i="17"/>
  <c r="W198" i="17" s="1"/>
  <c r="V473" i="17"/>
  <c r="W473" i="17" s="1"/>
  <c r="V409" i="17"/>
  <c r="W409" i="17" s="1"/>
  <c r="V345" i="17"/>
  <c r="W345" i="17" s="1"/>
  <c r="V249" i="17"/>
  <c r="W249" i="17" s="1"/>
  <c r="V155" i="17"/>
  <c r="W155" i="17" s="1"/>
  <c r="V149" i="17"/>
  <c r="W149" i="17" s="1"/>
  <c r="V140" i="17"/>
  <c r="W140" i="17" s="1"/>
  <c r="V76" i="17"/>
  <c r="W76" i="17" s="1"/>
  <c r="V28" i="17"/>
  <c r="W28" i="17" s="1"/>
  <c r="V67" i="17"/>
  <c r="W67" i="17" s="1"/>
  <c r="U274" i="17"/>
  <c r="Y274" i="17" s="1"/>
  <c r="V596" i="17"/>
  <c r="W596" i="17" s="1"/>
  <c r="V192" i="17"/>
  <c r="W192" i="17" s="1"/>
  <c r="AC311" i="17"/>
  <c r="V183" i="17"/>
  <c r="W183" i="17" s="1"/>
  <c r="V498" i="17"/>
  <c r="W498" i="17" s="1"/>
  <c r="AC402" i="17"/>
  <c r="V226" i="17"/>
  <c r="W226" i="17" s="1"/>
  <c r="V210" i="17"/>
  <c r="W210" i="17" s="1"/>
  <c r="AC38" i="17"/>
  <c r="V405" i="17"/>
  <c r="W405" i="17" s="1"/>
  <c r="V357" i="17"/>
  <c r="W357" i="17" s="1"/>
  <c r="AC293" i="17"/>
  <c r="AC277" i="17"/>
  <c r="V261" i="17"/>
  <c r="W261" i="17" s="1"/>
  <c r="AC161" i="17"/>
  <c r="V145" i="17"/>
  <c r="W145" i="17" s="1"/>
  <c r="V49" i="17"/>
  <c r="W49" i="17" s="1"/>
  <c r="V33" i="17"/>
  <c r="W33" i="17" s="1"/>
  <c r="V168" i="17"/>
  <c r="W168" i="17" s="1"/>
  <c r="V104" i="17"/>
  <c r="W104" i="17" s="1"/>
  <c r="V95" i="17"/>
  <c r="W95" i="17" s="1"/>
  <c r="V31" i="17"/>
  <c r="W31" i="17" s="1"/>
  <c r="U132" i="17"/>
  <c r="Y132" i="17" s="1"/>
  <c r="U267" i="17"/>
  <c r="Y267" i="17" s="1"/>
  <c r="U551" i="17"/>
  <c r="Y551" i="17" s="1"/>
  <c r="AB377" i="17"/>
  <c r="U314" i="17"/>
  <c r="Y314" i="17" s="1"/>
  <c r="V500" i="17"/>
  <c r="W500" i="17" s="1"/>
  <c r="V436" i="17"/>
  <c r="W436" i="17" s="1"/>
  <c r="AC608" i="17"/>
  <c r="V448" i="17"/>
  <c r="W448" i="17" s="1"/>
  <c r="V434" i="17"/>
  <c r="W434" i="17" s="1"/>
  <c r="AC386" i="17"/>
  <c r="U271" i="17"/>
  <c r="Y271" i="17" s="1"/>
  <c r="AB456" i="17"/>
  <c r="U462" i="17"/>
  <c r="Y462" i="17" s="1"/>
  <c r="U294" i="17"/>
  <c r="Y294" i="17" s="1"/>
  <c r="U319" i="17"/>
  <c r="Y319" i="17" s="1"/>
  <c r="U582" i="17"/>
  <c r="Y582" i="17" s="1"/>
  <c r="U450" i="17"/>
  <c r="Y450" i="17" s="1"/>
  <c r="U174" i="17"/>
  <c r="Y174" i="17" s="1"/>
  <c r="U481" i="17"/>
  <c r="Y481" i="17" s="1"/>
  <c r="U512" i="17"/>
  <c r="Y512" i="17" s="1"/>
  <c r="U168" i="17"/>
  <c r="Y168" i="17" s="1"/>
  <c r="AB445" i="17"/>
  <c r="AB127" i="17"/>
  <c r="U588" i="17"/>
  <c r="Y588" i="17" s="1"/>
  <c r="U292" i="17"/>
  <c r="Y292" i="17" s="1"/>
  <c r="U491" i="17"/>
  <c r="Y491" i="17" s="1"/>
  <c r="U375" i="17"/>
  <c r="Y375" i="17" s="1"/>
  <c r="U115" i="17"/>
  <c r="Y115" i="17" s="1"/>
  <c r="U527" i="17"/>
  <c r="Y527" i="17" s="1"/>
  <c r="AB544" i="17"/>
  <c r="U176" i="17"/>
  <c r="Y176" i="17" s="1"/>
  <c r="U495" i="17"/>
  <c r="Y495" i="17" s="1"/>
  <c r="AB55" i="17"/>
  <c r="U61" i="17"/>
  <c r="Y61" i="17" s="1"/>
  <c r="AB597" i="17"/>
  <c r="U584" i="17"/>
  <c r="U258" i="17"/>
  <c r="Y258" i="17" s="1"/>
  <c r="U85" i="17"/>
  <c r="Y85" i="17" s="1"/>
  <c r="AB428" i="17"/>
  <c r="U383" i="17"/>
  <c r="Y383" i="17" s="1"/>
  <c r="U320" i="17"/>
  <c r="Y320" i="17" s="1"/>
  <c r="AB297" i="17"/>
  <c r="V396" i="17"/>
  <c r="W396" i="17" s="1"/>
  <c r="V536" i="17"/>
  <c r="W536" i="17" s="1"/>
  <c r="V122" i="17"/>
  <c r="W122" i="17" s="1"/>
  <c r="V593" i="17"/>
  <c r="W593" i="17" s="1"/>
  <c r="V548" i="17"/>
  <c r="W548" i="17" s="1"/>
  <c r="V432" i="17"/>
  <c r="W432" i="17" s="1"/>
  <c r="V170" i="17"/>
  <c r="W170" i="17" s="1"/>
  <c r="V611" i="17"/>
  <c r="W611" i="17" s="1"/>
  <c r="V563" i="17"/>
  <c r="W563" i="17" s="1"/>
  <c r="V531" i="17"/>
  <c r="W531" i="17" s="1"/>
  <c r="V467" i="17"/>
  <c r="W467" i="17" s="1"/>
  <c r="V451" i="17"/>
  <c r="W451" i="17" s="1"/>
  <c r="V435" i="17"/>
  <c r="W435" i="17" s="1"/>
  <c r="V275" i="17"/>
  <c r="W275" i="17" s="1"/>
  <c r="V243" i="17"/>
  <c r="W243" i="17" s="1"/>
  <c r="V590" i="17"/>
  <c r="W590" i="17" s="1"/>
  <c r="V526" i="17"/>
  <c r="W526" i="17" s="1"/>
  <c r="V510" i="17"/>
  <c r="W510" i="17" s="1"/>
  <c r="V478" i="17"/>
  <c r="W478" i="17" s="1"/>
  <c r="V430" i="17"/>
  <c r="W430" i="17" s="1"/>
  <c r="V366" i="17"/>
  <c r="W366" i="17" s="1"/>
  <c r="V270" i="17"/>
  <c r="W270" i="17" s="1"/>
  <c r="V222" i="17"/>
  <c r="W222" i="17" s="1"/>
  <c r="V22" i="17"/>
  <c r="W22" i="17" s="1"/>
  <c r="V465" i="17"/>
  <c r="W465" i="17" s="1"/>
  <c r="V401" i="17"/>
  <c r="W401" i="17" s="1"/>
  <c r="V337" i="17"/>
  <c r="W337" i="17" s="1"/>
  <c r="V273" i="17"/>
  <c r="W273" i="17" s="1"/>
  <c r="V173" i="17"/>
  <c r="W173" i="17" s="1"/>
  <c r="V77" i="17"/>
  <c r="W77" i="17" s="1"/>
  <c r="V29" i="17"/>
  <c r="W29" i="17" s="1"/>
  <c r="V180" i="17"/>
  <c r="W180" i="17" s="1"/>
  <c r="V132" i="17"/>
  <c r="W132" i="17" s="1"/>
  <c r="V116" i="17"/>
  <c r="W116" i="17" s="1"/>
  <c r="V68" i="17"/>
  <c r="W68" i="17" s="1"/>
  <c r="V59" i="17"/>
  <c r="W59" i="17" s="1"/>
  <c r="V302" i="17"/>
  <c r="W302" i="17" s="1"/>
  <c r="V125" i="17"/>
  <c r="W125" i="17" s="1"/>
  <c r="V482" i="17"/>
  <c r="W482" i="17" s="1"/>
  <c r="V418" i="17"/>
  <c r="W418" i="17" s="1"/>
  <c r="V258" i="17"/>
  <c r="W258" i="17" s="1"/>
  <c r="V309" i="17"/>
  <c r="W309" i="17" s="1"/>
  <c r="V177" i="17"/>
  <c r="W177" i="17" s="1"/>
  <c r="V65" i="17"/>
  <c r="W65" i="17" s="1"/>
  <c r="V152" i="17"/>
  <c r="W152" i="17" s="1"/>
  <c r="V111" i="17"/>
  <c r="W111" i="17" s="1"/>
  <c r="U248" i="17"/>
  <c r="Y248" i="17" s="1"/>
  <c r="U591" i="17"/>
  <c r="Y591" i="17" s="1"/>
  <c r="U307" i="17"/>
  <c r="Y307" i="17" s="1"/>
  <c r="U228" i="17"/>
  <c r="Y228" i="17" s="1"/>
  <c r="AB602" i="17"/>
  <c r="U96" i="17"/>
  <c r="Y96" i="17" s="1"/>
  <c r="U92" i="17"/>
  <c r="Y92" i="17" s="1"/>
  <c r="U90" i="17"/>
  <c r="Y90" i="17" s="1"/>
  <c r="V252" i="17"/>
  <c r="W252" i="17" s="1"/>
  <c r="V524" i="17"/>
  <c r="W524" i="17" s="1"/>
  <c r="V577" i="17"/>
  <c r="W577" i="17" s="1"/>
  <c r="V208" i="17"/>
  <c r="W208" i="17" s="1"/>
  <c r="V459" i="17"/>
  <c r="W459" i="17" s="1"/>
  <c r="V395" i="17"/>
  <c r="W395" i="17" s="1"/>
  <c r="V331" i="17"/>
  <c r="W331" i="17" s="1"/>
  <c r="V267" i="17"/>
  <c r="W267" i="17" s="1"/>
  <c r="V203" i="17"/>
  <c r="W203" i="17" s="1"/>
  <c r="V518" i="17"/>
  <c r="W518" i="17" s="1"/>
  <c r="V470" i="17"/>
  <c r="W470" i="17" s="1"/>
  <c r="V230" i="17"/>
  <c r="W230" i="17" s="1"/>
  <c r="V150" i="17"/>
  <c r="W150" i="17" s="1"/>
  <c r="V118" i="17"/>
  <c r="W118" i="17" s="1"/>
  <c r="V54" i="17"/>
  <c r="W54" i="17" s="1"/>
  <c r="V569" i="17"/>
  <c r="W569" i="17" s="1"/>
  <c r="V553" i="17"/>
  <c r="W553" i="17" s="1"/>
  <c r="V281" i="17"/>
  <c r="W281" i="17" s="1"/>
  <c r="V201" i="17"/>
  <c r="W201" i="17" s="1"/>
  <c r="V181" i="17"/>
  <c r="W181" i="17" s="1"/>
  <c r="V37" i="17"/>
  <c r="W37" i="17" s="1"/>
  <c r="V124" i="17"/>
  <c r="W124" i="17" s="1"/>
  <c r="V108" i="17"/>
  <c r="W108" i="17" s="1"/>
  <c r="V60" i="17"/>
  <c r="W60" i="17" s="1"/>
  <c r="V51" i="17"/>
  <c r="W51" i="17" s="1"/>
  <c r="V79" i="17"/>
  <c r="W79" i="17" s="1"/>
  <c r="V15" i="17"/>
  <c r="W15" i="17" s="1"/>
  <c r="U242" i="17"/>
  <c r="Y242" i="17" s="1"/>
  <c r="U508" i="17"/>
  <c r="Y508" i="17" s="1"/>
  <c r="U359" i="17"/>
  <c r="Y359" i="17" s="1"/>
  <c r="U342" i="17"/>
  <c r="Y342" i="17" s="1"/>
  <c r="U235" i="17"/>
  <c r="Y235" i="17" s="1"/>
  <c r="U396" i="17"/>
  <c r="U116" i="17"/>
  <c r="Y116" i="17" s="1"/>
  <c r="U226" i="17"/>
  <c r="Y226" i="17" s="1"/>
  <c r="AB193" i="17"/>
  <c r="U18" i="17"/>
  <c r="Y18" i="17" s="1"/>
  <c r="U526" i="17"/>
  <c r="Y526" i="17" s="1"/>
  <c r="U217" i="17"/>
  <c r="Y217" i="17" s="1"/>
  <c r="U554" i="17"/>
  <c r="Y554" i="17" s="1"/>
  <c r="U114" i="17"/>
  <c r="Y114" i="17" s="1"/>
  <c r="AB219" i="17"/>
  <c r="V581" i="17"/>
  <c r="W581" i="17" s="1"/>
  <c r="V456" i="17"/>
  <c r="W456" i="17" s="1"/>
  <c r="AC212" i="17"/>
  <c r="V138" i="17"/>
  <c r="W138" i="17" s="1"/>
  <c r="V335" i="17"/>
  <c r="W335" i="17" s="1"/>
  <c r="V319" i="17"/>
  <c r="W319" i="17" s="1"/>
  <c r="V303" i="17"/>
  <c r="W303" i="17" s="1"/>
  <c r="V239" i="17"/>
  <c r="W239" i="17" s="1"/>
  <c r="V90" i="17"/>
  <c r="W90" i="17" s="1"/>
  <c r="V586" i="17"/>
  <c r="W586" i="17" s="1"/>
  <c r="V474" i="17"/>
  <c r="W474" i="17" s="1"/>
  <c r="V330" i="17"/>
  <c r="W330" i="17" s="1"/>
  <c r="V282" i="17"/>
  <c r="W282" i="17" s="1"/>
  <c r="V126" i="17"/>
  <c r="W126" i="17" s="1"/>
  <c r="V445" i="17"/>
  <c r="W445" i="17" s="1"/>
  <c r="V397" i="17"/>
  <c r="W397" i="17" s="1"/>
  <c r="V317" i="17"/>
  <c r="W317" i="17" s="1"/>
  <c r="V205" i="17"/>
  <c r="W205" i="17" s="1"/>
  <c r="AC82" i="17"/>
  <c r="V153" i="17"/>
  <c r="W153" i="17" s="1"/>
  <c r="V89" i="17"/>
  <c r="W89" i="17" s="1"/>
  <c r="V41" i="17"/>
  <c r="W41" i="17" s="1"/>
  <c r="V176" i="17"/>
  <c r="W176" i="17" s="1"/>
  <c r="V160" i="17"/>
  <c r="W160" i="17" s="1"/>
  <c r="V48" i="17"/>
  <c r="W48" i="17" s="1"/>
  <c r="V87" i="17"/>
  <c r="W87" i="17" s="1"/>
  <c r="V71" i="17"/>
  <c r="W71" i="17" s="1"/>
  <c r="U593" i="17"/>
  <c r="Y593" i="17" s="1"/>
  <c r="U159" i="17"/>
  <c r="Y159" i="17" s="1"/>
  <c r="U183" i="17"/>
  <c r="Y183" i="17" s="1"/>
  <c r="U251" i="17"/>
  <c r="Y251" i="17" s="1"/>
  <c r="U36" i="17"/>
  <c r="Y36" i="17" s="1"/>
  <c r="V455" i="17"/>
  <c r="W455" i="17" s="1"/>
  <c r="V17" i="17"/>
  <c r="W17" i="17" s="1"/>
  <c r="V424" i="17"/>
  <c r="W424" i="17" s="1"/>
  <c r="V296" i="17"/>
  <c r="W296" i="17" s="1"/>
  <c r="V370" i="17"/>
  <c r="W370" i="17" s="1"/>
  <c r="V354" i="17"/>
  <c r="W354" i="17" s="1"/>
  <c r="U172" i="17"/>
  <c r="Y172" i="17" s="1"/>
  <c r="V472" i="17"/>
  <c r="W472" i="17" s="1"/>
  <c r="V259" i="17"/>
  <c r="W259" i="17" s="1"/>
  <c r="V98" i="17"/>
  <c r="W98" i="17" s="1"/>
  <c r="V45" i="17"/>
  <c r="W45" i="17" s="1"/>
  <c r="V148" i="17"/>
  <c r="W148" i="17" s="1"/>
  <c r="V244" i="17"/>
  <c r="W244" i="17" s="1"/>
  <c r="V391" i="17"/>
  <c r="W391" i="17" s="1"/>
  <c r="V199" i="17"/>
  <c r="W199" i="17" s="1"/>
  <c r="U66" i="17"/>
  <c r="Y66" i="17" s="1"/>
  <c r="U541" i="17"/>
  <c r="Y541" i="17" s="1"/>
  <c r="V540" i="17"/>
  <c r="W540" i="17" s="1"/>
  <c r="AC110" i="17"/>
  <c r="V355" i="17"/>
  <c r="W355" i="17" s="1"/>
  <c r="V339" i="17"/>
  <c r="W339" i="17" s="1"/>
  <c r="V323" i="17"/>
  <c r="W323" i="17" s="1"/>
  <c r="V195" i="17"/>
  <c r="W195" i="17" s="1"/>
  <c r="V494" i="17"/>
  <c r="W494" i="17" s="1"/>
  <c r="V286" i="17"/>
  <c r="W286" i="17" s="1"/>
  <c r="V134" i="17"/>
  <c r="W134" i="17" s="1"/>
  <c r="V209" i="17"/>
  <c r="W209" i="17" s="1"/>
  <c r="V193" i="17"/>
  <c r="W193" i="17" s="1"/>
  <c r="V93" i="17"/>
  <c r="W93" i="17" s="1"/>
  <c r="V100" i="17"/>
  <c r="W100" i="17" s="1"/>
  <c r="V36" i="17"/>
  <c r="W36" i="17" s="1"/>
  <c r="V107" i="17"/>
  <c r="W107" i="17" s="1"/>
  <c r="U81" i="17"/>
  <c r="Y81" i="17" s="1"/>
  <c r="U73" i="17"/>
  <c r="Y73" i="17" s="1"/>
  <c r="V613" i="17"/>
  <c r="W613" i="17" s="1"/>
  <c r="V78" i="17"/>
  <c r="W78" i="17" s="1"/>
  <c r="U586" i="17"/>
  <c r="Y586" i="17" s="1"/>
  <c r="U154" i="17"/>
  <c r="Y154" i="17" s="1"/>
  <c r="U573" i="17"/>
  <c r="Y573" i="17" s="1"/>
  <c r="U147" i="17"/>
  <c r="Y147" i="17" s="1"/>
  <c r="U337" i="17"/>
  <c r="Y337" i="17" s="1"/>
  <c r="AB186" i="17"/>
  <c r="U67" i="17"/>
  <c r="Y67" i="17" s="1"/>
  <c r="AB48" i="17"/>
  <c r="U227" i="17"/>
  <c r="Y227" i="17" s="1"/>
  <c r="U545" i="17"/>
  <c r="Y545" i="17" s="1"/>
  <c r="U102" i="17"/>
  <c r="Y102" i="17" s="1"/>
  <c r="AB249" i="17"/>
  <c r="AB339" i="17"/>
  <c r="AB263" i="17"/>
  <c r="V300" i="17"/>
  <c r="W300" i="17" s="1"/>
  <c r="V264" i="17"/>
  <c r="W264" i="17" s="1"/>
  <c r="V200" i="17"/>
  <c r="W200" i="17" s="1"/>
  <c r="V468" i="17"/>
  <c r="W468" i="17" s="1"/>
  <c r="V276" i="17"/>
  <c r="W276" i="17" s="1"/>
  <c r="AC288" i="17"/>
  <c r="V224" i="17"/>
  <c r="W224" i="17" s="1"/>
  <c r="V511" i="17"/>
  <c r="W511" i="17" s="1"/>
  <c r="V495" i="17"/>
  <c r="W495" i="17" s="1"/>
  <c r="AC287" i="17"/>
  <c r="V223" i="17"/>
  <c r="W223" i="17" s="1"/>
  <c r="V26" i="17"/>
  <c r="W26" i="17" s="1"/>
  <c r="V410" i="17"/>
  <c r="W410" i="17" s="1"/>
  <c r="V314" i="17"/>
  <c r="W314" i="17" s="1"/>
  <c r="V298" i="17"/>
  <c r="W298" i="17" s="1"/>
  <c r="V186" i="17"/>
  <c r="W186" i="17" s="1"/>
  <c r="V158" i="17"/>
  <c r="W158" i="17" s="1"/>
  <c r="V557" i="17"/>
  <c r="W557" i="17" s="1"/>
  <c r="V413" i="17"/>
  <c r="W413" i="17" s="1"/>
  <c r="AC333" i="17"/>
  <c r="V237" i="17"/>
  <c r="W237" i="17" s="1"/>
  <c r="V105" i="17"/>
  <c r="W105" i="17" s="1"/>
  <c r="V144" i="17"/>
  <c r="W144" i="17" s="1"/>
  <c r="V64" i="17"/>
  <c r="W64" i="17" s="1"/>
  <c r="V103" i="17"/>
  <c r="W103" i="17" s="1"/>
  <c r="U315" i="17"/>
  <c r="Y315" i="17" s="1"/>
  <c r="U420" i="17"/>
  <c r="Y420" i="17" s="1"/>
  <c r="U387" i="17"/>
  <c r="Y387" i="17" s="1"/>
  <c r="U108" i="17"/>
  <c r="Y108" i="17" s="1"/>
  <c r="AB24" i="17"/>
  <c r="U259" i="17"/>
  <c r="Y259" i="17" s="1"/>
  <c r="V496" i="17"/>
  <c r="W496" i="17" s="1"/>
  <c r="V595" i="17"/>
  <c r="W595" i="17" s="1"/>
  <c r="V499" i="17"/>
  <c r="W499" i="17" s="1"/>
  <c r="U57" i="17"/>
  <c r="Y57" i="17" s="1"/>
  <c r="AB461" i="17"/>
  <c r="U549" i="17"/>
  <c r="Y549" i="17" s="1"/>
  <c r="AB109" i="17"/>
  <c r="AB563" i="17"/>
  <c r="U266" i="17"/>
  <c r="Y266" i="17" s="1"/>
  <c r="U236" i="17"/>
  <c r="Y236" i="17" s="1"/>
  <c r="U341" i="17"/>
  <c r="Y341" i="17" s="1"/>
  <c r="U34" i="17"/>
  <c r="Y34" i="17" s="1"/>
  <c r="U233" i="17"/>
  <c r="Y233" i="17" s="1"/>
  <c r="U100" i="17"/>
  <c r="Y100" i="17" s="1"/>
  <c r="AB243" i="17"/>
  <c r="U91" i="17"/>
  <c r="Y91" i="17" s="1"/>
  <c r="U80" i="17"/>
  <c r="Y80" i="17" s="1"/>
  <c r="U17" i="17"/>
  <c r="Y17" i="17" s="1"/>
  <c r="U30" i="17"/>
  <c r="Y30" i="17" s="1"/>
  <c r="V492" i="17"/>
  <c r="W492" i="17" s="1"/>
  <c r="V236" i="17"/>
  <c r="W236" i="17" s="1"/>
  <c r="V476" i="17"/>
  <c r="W476" i="17" s="1"/>
  <c r="V196" i="17"/>
  <c r="W196" i="17" s="1"/>
  <c r="V272" i="17"/>
  <c r="W272" i="17" s="1"/>
  <c r="V523" i="17"/>
  <c r="W523" i="17" s="1"/>
  <c r="V507" i="17"/>
  <c r="W507" i="17" s="1"/>
  <c r="V443" i="17"/>
  <c r="W443" i="17" s="1"/>
  <c r="V379" i="17"/>
  <c r="W379" i="17" s="1"/>
  <c r="V315" i="17"/>
  <c r="W315" i="17" s="1"/>
  <c r="V251" i="17"/>
  <c r="W251" i="17" s="1"/>
  <c r="V187" i="17"/>
  <c r="W187" i="17" s="1"/>
  <c r="V159" i="17"/>
  <c r="W159" i="17" s="1"/>
  <c r="V74" i="17"/>
  <c r="W74" i="17" s="1"/>
  <c r="V486" i="17"/>
  <c r="W486" i="17" s="1"/>
  <c r="V438" i="17"/>
  <c r="W438" i="17" s="1"/>
  <c r="V262" i="17"/>
  <c r="W262" i="17" s="1"/>
  <c r="V214" i="17"/>
  <c r="W214" i="17" s="1"/>
  <c r="V182" i="17"/>
  <c r="W182" i="17" s="1"/>
  <c r="V457" i="17"/>
  <c r="W457" i="17" s="1"/>
  <c r="V393" i="17"/>
  <c r="W393" i="17" s="1"/>
  <c r="V329" i="17"/>
  <c r="W329" i="17" s="1"/>
  <c r="V313" i="17"/>
  <c r="W313" i="17" s="1"/>
  <c r="V265" i="17"/>
  <c r="W265" i="17" s="1"/>
  <c r="V233" i="17"/>
  <c r="W233" i="17" s="1"/>
  <c r="V185" i="17"/>
  <c r="W185" i="17" s="1"/>
  <c r="V123" i="17"/>
  <c r="W123" i="17" s="1"/>
  <c r="V66" i="17"/>
  <c r="W66" i="17" s="1"/>
  <c r="V165" i="17"/>
  <c r="W165" i="17" s="1"/>
  <c r="V133" i="17"/>
  <c r="W133" i="17" s="1"/>
  <c r="V69" i="17"/>
  <c r="W69" i="17" s="1"/>
  <c r="V21" i="17"/>
  <c r="W21" i="17" s="1"/>
  <c r="V172" i="17"/>
  <c r="W172" i="17" s="1"/>
  <c r="V92" i="17"/>
  <c r="W92" i="17" s="1"/>
  <c r="V44" i="17"/>
  <c r="W44" i="17" s="1"/>
  <c r="V115" i="17"/>
  <c r="W115" i="17" s="1"/>
  <c r="V99" i="17"/>
  <c r="W99" i="17" s="1"/>
  <c r="V35" i="17"/>
  <c r="W35" i="17" s="1"/>
  <c r="U164" i="17"/>
  <c r="Y164" i="17" s="1"/>
  <c r="U444" i="17"/>
  <c r="Y444" i="17" s="1"/>
  <c r="AB313" i="17"/>
  <c r="U33" i="17"/>
  <c r="Y33" i="17" s="1"/>
  <c r="AC13" i="17"/>
  <c r="U97" i="17"/>
  <c r="Y97" i="17" s="1"/>
  <c r="U155" i="17"/>
  <c r="Y155" i="17" s="1"/>
  <c r="U559" i="17"/>
  <c r="Y559" i="17" s="1"/>
  <c r="AB335" i="17"/>
  <c r="U246" i="17"/>
  <c r="Y246" i="17" s="1"/>
  <c r="U125" i="17"/>
  <c r="Y125" i="17" s="1"/>
  <c r="U560" i="17"/>
  <c r="Y560" i="17" s="1"/>
  <c r="U283" i="17"/>
  <c r="Y283" i="17" s="1"/>
  <c r="V488" i="17"/>
  <c r="W488" i="17" s="1"/>
  <c r="V178" i="17"/>
  <c r="W178" i="17" s="1"/>
  <c r="V295" i="17"/>
  <c r="W295" i="17" s="1"/>
  <c r="V229" i="17"/>
  <c r="W229" i="17" s="1"/>
  <c r="V197" i="17"/>
  <c r="W197" i="17" s="1"/>
  <c r="V56" i="17"/>
  <c r="W56" i="17" s="1"/>
  <c r="U175" i="17"/>
  <c r="Y175" i="17" s="1"/>
  <c r="U355" i="17"/>
  <c r="Y355" i="17" s="1"/>
  <c r="U322" i="17"/>
  <c r="Y322" i="17" s="1"/>
  <c r="U564" i="17"/>
  <c r="Y564" i="17" s="1"/>
  <c r="AB202" i="17"/>
  <c r="AB336" i="17"/>
  <c r="U120" i="17"/>
  <c r="Y120" i="17" s="1"/>
  <c r="U234" i="17"/>
  <c r="Y234" i="17" s="1"/>
  <c r="U47" i="17"/>
  <c r="Y47" i="17" s="1"/>
  <c r="AB93" i="17"/>
  <c r="AB611" i="17"/>
  <c r="U72" i="17"/>
  <c r="Y72" i="17" s="1"/>
  <c r="U117" i="17"/>
  <c r="U493" i="17"/>
  <c r="Y493" i="17" s="1"/>
  <c r="U121" i="17"/>
  <c r="Y121" i="17" s="1"/>
  <c r="U403" i="17"/>
  <c r="Y403" i="17" s="1"/>
  <c r="U78" i="17"/>
  <c r="Y78" i="17" s="1"/>
  <c r="U567" i="17"/>
  <c r="Y567" i="17" s="1"/>
  <c r="U195" i="17"/>
  <c r="Y195" i="17" s="1"/>
  <c r="U332" i="17"/>
  <c r="Y332" i="17" s="1"/>
  <c r="AB257" i="17"/>
  <c r="AB162" i="17"/>
  <c r="U610" i="17"/>
  <c r="Y610" i="17" s="1"/>
  <c r="U303" i="17"/>
  <c r="Y303" i="17" s="1"/>
  <c r="U28" i="17"/>
  <c r="Y28" i="17" s="1"/>
  <c r="AB587" i="17"/>
  <c r="U131" i="17"/>
  <c r="Y131" i="17" s="1"/>
  <c r="U500" i="17"/>
  <c r="Y500" i="17" s="1"/>
  <c r="AB247" i="17"/>
  <c r="U107" i="17"/>
  <c r="Y107" i="17" s="1"/>
  <c r="V146" i="17"/>
  <c r="W146" i="17" s="1"/>
  <c r="V419" i="17"/>
  <c r="W419" i="17" s="1"/>
  <c r="V371" i="17"/>
  <c r="W371" i="17" s="1"/>
  <c r="V211" i="17"/>
  <c r="W211" i="17" s="1"/>
  <c r="V206" i="17"/>
  <c r="W206" i="17" s="1"/>
  <c r="V86" i="17"/>
  <c r="W86" i="17" s="1"/>
  <c r="V257" i="17"/>
  <c r="W257" i="17" s="1"/>
  <c r="V157" i="17"/>
  <c r="W157" i="17" s="1"/>
  <c r="V399" i="17"/>
  <c r="W399" i="17" s="1"/>
  <c r="V362" i="17"/>
  <c r="W362" i="17" s="1"/>
  <c r="U373" i="17"/>
  <c r="Y373" i="17" s="1"/>
  <c r="AB50" i="17"/>
  <c r="U477" i="17"/>
  <c r="Y477" i="17" s="1"/>
  <c r="AB94" i="17"/>
  <c r="U56" i="17"/>
  <c r="Y56" i="17" s="1"/>
  <c r="U170" i="17"/>
  <c r="Y170" i="17" s="1"/>
  <c r="U86" i="17"/>
  <c r="U509" i="17"/>
  <c r="Y509" i="17" s="1"/>
  <c r="AB543" i="17"/>
  <c r="AB345" i="17"/>
  <c r="V428" i="17"/>
  <c r="W428" i="17" s="1"/>
  <c r="V359" i="17"/>
  <c r="W359" i="17" s="1"/>
  <c r="V343" i="17"/>
  <c r="W343" i="17" s="1"/>
  <c r="V215" i="17"/>
  <c r="W215" i="17" s="1"/>
  <c r="V578" i="17"/>
  <c r="W578" i="17" s="1"/>
  <c r="V194" i="17"/>
  <c r="W194" i="17" s="1"/>
  <c r="V453" i="17"/>
  <c r="W453" i="17" s="1"/>
  <c r="V437" i="17"/>
  <c r="W437" i="17" s="1"/>
  <c r="V421" i="17"/>
  <c r="W421" i="17" s="1"/>
  <c r="V245" i="17"/>
  <c r="W245" i="17" s="1"/>
  <c r="V179" i="17"/>
  <c r="W179" i="17" s="1"/>
  <c r="V113" i="17"/>
  <c r="W113" i="17" s="1"/>
  <c r="V120" i="17"/>
  <c r="W120" i="17" s="1"/>
  <c r="V72" i="17"/>
  <c r="W72" i="17" s="1"/>
  <c r="V24" i="17"/>
  <c r="W24" i="17" s="1"/>
  <c r="V47" i="17"/>
  <c r="W47" i="17" s="1"/>
  <c r="AB287" i="17"/>
  <c r="U14" i="17"/>
  <c r="Y14" i="17" s="1"/>
  <c r="U569" i="17"/>
  <c r="Y569" i="17" s="1"/>
  <c r="V597" i="17"/>
  <c r="W597" i="17" s="1"/>
  <c r="V292" i="17"/>
  <c r="W292" i="17" s="1"/>
  <c r="V240" i="17"/>
  <c r="W240" i="17" s="1"/>
  <c r="V515" i="17"/>
  <c r="W515" i="17" s="1"/>
  <c r="V291" i="17"/>
  <c r="W291" i="17" s="1"/>
  <c r="V143" i="17"/>
  <c r="W143" i="17" s="1"/>
  <c r="V42" i="17"/>
  <c r="W42" i="17" s="1"/>
  <c r="V462" i="17"/>
  <c r="W462" i="17" s="1"/>
  <c r="V190" i="17"/>
  <c r="W190" i="17" s="1"/>
  <c r="V166" i="17"/>
  <c r="W166" i="17" s="1"/>
  <c r="V241" i="17"/>
  <c r="W241" i="17" s="1"/>
  <c r="V171" i="17"/>
  <c r="W171" i="17" s="1"/>
  <c r="V141" i="17"/>
  <c r="W141" i="17" s="1"/>
  <c r="V164" i="17"/>
  <c r="W164" i="17" s="1"/>
  <c r="V52" i="17"/>
  <c r="W52" i="17" s="1"/>
  <c r="V27" i="17"/>
  <c r="W27" i="17" s="1"/>
  <c r="U530" i="17"/>
  <c r="Y530" i="17" s="1"/>
  <c r="U523" i="17"/>
  <c r="Y523" i="17" s="1"/>
  <c r="U524" i="17"/>
  <c r="Y524" i="17" s="1"/>
  <c r="U369" i="17"/>
  <c r="Y369" i="17" s="1"/>
  <c r="U89" i="17"/>
  <c r="Y89" i="17" s="1"/>
  <c r="U35" i="17"/>
  <c r="Y35" i="17" s="1"/>
  <c r="AB63" i="17"/>
  <c r="AB58" i="17"/>
  <c r="U540" i="17"/>
  <c r="Y540" i="17" s="1"/>
  <c r="V284" i="17"/>
  <c r="W284" i="17" s="1"/>
  <c r="V447" i="17"/>
  <c r="W447" i="17" s="1"/>
  <c r="V431" i="17"/>
  <c r="W431" i="17" s="1"/>
  <c r="V271" i="17"/>
  <c r="W271" i="17" s="1"/>
  <c r="V207" i="17"/>
  <c r="W207" i="17" s="1"/>
  <c r="V135" i="17"/>
  <c r="W135" i="17" s="1"/>
  <c r="AC378" i="17"/>
  <c r="V346" i="17"/>
  <c r="W346" i="17" s="1"/>
  <c r="V218" i="17"/>
  <c r="W218" i="17" s="1"/>
  <c r="V70" i="17"/>
  <c r="W70" i="17" s="1"/>
  <c r="V573" i="17"/>
  <c r="W573" i="17" s="1"/>
  <c r="V365" i="17"/>
  <c r="W365" i="17" s="1"/>
  <c r="V269" i="17"/>
  <c r="W269" i="17" s="1"/>
  <c r="V163" i="17"/>
  <c r="W163" i="17" s="1"/>
  <c r="V25" i="17"/>
  <c r="W25" i="17" s="1"/>
  <c r="V128" i="17"/>
  <c r="W128" i="17" s="1"/>
  <c r="V112" i="17"/>
  <c r="W112" i="17" s="1"/>
  <c r="V80" i="17"/>
  <c r="W80" i="17" s="1"/>
  <c r="AC16" i="17"/>
  <c r="L624" i="17"/>
  <c r="N624" i="17"/>
  <c r="K624" i="17"/>
  <c r="C624" i="17"/>
  <c r="S624" i="17"/>
  <c r="J624" i="17"/>
  <c r="U422" i="17"/>
  <c r="Y422" i="17" s="1"/>
  <c r="AB141" i="17"/>
  <c r="U469" i="17"/>
  <c r="Y469" i="17" s="1"/>
  <c r="AB430" i="17"/>
  <c r="AB310" i="17"/>
  <c r="U464" i="17"/>
  <c r="Y464" i="17" s="1"/>
  <c r="U601" i="17"/>
  <c r="Y601" i="17" s="1"/>
  <c r="V380" i="17"/>
  <c r="W380" i="17" s="1"/>
  <c r="U281" i="17"/>
  <c r="Y281" i="17" s="1"/>
  <c r="E624" i="17"/>
  <c r="T624" i="17"/>
  <c r="I624" i="17"/>
  <c r="M624" i="17"/>
  <c r="U391" i="17"/>
  <c r="Y391" i="17" s="1"/>
  <c r="U180" i="17"/>
  <c r="Y180" i="17" s="1"/>
  <c r="U606" i="17"/>
  <c r="Y606" i="17" s="1"/>
  <c r="U497" i="17"/>
  <c r="Y497" i="17" s="1"/>
  <c r="AB425" i="17"/>
  <c r="U197" i="17"/>
  <c r="Y197" i="17" s="1"/>
  <c r="U358" i="17"/>
  <c r="Y358" i="17" s="1"/>
  <c r="AB269" i="17"/>
  <c r="AB485" i="17"/>
  <c r="U459" i="17"/>
  <c r="Y459" i="17" s="1"/>
  <c r="U241" i="17"/>
  <c r="Y241" i="17" s="1"/>
  <c r="U503" i="17"/>
  <c r="Y503" i="17" s="1"/>
  <c r="U126" i="17"/>
  <c r="Y126" i="17" s="1"/>
  <c r="U254" i="17"/>
  <c r="Y254" i="17" s="1"/>
  <c r="AB576" i="17"/>
  <c r="U140" i="17"/>
  <c r="Y140" i="17" s="1"/>
  <c r="U178" i="17"/>
  <c r="Y178" i="17" s="1"/>
  <c r="V583" i="17"/>
  <c r="W583" i="17" s="1"/>
  <c r="V551" i="17"/>
  <c r="W551" i="17" s="1"/>
  <c r="V514" i="17"/>
  <c r="W514" i="17" s="1"/>
  <c r="V450" i="17"/>
  <c r="W450" i="17" s="1"/>
  <c r="D624" i="17"/>
  <c r="U316" i="17"/>
  <c r="Y316" i="17" s="1"/>
  <c r="U118" i="17"/>
  <c r="Y118" i="17" s="1"/>
  <c r="U433" i="17"/>
  <c r="Y433" i="17" s="1"/>
  <c r="AB399" i="17"/>
  <c r="U528" i="17"/>
  <c r="Y528" i="17" s="1"/>
  <c r="U205" i="17"/>
  <c r="Y205" i="17" s="1"/>
  <c r="U327" i="17"/>
  <c r="Y327" i="17" s="1"/>
  <c r="U398" i="17"/>
  <c r="Y398" i="17" s="1"/>
  <c r="U350" i="17"/>
  <c r="Y350" i="17" s="1"/>
  <c r="U275" i="17"/>
  <c r="Y275" i="17" s="1"/>
  <c r="U290" i="17"/>
  <c r="Y290" i="17" s="1"/>
  <c r="U192" i="17"/>
  <c r="Y192" i="17" s="1"/>
  <c r="U264" i="17"/>
  <c r="Y264" i="17" s="1"/>
  <c r="U252" i="17"/>
  <c r="Y252" i="17" s="1"/>
  <c r="V364" i="17"/>
  <c r="W364" i="17" s="1"/>
  <c r="V348" i="17"/>
  <c r="W348" i="17" s="1"/>
  <c r="V382" i="17"/>
  <c r="W382" i="17" s="1"/>
  <c r="V318" i="17"/>
  <c r="W318" i="17" s="1"/>
  <c r="V481" i="17"/>
  <c r="W481" i="17" s="1"/>
  <c r="V417" i="17"/>
  <c r="W417" i="17" s="1"/>
  <c r="V353" i="17"/>
  <c r="W353" i="17" s="1"/>
  <c r="U489" i="17"/>
  <c r="Y489" i="17" s="1"/>
  <c r="U190" i="17"/>
  <c r="Y190" i="17" s="1"/>
  <c r="U344" i="17"/>
  <c r="Y344" i="17" s="1"/>
  <c r="U472" i="17"/>
  <c r="Y472" i="17" s="1"/>
  <c r="V340" i="17"/>
  <c r="W340" i="17" s="1"/>
  <c r="V592" i="17"/>
  <c r="W592" i="17" s="1"/>
  <c r="V591" i="17"/>
  <c r="W591" i="17" s="1"/>
  <c r="V506" i="17"/>
  <c r="W506" i="17" s="1"/>
  <c r="V442" i="17"/>
  <c r="W442" i="17" s="1"/>
  <c r="U505" i="17"/>
  <c r="Y505" i="17" s="1"/>
  <c r="AB609" i="17"/>
  <c r="U136" i="17"/>
  <c r="Y136" i="17" s="1"/>
  <c r="AB270" i="17"/>
  <c r="U203" i="17"/>
  <c r="Y203" i="17" s="1"/>
  <c r="AB449" i="17"/>
  <c r="U289" i="17"/>
  <c r="Y289" i="17" s="1"/>
  <c r="U517" i="17"/>
  <c r="Y517" i="17" s="1"/>
  <c r="U187" i="17"/>
  <c r="Y187" i="17" s="1"/>
  <c r="AB488" i="17"/>
  <c r="AC206" i="17"/>
  <c r="U492" i="17"/>
  <c r="U145" i="17"/>
  <c r="Y145" i="17" s="1"/>
  <c r="U407" i="17"/>
  <c r="Y407" i="17" s="1"/>
  <c r="U144" i="17"/>
  <c r="Y144" i="17" s="1"/>
  <c r="U348" i="17"/>
  <c r="Y348" i="17" s="1"/>
  <c r="U208" i="17"/>
  <c r="Y208" i="17" s="1"/>
  <c r="AB326" i="17"/>
  <c r="V600" i="17"/>
  <c r="W600" i="17" s="1"/>
  <c r="V558" i="17"/>
  <c r="W558" i="17" s="1"/>
  <c r="V398" i="17"/>
  <c r="W398" i="17" s="1"/>
  <c r="V334" i="17"/>
  <c r="W334" i="17" s="1"/>
  <c r="V545" i="17"/>
  <c r="W545" i="17" s="1"/>
  <c r="V497" i="17"/>
  <c r="W497" i="17" s="1"/>
  <c r="V433" i="17"/>
  <c r="W433" i="17" s="1"/>
  <c r="V369" i="17"/>
  <c r="W369" i="17" s="1"/>
  <c r="AB262" i="17"/>
  <c r="U521" i="17"/>
  <c r="Y521" i="17" s="1"/>
  <c r="AB210" i="17"/>
  <c r="U134" i="17"/>
  <c r="U529" i="17"/>
  <c r="Y529" i="17" s="1"/>
  <c r="U213" i="17"/>
  <c r="Y213" i="17" s="1"/>
  <c r="U608" i="17"/>
  <c r="Y608" i="17" s="1"/>
  <c r="U276" i="17"/>
  <c r="Y276" i="17" s="1"/>
  <c r="U470" i="17"/>
  <c r="Y470" i="17" s="1"/>
  <c r="U415" i="17"/>
  <c r="Y415" i="17" s="1"/>
  <c r="U338" i="17"/>
  <c r="Y338" i="17" s="1"/>
  <c r="U284" i="17"/>
  <c r="Y284" i="17" s="1"/>
  <c r="U273" i="17"/>
  <c r="Y273" i="17" s="1"/>
  <c r="U352" i="17"/>
  <c r="Y352" i="17" s="1"/>
  <c r="U511" i="17"/>
  <c r="Y511" i="17" s="1"/>
  <c r="U441" i="17"/>
  <c r="Y441" i="17" s="1"/>
  <c r="U299" i="17"/>
  <c r="Y299" i="17" s="1"/>
  <c r="U285" i="17"/>
  <c r="Y285" i="17" s="1"/>
  <c r="V392" i="17"/>
  <c r="W392" i="17" s="1"/>
  <c r="V404" i="17"/>
  <c r="W404" i="17" s="1"/>
  <c r="AC527" i="17"/>
  <c r="V570" i="17"/>
  <c r="W570" i="17" s="1"/>
  <c r="AC554" i="17"/>
  <c r="V458" i="17"/>
  <c r="W458" i="17" s="1"/>
  <c r="U513" i="17"/>
  <c r="Y513" i="17" s="1"/>
  <c r="U149" i="17"/>
  <c r="Y149" i="17" s="1"/>
  <c r="U360" i="17"/>
  <c r="Y360" i="17" s="1"/>
  <c r="AB200" i="17"/>
  <c r="U142" i="17"/>
  <c r="Y142" i="17" s="1"/>
  <c r="U480" i="17"/>
  <c r="Y480" i="17" s="1"/>
  <c r="U416" i="17"/>
  <c r="Y416" i="17" s="1"/>
  <c r="U501" i="17"/>
  <c r="Y501" i="17" s="1"/>
  <c r="AB157" i="17"/>
  <c r="U536" i="17"/>
  <c r="Y536" i="17" s="1"/>
  <c r="U198" i="17"/>
  <c r="Y198" i="17" s="1"/>
  <c r="U514" i="17"/>
  <c r="Y514" i="17" s="1"/>
  <c r="U575" i="17"/>
  <c r="Y575" i="17" s="1"/>
  <c r="U221" i="17"/>
  <c r="Y221" i="17" s="1"/>
  <c r="U476" i="17"/>
  <c r="Y476" i="17" s="1"/>
  <c r="U194" i="17"/>
  <c r="Y194" i="17" s="1"/>
  <c r="U212" i="17"/>
  <c r="Y212" i="17" s="1"/>
  <c r="V566" i="17"/>
  <c r="W566" i="17" s="1"/>
  <c r="V390" i="17"/>
  <c r="W390" i="17" s="1"/>
  <c r="V326" i="17"/>
  <c r="W326" i="17" s="1"/>
  <c r="V505" i="17"/>
  <c r="W505" i="17" s="1"/>
  <c r="V441" i="17"/>
  <c r="W441" i="17" s="1"/>
  <c r="V377" i="17"/>
  <c r="W377" i="17" s="1"/>
  <c r="V533" i="17"/>
  <c r="W533" i="17" s="1"/>
  <c r="U244" i="17"/>
  <c r="Y244" i="17" s="1"/>
  <c r="U110" i="17"/>
  <c r="Y110" i="17" s="1"/>
  <c r="U518" i="17"/>
  <c r="Y518" i="17" s="1"/>
  <c r="U368" i="17"/>
  <c r="AH367" i="17" s="1"/>
  <c r="U293" i="17"/>
  <c r="U406" i="17"/>
  <c r="Y406" i="17" s="1"/>
  <c r="AC612" i="17"/>
  <c r="V520" i="17"/>
  <c r="W520" i="17" s="1"/>
  <c r="V543" i="17"/>
  <c r="W543" i="17" s="1"/>
  <c r="U301" i="17"/>
  <c r="Y301" i="17" s="1"/>
  <c r="U302" i="17"/>
  <c r="Y302" i="17" s="1"/>
  <c r="U448" i="17"/>
  <c r="Y448" i="17" s="1"/>
  <c r="U390" i="17"/>
  <c r="Y390" i="17" s="1"/>
  <c r="U328" i="17"/>
  <c r="Y328" i="17" s="1"/>
  <c r="AB160" i="17"/>
  <c r="U370" i="17"/>
  <c r="Y370" i="17" s="1"/>
  <c r="AB181" i="17"/>
  <c r="U238" i="17"/>
  <c r="Y238" i="17" s="1"/>
  <c r="U432" i="17"/>
  <c r="Y432" i="17" s="1"/>
  <c r="U354" i="17"/>
  <c r="Y354" i="17" s="1"/>
  <c r="U286" i="17"/>
  <c r="Y286" i="17" s="1"/>
  <c r="U440" i="17"/>
  <c r="Y440" i="17" s="1"/>
  <c r="U465" i="17"/>
  <c r="Y465" i="17" s="1"/>
  <c r="V388" i="17"/>
  <c r="W388" i="17" s="1"/>
  <c r="V528" i="17"/>
  <c r="W528" i="17" s="1"/>
  <c r="V603" i="17"/>
  <c r="W603" i="17" s="1"/>
  <c r="V534" i="17"/>
  <c r="W534" i="17" s="1"/>
  <c r="V358" i="17"/>
  <c r="W358" i="17" s="1"/>
  <c r="U152" i="17"/>
  <c r="Y152" i="17" s="1"/>
  <c r="U214" i="17"/>
  <c r="Y214" i="17" s="1"/>
  <c r="AB165" i="17"/>
  <c r="U224" i="17"/>
  <c r="Y224" i="17" s="1"/>
  <c r="U318" i="17"/>
  <c r="AB216" i="17"/>
  <c r="U278" i="17"/>
  <c r="Y278" i="17" s="1"/>
  <c r="U296" i="17"/>
  <c r="Y296" i="17" s="1"/>
  <c r="U173" i="17"/>
  <c r="Y173" i="17" s="1"/>
  <c r="U612" i="17"/>
  <c r="Y612" i="17" s="1"/>
  <c r="V412" i="17"/>
  <c r="W412" i="17" s="1"/>
  <c r="V576" i="17"/>
  <c r="W576" i="17" s="1"/>
  <c r="V535" i="17"/>
  <c r="W535" i="17" s="1"/>
  <c r="V582" i="17"/>
  <c r="W582" i="17" s="1"/>
  <c r="V406" i="17"/>
  <c r="W406" i="17" s="1"/>
  <c r="V342" i="17"/>
  <c r="W342" i="17" s="1"/>
  <c r="U402" i="17"/>
  <c r="Y402" i="17" s="1"/>
  <c r="U487" i="17"/>
  <c r="Y487" i="17" s="1"/>
  <c r="V356" i="17"/>
  <c r="W356" i="17" s="1"/>
  <c r="U418" i="17"/>
  <c r="Y418" i="17" s="1"/>
  <c r="U475" i="17"/>
  <c r="Y475" i="17" s="1"/>
  <c r="U502" i="17"/>
  <c r="Y502" i="17" s="1"/>
  <c r="U434" i="17"/>
  <c r="Y434" i="17" s="1"/>
  <c r="U466" i="17"/>
  <c r="Y466" i="17" s="1"/>
  <c r="AC24" i="17"/>
  <c r="AC580" i="17"/>
  <c r="V522" i="17"/>
  <c r="W522" i="17" s="1"/>
  <c r="V525" i="17"/>
  <c r="W525" i="17" s="1"/>
  <c r="V537" i="17"/>
  <c r="W537" i="17" s="1"/>
  <c r="AC521" i="17"/>
  <c r="AC538" i="17"/>
  <c r="V598" i="17"/>
  <c r="W598" i="17" s="1"/>
  <c r="U486" i="17"/>
  <c r="Y486" i="17" s="1"/>
  <c r="AC149" i="17"/>
  <c r="AC60" i="17"/>
  <c r="U494" i="17"/>
  <c r="Y494" i="17" s="1"/>
  <c r="V544" i="17"/>
  <c r="W544" i="17" s="1"/>
  <c r="U596" i="17"/>
  <c r="Y596" i="17" s="1"/>
  <c r="U447" i="17"/>
  <c r="Y447" i="17" s="1"/>
  <c r="V541" i="17"/>
  <c r="W541" i="17" s="1"/>
  <c r="U604" i="17"/>
  <c r="Y604" i="17" s="1"/>
  <c r="AC587" i="17"/>
  <c r="V521" i="17"/>
  <c r="W521" i="17" s="1"/>
  <c r="U556" i="17"/>
  <c r="Y556" i="17" s="1"/>
  <c r="AC563" i="17"/>
  <c r="U463" i="17"/>
  <c r="Y463" i="17" s="1"/>
  <c r="U482" i="17"/>
  <c r="Y482" i="17" s="1"/>
  <c r="V587" i="17"/>
  <c r="W587" i="17" s="1"/>
  <c r="U443" i="17"/>
  <c r="Y443" i="17" s="1"/>
  <c r="AC353" i="17"/>
  <c r="AC122" i="17"/>
  <c r="AB458" i="17"/>
  <c r="V416" i="17"/>
  <c r="W416" i="17" s="1"/>
  <c r="AC508" i="17"/>
  <c r="AC390" i="17"/>
  <c r="AC123" i="17"/>
  <c r="V352" i="17"/>
  <c r="W352" i="17" s="1"/>
  <c r="AB467" i="17"/>
  <c r="AC537" i="17"/>
  <c r="AC69" i="17"/>
  <c r="AC260" i="17"/>
  <c r="AC502" i="17"/>
  <c r="AC101" i="17"/>
  <c r="AC35" i="17"/>
  <c r="V568" i="17"/>
  <c r="W568" i="17" s="1"/>
  <c r="V400" i="17"/>
  <c r="W400" i="17" s="1"/>
  <c r="V336" i="17"/>
  <c r="W336" i="17" s="1"/>
  <c r="AC294" i="17"/>
  <c r="AC524" i="17"/>
  <c r="AC464" i="17"/>
  <c r="AC124" i="17"/>
  <c r="AC379" i="17"/>
  <c r="AC115" i="17"/>
  <c r="AC425" i="17"/>
  <c r="AC470" i="17"/>
  <c r="AC262" i="17"/>
  <c r="AC181" i="17"/>
  <c r="AC443" i="17"/>
  <c r="U580" i="17"/>
  <c r="Y580" i="17" s="1"/>
  <c r="U563" i="17"/>
  <c r="Y563" i="17" s="1"/>
  <c r="U288" i="17"/>
  <c r="Y288" i="17" s="1"/>
  <c r="AC496" i="17"/>
  <c r="AC195" i="17"/>
  <c r="AC536" i="17"/>
  <c r="AC270" i="17"/>
  <c r="AC91" i="17"/>
  <c r="AC366" i="17"/>
  <c r="AC20" i="17"/>
  <c r="V579" i="17"/>
  <c r="W579" i="17" s="1"/>
  <c r="U548" i="17"/>
  <c r="Y548" i="17" s="1"/>
  <c r="U483" i="17"/>
  <c r="Y483" i="17" s="1"/>
  <c r="AC180" i="17"/>
  <c r="AC350" i="17"/>
  <c r="AC227" i="17"/>
  <c r="V547" i="17"/>
  <c r="W547" i="17" s="1"/>
  <c r="U467" i="17"/>
  <c r="Y467" i="17" s="1"/>
  <c r="U442" i="17"/>
  <c r="Y442" i="17" s="1"/>
  <c r="AC273" i="17"/>
  <c r="AB81" i="17"/>
  <c r="AC398" i="17"/>
  <c r="AC558" i="17"/>
  <c r="AC240" i="17"/>
  <c r="AC339" i="17"/>
  <c r="AC222" i="17"/>
  <c r="U613" i="17"/>
  <c r="Y613" i="17" s="1"/>
  <c r="V529" i="17"/>
  <c r="W529" i="17" s="1"/>
  <c r="U515" i="17"/>
  <c r="Y515" i="17" s="1"/>
  <c r="U451" i="17"/>
  <c r="Y451" i="17" s="1"/>
  <c r="U426" i="17"/>
  <c r="Y426" i="17" s="1"/>
  <c r="U362" i="17"/>
  <c r="Y362" i="17" s="1"/>
  <c r="U272" i="17"/>
  <c r="Y272" i="17" s="1"/>
  <c r="V606" i="17"/>
  <c r="W606" i="17" s="1"/>
  <c r="V320" i="17"/>
  <c r="W320" i="17" s="1"/>
  <c r="V610" i="17"/>
  <c r="W610" i="17" s="1"/>
  <c r="V212" i="17"/>
  <c r="W212" i="17" s="1"/>
  <c r="AC192" i="17"/>
  <c r="V552" i="17"/>
  <c r="W552" i="17" s="1"/>
  <c r="U499" i="17"/>
  <c r="Y499" i="17" s="1"/>
  <c r="U435" i="17"/>
  <c r="Y435" i="17" s="1"/>
  <c r="U474" i="17"/>
  <c r="Y474" i="17" s="1"/>
  <c r="U410" i="17"/>
  <c r="Y410" i="17" s="1"/>
  <c r="U346" i="17"/>
  <c r="Y346" i="17" s="1"/>
  <c r="V384" i="17"/>
  <c r="W384" i="17" s="1"/>
  <c r="U256" i="17"/>
  <c r="Y256" i="17" s="1"/>
  <c r="U181" i="17"/>
  <c r="Y181" i="17" s="1"/>
  <c r="U445" i="17"/>
  <c r="Y445" i="17" s="1"/>
  <c r="U576" i="17"/>
  <c r="Y576" i="17" s="1"/>
  <c r="U270" i="17"/>
  <c r="Y270" i="17" s="1"/>
  <c r="V287" i="17"/>
  <c r="W287" i="17" s="1"/>
  <c r="V333" i="17"/>
  <c r="W333" i="17" s="1"/>
  <c r="U377" i="17"/>
  <c r="Y377" i="17" s="1"/>
  <c r="U490" i="17"/>
  <c r="Y490" i="17" s="1"/>
  <c r="U165" i="17"/>
  <c r="Y165" i="17" s="1"/>
  <c r="AC111" i="17"/>
  <c r="AC168" i="17"/>
  <c r="U600" i="17"/>
  <c r="Y600" i="17" s="1"/>
  <c r="U419" i="17"/>
  <c r="Y419" i="17" s="1"/>
  <c r="U394" i="17"/>
  <c r="Y394" i="17" s="1"/>
  <c r="U330" i="17"/>
  <c r="Y330" i="17" s="1"/>
  <c r="V368" i="17"/>
  <c r="W368" i="17" s="1"/>
  <c r="U304" i="17"/>
  <c r="Y304" i="17" s="1"/>
  <c r="U240" i="17"/>
  <c r="Y240" i="17" s="1"/>
  <c r="U399" i="17"/>
  <c r="Y399" i="17" s="1"/>
  <c r="U216" i="17"/>
  <c r="Y216" i="17" s="1"/>
  <c r="U127" i="17"/>
  <c r="Y127" i="17" s="1"/>
  <c r="V288" i="17"/>
  <c r="W288" i="17" s="1"/>
  <c r="AC562" i="17"/>
  <c r="AC129" i="17"/>
  <c r="AC487" i="17"/>
  <c r="V530" i="17"/>
  <c r="W530" i="17" s="1"/>
  <c r="U506" i="17"/>
  <c r="Y506" i="17" s="1"/>
  <c r="U378" i="17"/>
  <c r="Y378" i="17" s="1"/>
  <c r="V480" i="17"/>
  <c r="W480" i="17" s="1"/>
  <c r="U485" i="17"/>
  <c r="Y485" i="17" s="1"/>
  <c r="U193" i="17"/>
  <c r="Y193" i="17" s="1"/>
  <c r="V301" i="17"/>
  <c r="W301" i="17" s="1"/>
  <c r="V174" i="17"/>
  <c r="W174" i="17" s="1"/>
  <c r="V136" i="17"/>
  <c r="W136" i="17" s="1"/>
  <c r="U458" i="17"/>
  <c r="Y458" i="17" s="1"/>
  <c r="U21" i="17"/>
  <c r="U389" i="17"/>
  <c r="Y389" i="17" s="1"/>
  <c r="U182" i="17"/>
  <c r="Y182" i="17" s="1"/>
  <c r="V325" i="17"/>
  <c r="W325" i="17" s="1"/>
  <c r="V38" i="17"/>
  <c r="W38" i="17" s="1"/>
  <c r="U587" i="17"/>
  <c r="Y587" i="17" s="1"/>
  <c r="U484" i="17"/>
  <c r="Y484" i="17" s="1"/>
  <c r="AC327" i="17"/>
  <c r="AC242" i="17"/>
  <c r="AC162" i="17"/>
  <c r="AC375" i="17"/>
  <c r="AC142" i="17"/>
  <c r="V58" i="17"/>
  <c r="W58" i="17" s="1"/>
  <c r="U552" i="17"/>
  <c r="Y552" i="17" s="1"/>
  <c r="U287" i="17"/>
  <c r="Y287" i="17" s="1"/>
  <c r="U599" i="17"/>
  <c r="Y599" i="17" s="1"/>
  <c r="V394" i="17"/>
  <c r="W394" i="17" s="1"/>
  <c r="V612" i="17"/>
  <c r="W612" i="17" s="1"/>
  <c r="U534" i="17"/>
  <c r="Y534" i="17" s="1"/>
  <c r="U430" i="17"/>
  <c r="Y430" i="17" s="1"/>
  <c r="U25" i="17"/>
  <c r="Y25" i="17" s="1"/>
  <c r="U385" i="17"/>
  <c r="Y385" i="17" s="1"/>
  <c r="U597" i="17"/>
  <c r="Y597" i="17" s="1"/>
  <c r="V110" i="17"/>
  <c r="W110" i="17" s="1"/>
  <c r="V277" i="17"/>
  <c r="W277" i="17" s="1"/>
  <c r="U405" i="17"/>
  <c r="Y405" i="17" s="1"/>
  <c r="U156" i="17"/>
  <c r="Y156" i="17" s="1"/>
  <c r="U525" i="17"/>
  <c r="Y525" i="17" s="1"/>
  <c r="U99" i="17"/>
  <c r="Y99" i="17" s="1"/>
  <c r="V311" i="17"/>
  <c r="W311" i="17" s="1"/>
  <c r="V527" i="17"/>
  <c r="W527" i="17" s="1"/>
  <c r="U88" i="17"/>
  <c r="Y88" i="17" s="1"/>
  <c r="U62" i="17"/>
  <c r="Y62" i="17" s="1"/>
  <c r="U163" i="17"/>
  <c r="Y163" i="17" s="1"/>
  <c r="U157" i="17"/>
  <c r="Y157" i="17" s="1"/>
  <c r="U602" i="17"/>
  <c r="Y602" i="17" s="1"/>
  <c r="U23" i="17"/>
  <c r="Y23" i="17" s="1"/>
  <c r="V402" i="17"/>
  <c r="W402" i="17" s="1"/>
  <c r="U428" i="17"/>
  <c r="Y428" i="17" s="1"/>
  <c r="U263" i="17"/>
  <c r="Y263" i="17" s="1"/>
  <c r="U59" i="17"/>
  <c r="Y59" i="17" s="1"/>
  <c r="U351" i="17"/>
  <c r="Y351" i="17" s="1"/>
  <c r="U471" i="17"/>
  <c r="Y471" i="17" s="1"/>
  <c r="U446" i="17"/>
  <c r="Y446" i="17" s="1"/>
  <c r="U41" i="17"/>
  <c r="Y41" i="17" s="1"/>
  <c r="U119" i="17"/>
  <c r="Y119" i="17" s="1"/>
  <c r="V293" i="17"/>
  <c r="W293" i="17" s="1"/>
  <c r="U334" i="17"/>
  <c r="Y334" i="17" s="1"/>
  <c r="U249" i="17"/>
  <c r="Y249" i="17" s="1"/>
  <c r="U538" i="17"/>
  <c r="Y538" i="17" s="1"/>
  <c r="U379" i="17"/>
  <c r="Y379" i="17" s="1"/>
  <c r="U364" i="17"/>
  <c r="Y364" i="17" s="1"/>
  <c r="V580" i="17"/>
  <c r="W580" i="17" s="1"/>
  <c r="U269" i="17"/>
  <c r="Y269" i="17" s="1"/>
  <c r="U611" i="17"/>
  <c r="Y611" i="17" s="1"/>
  <c r="U257" i="17"/>
  <c r="Y257" i="17" s="1"/>
  <c r="U177" i="17"/>
  <c r="Y177" i="17" s="1"/>
  <c r="U295" i="17"/>
  <c r="Y295" i="17" s="1"/>
  <c r="U141" i="17"/>
  <c r="Y141" i="17" s="1"/>
  <c r="U605" i="17"/>
  <c r="Y605" i="17" s="1"/>
  <c r="U365" i="17"/>
  <c r="Y365" i="17" s="1"/>
  <c r="U345" i="17"/>
  <c r="Y345" i="17" s="1"/>
  <c r="U488" i="17"/>
  <c r="Y488" i="17" s="1"/>
  <c r="V16" i="17"/>
  <c r="W16" i="17" s="1"/>
  <c r="U336" i="17"/>
  <c r="Y336" i="17" s="1"/>
  <c r="U55" i="17"/>
  <c r="Y55" i="17" s="1"/>
  <c r="U361" i="17"/>
  <c r="Y361" i="17" s="1"/>
  <c r="U219" i="17"/>
  <c r="Y219" i="17" s="1"/>
  <c r="V386" i="17"/>
  <c r="W386" i="17" s="1"/>
  <c r="U63" i="17"/>
  <c r="Y63" i="17" s="1"/>
  <c r="U48" i="17"/>
  <c r="Y48" i="17" s="1"/>
  <c r="U68" i="17"/>
  <c r="Y68" i="17" s="1"/>
  <c r="U202" i="17"/>
  <c r="Y202" i="17" s="1"/>
  <c r="V167" i="17"/>
  <c r="W167" i="17" s="1"/>
  <c r="U79" i="17"/>
  <c r="Y79" i="17" s="1"/>
  <c r="U44" i="17"/>
  <c r="Y44" i="17" s="1"/>
  <c r="U70" i="17"/>
  <c r="Y70" i="17" s="1"/>
  <c r="V191" i="17"/>
  <c r="W191" i="17" s="1"/>
  <c r="V426" i="17"/>
  <c r="W426" i="17" s="1"/>
  <c r="U423" i="17"/>
  <c r="U113" i="17"/>
  <c r="Y113" i="17" s="1"/>
  <c r="V161" i="17"/>
  <c r="W161" i="17" s="1"/>
  <c r="U326" i="17"/>
  <c r="Y326" i="17" s="1"/>
  <c r="U531" i="17"/>
  <c r="Y531" i="17" s="1"/>
  <c r="U533" i="17"/>
  <c r="Y533" i="17" s="1"/>
  <c r="V509" i="17"/>
  <c r="W509" i="17" s="1"/>
  <c r="V381" i="17"/>
  <c r="W381" i="17" s="1"/>
  <c r="U188" i="17"/>
  <c r="V316" i="17"/>
  <c r="W316" i="17" s="1"/>
  <c r="U329" i="17"/>
  <c r="Y329" i="17" s="1"/>
  <c r="U392" i="17"/>
  <c r="Y392" i="17" s="1"/>
  <c r="V82" i="17"/>
  <c r="W82" i="17" s="1"/>
  <c r="U255" i="17"/>
  <c r="Y255" i="17" s="1"/>
  <c r="U40" i="17"/>
  <c r="Y40" i="17" s="1"/>
  <c r="U282" i="17"/>
  <c r="Y282" i="17" s="1"/>
  <c r="U215" i="17"/>
  <c r="Y215" i="17" s="1"/>
  <c r="U98" i="17"/>
  <c r="Y98" i="17" s="1"/>
  <c r="U19" i="17"/>
  <c r="Y19" i="17" s="1"/>
  <c r="V608" i="17"/>
  <c r="W608" i="17" s="1"/>
  <c r="U31" i="17"/>
  <c r="Y31" i="17" s="1"/>
  <c r="U24" i="17"/>
  <c r="Y24" i="17" s="1"/>
  <c r="U210" i="17"/>
  <c r="Y210" i="17" s="1"/>
  <c r="U76" i="17"/>
  <c r="Y76" i="17" s="1"/>
  <c r="U186" i="17"/>
  <c r="Y186" i="17" s="1"/>
  <c r="U166" i="17"/>
  <c r="Y166" i="17" s="1"/>
  <c r="U372" i="17"/>
  <c r="Y372" i="17" s="1"/>
  <c r="U414" i="17"/>
  <c r="Y414" i="17" s="1"/>
  <c r="U16" i="17"/>
  <c r="Y16" i="17" s="1"/>
  <c r="U401" i="17"/>
  <c r="Y401" i="17" s="1"/>
  <c r="U325" i="17"/>
  <c r="Y325" i="17" s="1"/>
  <c r="U153" i="17"/>
  <c r="Y153" i="17" s="1"/>
  <c r="V332" i="17"/>
  <c r="W332" i="17" s="1"/>
  <c r="U566" i="17"/>
  <c r="Y566" i="17" s="1"/>
  <c r="V39" i="17"/>
  <c r="W39" i="17" s="1"/>
  <c r="U196" i="17"/>
  <c r="Y196" i="17" s="1"/>
  <c r="U247" i="17"/>
  <c r="Y247" i="17" s="1"/>
  <c r="U58" i="17"/>
  <c r="Y58" i="17" s="1"/>
  <c r="U343" i="17"/>
  <c r="Y343" i="17" s="1"/>
  <c r="U356" i="17"/>
  <c r="Y356" i="17" s="1"/>
  <c r="U32" i="17"/>
  <c r="Y32" i="17" s="1"/>
  <c r="V554" i="17"/>
  <c r="W554" i="17" s="1"/>
  <c r="U310" i="17"/>
  <c r="Y310" i="17" s="1"/>
  <c r="V575" i="17"/>
  <c r="W575" i="17" s="1"/>
  <c r="U542" i="17"/>
  <c r="Y542" i="17" s="1"/>
  <c r="U374" i="17"/>
  <c r="Y374" i="17" s="1"/>
  <c r="U128" i="17"/>
  <c r="Y128" i="17" s="1"/>
  <c r="U386" i="17"/>
  <c r="Y386" i="17" s="1"/>
  <c r="U333" i="17"/>
  <c r="Y333" i="17" s="1"/>
  <c r="U400" i="17"/>
  <c r="Y400" i="17" s="1"/>
  <c r="V55" i="17"/>
  <c r="W55" i="17" s="1"/>
  <c r="V285" i="17"/>
  <c r="W285" i="17" s="1"/>
  <c r="U380" i="17"/>
  <c r="Y380" i="17" s="1"/>
  <c r="U594" i="17"/>
  <c r="Y594" i="17" s="1"/>
  <c r="U237" i="17"/>
  <c r="Y237" i="17" s="1"/>
  <c r="U77" i="17"/>
  <c r="Y77" i="17" s="1"/>
  <c r="U161" i="17"/>
  <c r="Y161" i="17" s="1"/>
  <c r="U65" i="17"/>
  <c r="Y65" i="17" s="1"/>
  <c r="U592" i="17"/>
  <c r="Y592" i="17" s="1"/>
  <c r="U151" i="17"/>
  <c r="Y151" i="17" s="1"/>
  <c r="U543" i="17"/>
  <c r="Y543" i="17" s="1"/>
  <c r="U124" i="17"/>
  <c r="Y124" i="17" s="1"/>
  <c r="U42" i="17"/>
  <c r="Y42" i="17" s="1"/>
  <c r="U231" i="17"/>
  <c r="Y231" i="17" s="1"/>
  <c r="U94" i="17"/>
  <c r="Y94" i="17" s="1"/>
  <c r="U340" i="17"/>
  <c r="Y340" i="17" s="1"/>
  <c r="U609" i="17"/>
  <c r="Y609" i="17" s="1"/>
  <c r="U243" i="17"/>
  <c r="Y243" i="17" s="1"/>
  <c r="U478" i="17"/>
  <c r="Y478" i="17" s="1"/>
  <c r="AC290" i="17"/>
  <c r="AC183" i="17"/>
  <c r="AC213" i="17"/>
  <c r="AC567" i="17"/>
  <c r="AC284" i="17"/>
  <c r="U207" i="17"/>
  <c r="Y207" i="17" s="1"/>
  <c r="U347" i="17"/>
  <c r="Y347" i="17" s="1"/>
  <c r="U421" i="17"/>
  <c r="Y421" i="17" s="1"/>
  <c r="U87" i="17"/>
  <c r="U323" i="17"/>
  <c r="Y323" i="17" s="1"/>
  <c r="U50" i="17"/>
  <c r="Y50" i="17" s="1"/>
  <c r="U520" i="17"/>
  <c r="Y520" i="17" s="1"/>
  <c r="U579" i="17"/>
  <c r="U239" i="17"/>
  <c r="Y239" i="17" s="1"/>
  <c r="U39" i="17"/>
  <c r="Y39" i="17" s="1"/>
  <c r="U371" i="17"/>
  <c r="Y371" i="17" s="1"/>
  <c r="V378" i="17"/>
  <c r="W378" i="17" s="1"/>
  <c r="V602" i="17"/>
  <c r="W602" i="17" s="1"/>
  <c r="U38" i="17"/>
  <c r="Y38" i="17" s="1"/>
  <c r="V255" i="17"/>
  <c r="W255" i="17" s="1"/>
  <c r="U211" i="17"/>
  <c r="Y211" i="17" s="1"/>
  <c r="U262" i="17"/>
  <c r="Y262" i="17" s="1"/>
  <c r="U461" i="17"/>
  <c r="Y461" i="17" s="1"/>
  <c r="V572" i="17"/>
  <c r="W572" i="17" s="1"/>
  <c r="U321" i="17"/>
  <c r="Y321" i="17" s="1"/>
  <c r="U277" i="17"/>
  <c r="Y277" i="17" s="1"/>
  <c r="U200" i="17"/>
  <c r="Y200" i="17" s="1"/>
  <c r="V328" i="17"/>
  <c r="W328" i="17" s="1"/>
  <c r="U544" i="17"/>
  <c r="Y544" i="17" s="1"/>
  <c r="U550" i="17"/>
  <c r="Y550" i="17" s="1"/>
  <c r="V477" i="17"/>
  <c r="W477" i="17" s="1"/>
  <c r="V349" i="17"/>
  <c r="W349" i="17" s="1"/>
  <c r="U69" i="17"/>
  <c r="U169" i="17"/>
  <c r="Y169" i="17" s="1"/>
  <c r="U297" i="17"/>
  <c r="Y297" i="17" s="1"/>
  <c r="U220" i="17"/>
  <c r="Y220" i="17" s="1"/>
  <c r="U561" i="17"/>
  <c r="Y561" i="17" s="1"/>
  <c r="V169" i="17"/>
  <c r="W169" i="17" s="1"/>
  <c r="U456" i="17"/>
  <c r="Y456" i="17" s="1"/>
  <c r="V13" i="17"/>
  <c r="W13" i="17" s="1"/>
  <c r="U306" i="17"/>
  <c r="U52" i="17"/>
  <c r="Y52" i="17" s="1"/>
  <c r="U74" i="17"/>
  <c r="Y74" i="17" s="1"/>
  <c r="U139" i="17"/>
  <c r="Y139" i="17" s="1"/>
  <c r="U162" i="17"/>
  <c r="Y162" i="17" s="1"/>
  <c r="U75" i="17"/>
  <c r="Y75" i="17" s="1"/>
  <c r="U335" i="17"/>
  <c r="Y335" i="17" s="1"/>
  <c r="U291" i="17"/>
  <c r="Y291" i="17" s="1"/>
  <c r="U562" i="17"/>
  <c r="U572" i="17"/>
  <c r="Y572" i="17" s="1"/>
  <c r="U454" i="17"/>
  <c r="Y454" i="17" s="1"/>
  <c r="U112" i="17"/>
  <c r="Y112" i="17" s="1"/>
  <c r="U417" i="17"/>
  <c r="V18" i="17"/>
  <c r="W18" i="17" s="1"/>
  <c r="U138" i="17"/>
  <c r="Y138" i="17" s="1"/>
  <c r="U206" i="17"/>
  <c r="Y206" i="17" s="1"/>
  <c r="U452" i="17"/>
  <c r="Y452" i="17" s="1"/>
  <c r="U460" i="17"/>
  <c r="Y460" i="17" s="1"/>
  <c r="U179" i="17"/>
  <c r="Y179" i="17" s="1"/>
  <c r="U230" i="17"/>
  <c r="U583" i="17"/>
  <c r="U537" i="17"/>
  <c r="Y537" i="17" s="1"/>
  <c r="U133" i="17"/>
  <c r="Y133" i="17" s="1"/>
  <c r="U261" i="17"/>
  <c r="Y261" i="17" s="1"/>
  <c r="U184" i="17"/>
  <c r="U312" i="17"/>
  <c r="Y312" i="17" s="1"/>
  <c r="U408" i="17"/>
  <c r="Y408" i="17" s="1"/>
  <c r="V493" i="17"/>
  <c r="W493" i="17" s="1"/>
  <c r="U53" i="17"/>
  <c r="Y53" i="17" s="1"/>
  <c r="U357" i="17"/>
  <c r="Y357" i="17" s="1"/>
  <c r="U313" i="17"/>
  <c r="Y313" i="17" s="1"/>
  <c r="U411" i="17"/>
  <c r="Y411" i="17" s="1"/>
  <c r="U427" i="17"/>
  <c r="V96" i="17"/>
  <c r="W96" i="17" s="1"/>
  <c r="V234" i="17"/>
  <c r="W234" i="17" s="1"/>
  <c r="V253" i="17"/>
  <c r="W253" i="17" s="1"/>
  <c r="U209" i="17"/>
  <c r="U260" i="17"/>
  <c r="Y260" i="17" s="1"/>
  <c r="U457" i="17"/>
  <c r="Y457" i="17" s="1"/>
  <c r="V460" i="17"/>
  <c r="W460" i="17" s="1"/>
  <c r="U298" i="17"/>
  <c r="U171" i="17"/>
  <c r="Y171" i="17" s="1"/>
  <c r="U339" i="17"/>
  <c r="Y339" i="17" s="1"/>
  <c r="U557" i="17"/>
  <c r="Y557" i="17" s="1"/>
  <c r="V607" i="17"/>
  <c r="W607" i="17" s="1"/>
  <c r="U449" i="17"/>
  <c r="Y449" i="17" s="1"/>
  <c r="U507" i="17"/>
  <c r="Y507" i="17" s="1"/>
  <c r="U109" i="17"/>
  <c r="Y109" i="17" s="1"/>
  <c r="U129" i="17"/>
  <c r="U425" i="17"/>
  <c r="Y425" i="17" s="1"/>
  <c r="U93" i="17"/>
  <c r="Y93" i="17" s="1"/>
  <c r="U577" i="17"/>
  <c r="Y577" i="17" s="1"/>
  <c r="U535" i="17"/>
  <c r="U222" i="17"/>
  <c r="Y222" i="17" s="1"/>
  <c r="U71" i="17"/>
  <c r="Y71" i="17" s="1"/>
  <c r="V479" i="17"/>
  <c r="W479" i="17" s="1"/>
  <c r="U429" i="17"/>
  <c r="Y429" i="17" s="1"/>
  <c r="U424" i="17"/>
  <c r="Y424" i="17" s="1"/>
  <c r="V538" i="17"/>
  <c r="W538" i="17" s="1"/>
  <c r="U13" i="17"/>
  <c r="Y13" i="17" s="1"/>
  <c r="U225" i="17"/>
  <c r="Y225" i="17" s="1"/>
  <c r="V532" i="17"/>
  <c r="W532" i="17" s="1"/>
  <c r="U158" i="17"/>
  <c r="Y158" i="17" s="1"/>
  <c r="U438" i="17"/>
  <c r="Y438" i="17" s="1"/>
  <c r="U160" i="17"/>
  <c r="Y160" i="17" s="1"/>
  <c r="AC384" i="17"/>
  <c r="AB419" i="17"/>
  <c r="AB600" i="17"/>
  <c r="AC552" i="17"/>
  <c r="AC400" i="17"/>
  <c r="W13" i="27"/>
  <c r="X57" i="27"/>
  <c r="W57" i="27"/>
  <c r="X61" i="27"/>
  <c r="W61" i="27"/>
  <c r="X65" i="27"/>
  <c r="W65" i="27"/>
  <c r="X68" i="27"/>
  <c r="W68" i="27"/>
  <c r="W51" i="27"/>
  <c r="W17" i="27"/>
  <c r="AC592" i="17"/>
  <c r="AC516" i="17"/>
  <c r="AC138" i="17"/>
  <c r="AB36" i="17"/>
  <c r="AB110" i="17"/>
  <c r="AC467" i="17"/>
  <c r="AC45" i="17"/>
  <c r="AC40" i="17"/>
  <c r="AB221" i="17"/>
  <c r="AB151" i="17"/>
  <c r="AB209" i="17"/>
  <c r="AC217" i="17"/>
  <c r="AB435" i="17"/>
  <c r="AB350" i="17"/>
  <c r="AC429" i="17"/>
  <c r="AB402" i="17"/>
  <c r="AB147" i="17"/>
  <c r="AC482" i="17"/>
  <c r="AC355" i="17"/>
  <c r="AC393" i="17"/>
  <c r="AB128" i="17"/>
  <c r="AB196" i="17"/>
  <c r="AC306" i="17"/>
  <c r="AB138" i="17"/>
  <c r="AB217" i="17"/>
  <c r="AB572" i="17"/>
  <c r="AB43" i="17"/>
  <c r="AC423" i="17"/>
  <c r="AB560" i="17"/>
  <c r="AC283" i="17"/>
  <c r="AC19" i="17"/>
  <c r="AC362" i="17"/>
  <c r="AC233" i="17"/>
  <c r="AB79" i="17"/>
  <c r="AB477" i="17"/>
  <c r="AB505" i="17"/>
  <c r="AB401" i="17"/>
  <c r="AC455" i="17"/>
  <c r="AB321" i="17"/>
  <c r="AC224" i="17"/>
  <c r="AB423" i="17"/>
  <c r="AB364" i="17"/>
  <c r="AC342" i="17"/>
  <c r="AB172" i="17"/>
  <c r="AC84" i="17"/>
  <c r="AB225" i="17"/>
  <c r="AC434" i="17"/>
  <c r="AC549" i="17"/>
  <c r="AB407" i="17"/>
  <c r="AB417" i="17"/>
  <c r="AC483" i="17"/>
  <c r="AB208" i="17"/>
  <c r="AB323" i="17"/>
  <c r="AC479" i="17"/>
  <c r="AC98" i="17"/>
  <c r="AB391" i="17"/>
  <c r="AB135" i="17"/>
  <c r="AB478" i="17"/>
  <c r="AC433" i="17"/>
  <c r="AC507" i="17"/>
  <c r="AB584" i="17"/>
  <c r="AB70" i="17"/>
  <c r="AC331" i="17"/>
  <c r="AB465" i="17"/>
  <c r="AB539" i="17"/>
  <c r="AC200" i="17"/>
  <c r="AC275" i="17"/>
  <c r="AB235" i="17"/>
  <c r="AB552" i="17"/>
  <c r="AB304" i="17"/>
  <c r="AB74" i="17"/>
  <c r="AB161" i="17"/>
  <c r="AC49" i="17"/>
  <c r="AB312" i="17"/>
  <c r="AB499" i="17"/>
  <c r="AB277" i="17"/>
  <c r="AC565" i="17"/>
  <c r="AB56" i="17"/>
  <c r="AC62" i="17"/>
  <c r="AC488" i="17"/>
  <c r="AC104" i="17"/>
  <c r="AB579" i="17"/>
  <c r="AB311" i="17"/>
  <c r="AC504" i="17"/>
  <c r="AB40" i="17"/>
  <c r="AC518" i="17"/>
  <c r="AB140" i="17"/>
  <c r="AC99" i="17"/>
  <c r="AB120" i="17"/>
  <c r="AC252" i="17"/>
  <c r="AB122" i="17"/>
  <c r="AC25" i="17"/>
  <c r="AB371" i="17"/>
  <c r="AC230" i="17"/>
  <c r="AB237" i="17"/>
  <c r="AB116" i="17"/>
  <c r="AC103" i="17"/>
  <c r="AB356" i="17"/>
  <c r="AB306" i="17"/>
  <c r="AC178" i="17"/>
  <c r="AC376" i="17"/>
  <c r="AC81" i="17"/>
  <c r="AB555" i="17"/>
  <c r="AC295" i="17"/>
  <c r="AB283" i="17"/>
  <c r="AC130" i="17"/>
  <c r="AC167" i="17"/>
  <c r="AC37" i="17"/>
  <c r="AB95" i="17"/>
  <c r="AB73" i="17"/>
  <c r="AB422" i="17"/>
  <c r="AC354" i="17"/>
  <c r="AC431" i="17"/>
  <c r="AB152" i="17"/>
  <c r="AC156" i="17"/>
  <c r="AC144" i="17"/>
  <c r="AB344" i="17"/>
  <c r="AB191" i="17"/>
  <c r="AC513" i="17"/>
  <c r="AB124" i="17"/>
  <c r="AC561" i="17"/>
  <c r="AB438" i="17"/>
  <c r="AB68" i="17"/>
  <c r="AC302" i="17"/>
  <c r="AB454" i="17"/>
  <c r="AB244" i="17"/>
  <c r="AB179" i="17"/>
  <c r="AC460" i="17"/>
  <c r="AC169" i="17"/>
  <c r="AC127" i="17"/>
  <c r="AB487" i="17"/>
  <c r="AC184" i="17"/>
  <c r="AC57" i="17"/>
  <c r="AC445" i="17"/>
  <c r="AB242" i="17"/>
  <c r="AC80" i="17"/>
  <c r="AC51" i="17"/>
  <c r="AC237" i="17"/>
  <c r="AB567" i="17"/>
  <c r="AB213" i="17"/>
  <c r="AC526" i="17"/>
  <c r="AB355" i="17"/>
  <c r="AB497" i="17"/>
  <c r="AC315" i="17"/>
  <c r="AB500" i="17"/>
  <c r="AB569" i="17"/>
  <c r="AC236" i="17"/>
  <c r="AC441" i="17"/>
  <c r="AB610" i="17"/>
  <c r="AB398" i="17"/>
  <c r="AC44" i="17"/>
  <c r="AC472" i="17"/>
  <c r="AC401" i="17"/>
  <c r="AC196" i="17"/>
  <c r="AC463" i="17"/>
  <c r="AB289" i="17"/>
  <c r="AC484" i="17"/>
  <c r="AB393" i="17"/>
  <c r="AB503" i="17"/>
  <c r="AB86" i="17"/>
  <c r="AB440" i="17"/>
  <c r="AC466" i="17"/>
  <c r="AB348" i="17"/>
  <c r="AC74" i="17"/>
  <c r="AB541" i="17"/>
  <c r="AC235" i="17"/>
  <c r="W235" i="17"/>
  <c r="AB300" i="17"/>
  <c r="AB123" i="17"/>
  <c r="AB314" i="17"/>
  <c r="AB212" i="17"/>
  <c r="AB612" i="17"/>
  <c r="AB381" i="17"/>
  <c r="AB320" i="17"/>
  <c r="AC269" i="17"/>
  <c r="AB494" i="17"/>
  <c r="AC263" i="17"/>
  <c r="AB385" i="17"/>
  <c r="AB333" i="17"/>
  <c r="AC298" i="17"/>
  <c r="AB535" i="17"/>
  <c r="AC500" i="17"/>
  <c r="AB394" i="17"/>
  <c r="AB580" i="17"/>
  <c r="AB252" i="17"/>
  <c r="AC422" i="17"/>
  <c r="AB182" i="17"/>
  <c r="AC459" i="17"/>
  <c r="AC495" i="17"/>
  <c r="AC164" i="17"/>
  <c r="AC214" i="17"/>
  <c r="AC22" i="17"/>
  <c r="AC21" i="17"/>
  <c r="AC361" i="17"/>
  <c r="AB199" i="17"/>
  <c r="AB240" i="17"/>
  <c r="AB295" i="17"/>
  <c r="AB166" i="17"/>
  <c r="AB561" i="17"/>
  <c r="AB315" i="17"/>
  <c r="AC323" i="17"/>
  <c r="AB316" i="17"/>
  <c r="AB265" i="17"/>
  <c r="AC32" i="17"/>
  <c r="AC31" i="17"/>
  <c r="AC135" i="17"/>
  <c r="AB443" i="17"/>
  <c r="AC146" i="17"/>
  <c r="AC314" i="17"/>
  <c r="AB268" i="17"/>
  <c r="AB502" i="17"/>
  <c r="AC93" i="17"/>
  <c r="AC281" i="17"/>
  <c r="AB274" i="17"/>
  <c r="AB573" i="17"/>
  <c r="AB132" i="17"/>
  <c r="AC559" i="17"/>
  <c r="AB433" i="17"/>
  <c r="AC54" i="17"/>
  <c r="AB14" i="17"/>
  <c r="AC345" i="17"/>
  <c r="AC114" i="17"/>
  <c r="AC411" i="17"/>
  <c r="AC346" i="17"/>
  <c r="AC494" i="17"/>
  <c r="AB236" i="17"/>
  <c r="AC570" i="17"/>
  <c r="AB174" i="17"/>
  <c r="AC359" i="17"/>
  <c r="AC102" i="17"/>
  <c r="AB15" i="17"/>
  <c r="AC63" i="17"/>
  <c r="AC250" i="17"/>
  <c r="AC347" i="17"/>
  <c r="AC597" i="17"/>
  <c r="AB338" i="17"/>
  <c r="AB204" i="17"/>
  <c r="AC372" i="17"/>
  <c r="AC512" i="17"/>
  <c r="AC490" i="17"/>
  <c r="AC560" i="17"/>
  <c r="AB49" i="17"/>
  <c r="AC453" i="17"/>
  <c r="AC97" i="17"/>
  <c r="AC344" i="17"/>
  <c r="AB234" i="17"/>
  <c r="AC581" i="17"/>
  <c r="AC189" i="17"/>
  <c r="AC266" i="17"/>
  <c r="AB521" i="17"/>
  <c r="AC497" i="17"/>
  <c r="AC292" i="17"/>
  <c r="AB115" i="17"/>
  <c r="AC75" i="17"/>
  <c r="AB167" i="17"/>
  <c r="AB82" i="17"/>
  <c r="AC335" i="17"/>
  <c r="AC503" i="17"/>
  <c r="AB278" i="17"/>
  <c r="AB352" i="17"/>
  <c r="AC535" i="17"/>
  <c r="AB593" i="17"/>
  <c r="AB330" i="17"/>
  <c r="AC529" i="17"/>
  <c r="AB354" i="17"/>
  <c r="AC605" i="17"/>
  <c r="AB290" i="17"/>
  <c r="W131" i="17"/>
  <c r="AC131" i="17"/>
  <c r="AC26" i="17"/>
  <c r="AB35" i="17"/>
  <c r="AB623" i="17"/>
  <c r="AB102" i="17"/>
  <c r="AC415" i="17"/>
  <c r="AB590" i="17"/>
  <c r="AB267" i="17"/>
  <c r="AB190" i="17"/>
  <c r="AC318" i="17"/>
  <c r="AB472" i="17"/>
  <c r="AC498" i="17"/>
  <c r="AB281" i="17"/>
  <c r="AB256" i="17"/>
  <c r="AB410" i="17"/>
  <c r="AC444" i="17"/>
  <c r="AB144" i="17"/>
  <c r="AB130" i="17"/>
  <c r="AC305" i="17"/>
  <c r="AC137" i="17"/>
  <c r="AC397" i="17"/>
  <c r="AC163" i="17"/>
  <c r="AC34" i="17"/>
  <c r="AC299" i="17"/>
  <c r="AB137" i="17"/>
  <c r="AC68" i="17"/>
  <c r="AB114" i="17"/>
  <c r="AB121" i="17"/>
  <c r="AB455" i="17"/>
  <c r="AC147" i="17"/>
  <c r="AB173" i="17"/>
  <c r="AB159" i="17"/>
  <c r="AC50" i="17"/>
  <c r="AC517" i="17"/>
  <c r="AC312" i="17"/>
  <c r="AC90" i="17"/>
  <c r="AC219" i="17"/>
  <c r="AC264" i="17"/>
  <c r="AC208" i="17"/>
  <c r="AC334" i="17"/>
  <c r="AB90" i="17"/>
  <c r="AB475" i="17"/>
  <c r="AC546" i="17"/>
  <c r="AB366" i="17"/>
  <c r="AC449" i="17"/>
  <c r="AC244" i="17"/>
  <c r="AB517" i="17"/>
  <c r="AC108" i="17"/>
  <c r="AC116" i="17"/>
  <c r="AC489" i="17"/>
  <c r="AC229" i="17"/>
  <c r="AC380" i="17"/>
  <c r="AC276" i="17"/>
  <c r="AC446" i="17"/>
  <c r="AC547" i="17"/>
  <c r="AC418" i="17"/>
  <c r="AC297" i="17"/>
  <c r="AB599" i="17"/>
  <c r="AC257" i="17"/>
  <c r="AC577" i="17"/>
  <c r="AB585" i="17"/>
  <c r="AC438" i="17"/>
  <c r="AB380" i="17"/>
  <c r="AB45" i="17"/>
  <c r="AB387" i="17"/>
  <c r="AC308" i="17"/>
  <c r="AC369" i="17"/>
  <c r="AC607" i="17"/>
  <c r="AC201" i="17"/>
  <c r="AC172" i="17"/>
  <c r="AC419" i="17"/>
  <c r="AB233" i="17"/>
  <c r="AB389" i="17"/>
  <c r="AB38" i="17"/>
  <c r="AC404" i="17"/>
  <c r="AB414" i="17"/>
  <c r="AC96" i="17"/>
  <c r="AB169" i="17"/>
  <c r="AB171" i="17"/>
  <c r="AB526" i="17"/>
  <c r="AB145" i="17"/>
  <c r="AC485" i="17"/>
  <c r="AB586" i="17"/>
  <c r="AB301" i="17"/>
  <c r="AC14" i="17"/>
  <c r="AB568" i="17"/>
  <c r="AB195" i="17"/>
  <c r="AB528" i="17"/>
  <c r="AB470" i="17"/>
  <c r="AB67" i="17"/>
  <c r="AB463" i="17"/>
  <c r="AB27" i="17"/>
  <c r="AC209" i="17"/>
  <c r="AB224" i="17"/>
  <c r="AC574" i="17"/>
  <c r="AB481" i="17"/>
  <c r="AB34" i="17"/>
  <c r="AB197" i="17"/>
  <c r="AC239" i="17"/>
  <c r="AB415" i="17"/>
  <c r="AB546" i="17"/>
  <c r="AB530" i="17"/>
  <c r="AC430" i="17"/>
  <c r="AC358" i="17"/>
  <c r="AB168" i="17"/>
  <c r="AC583" i="17"/>
  <c r="AB146" i="17"/>
  <c r="AB431" i="17"/>
  <c r="AB588" i="17"/>
  <c r="AC440" i="17"/>
  <c r="AC388" i="17"/>
  <c r="AC610" i="17"/>
  <c r="AC540" i="17"/>
  <c r="AC215" i="17"/>
  <c r="AB37" i="17"/>
  <c r="AB523" i="17"/>
  <c r="AC85" i="17"/>
  <c r="AB72" i="17"/>
  <c r="AC248" i="17"/>
  <c r="AB108" i="17"/>
  <c r="AB29" i="17"/>
  <c r="AB441" i="17"/>
  <c r="AC550" i="17"/>
  <c r="AC515" i="17"/>
  <c r="AB571" i="17"/>
  <c r="AC126" i="17"/>
  <c r="AC187" i="17"/>
  <c r="AB493" i="17"/>
  <c r="AC121" i="17"/>
  <c r="AB403" i="17"/>
  <c r="AC109" i="17"/>
  <c r="AC52" i="17"/>
  <c r="AB232" i="17"/>
  <c r="AC204" i="17"/>
  <c r="AC309" i="17"/>
  <c r="AB482" i="17"/>
  <c r="AB218" i="17"/>
  <c r="AC586" i="17"/>
  <c r="AC72" i="17"/>
  <c r="AB279" i="17"/>
  <c r="AB343" i="17"/>
  <c r="AB604" i="17"/>
  <c r="AC78" i="17"/>
  <c r="AB59" i="17"/>
  <c r="AC481" i="17"/>
  <c r="AC88" i="17"/>
  <c r="AC576" i="17"/>
  <c r="AB601" i="17"/>
  <c r="AC611" i="17"/>
  <c r="AB239" i="17"/>
  <c r="AB373" i="17"/>
  <c r="AB388" i="17"/>
  <c r="AB334" i="17"/>
  <c r="AC492" i="17"/>
  <c r="AC509" i="17"/>
  <c r="AB92" i="17"/>
  <c r="AB75" i="17"/>
  <c r="AB400" i="17"/>
  <c r="AB317" i="17"/>
  <c r="AB260" i="17"/>
  <c r="AB395" i="17"/>
  <c r="AB529" i="17"/>
  <c r="AC226" i="17"/>
  <c r="AC197" i="17"/>
  <c r="AB180" i="17"/>
  <c r="AC348" i="17"/>
  <c r="AB508" i="17"/>
  <c r="AB322" i="17"/>
  <c r="AB294" i="17"/>
  <c r="AB359" i="17"/>
  <c r="AC165" i="17"/>
  <c r="AB420" i="17"/>
  <c r="AB248" i="17"/>
  <c r="AB390" i="17"/>
  <c r="AC176" i="17"/>
  <c r="AC159" i="17"/>
  <c r="AC133" i="17"/>
  <c r="AB136" i="17"/>
  <c r="AB284" i="17"/>
  <c r="AB358" i="17"/>
  <c r="AC541" i="17"/>
  <c r="AB512" i="17"/>
  <c r="AC416" i="17"/>
  <c r="AC313" i="17"/>
  <c r="AC179" i="17"/>
  <c r="AB100" i="17"/>
  <c r="AC105" i="17"/>
  <c r="AC324" i="17"/>
  <c r="AB498" i="17"/>
  <c r="AB516" i="17"/>
  <c r="AC125" i="17"/>
  <c r="AC202" i="17"/>
  <c r="AB459" i="17"/>
  <c r="AB349" i="17"/>
  <c r="AB489" i="17"/>
  <c r="AC604" i="17"/>
  <c r="AB198" i="17"/>
  <c r="AB432" i="17"/>
  <c r="AC506" i="17"/>
  <c r="AB598" i="17"/>
  <c r="AB241" i="17"/>
  <c r="AB506" i="17"/>
  <c r="AB303" i="17"/>
  <c r="AC387" i="17"/>
  <c r="AC185" i="17"/>
  <c r="AC128" i="17"/>
  <c r="AC351" i="17"/>
  <c r="AB575" i="17"/>
  <c r="AB126" i="17"/>
  <c r="AB254" i="17"/>
  <c r="AC392" i="17"/>
  <c r="AB412" i="17"/>
  <c r="AB258" i="17"/>
  <c r="AC113" i="17"/>
  <c r="AB447" i="17"/>
  <c r="AB251" i="17"/>
  <c r="AB551" i="17"/>
  <c r="AC193" i="17"/>
  <c r="AC198" i="17"/>
  <c r="AB532" i="17"/>
  <c r="AB64" i="17"/>
  <c r="AB97" i="17"/>
  <c r="AB155" i="17"/>
  <c r="AB20" i="17"/>
  <c r="AC73" i="17"/>
  <c r="AC544" i="17"/>
  <c r="AC571" i="17"/>
  <c r="AB246" i="17"/>
  <c r="AB125" i="17"/>
  <c r="AC218" i="17"/>
  <c r="AB515" i="17"/>
  <c r="AB540" i="17"/>
  <c r="AC391" i="17"/>
  <c r="AC71" i="17"/>
  <c r="AB149" i="17"/>
  <c r="AC223" i="17"/>
  <c r="AB187" i="17"/>
  <c r="AB549" i="17"/>
  <c r="AC216" i="17"/>
  <c r="AC194" i="17"/>
  <c r="AB337" i="17"/>
  <c r="AC456" i="17"/>
  <c r="AB341" i="17"/>
  <c r="AC539" i="17"/>
  <c r="AC556" i="17"/>
  <c r="AC424" i="17"/>
  <c r="AC153" i="17"/>
  <c r="AB536" i="17"/>
  <c r="AC594" i="17"/>
  <c r="AC307" i="17"/>
  <c r="AC188" i="17"/>
  <c r="AC220" i="17"/>
  <c r="AB570" i="17"/>
  <c r="AC585" i="17"/>
  <c r="AB396" i="17"/>
  <c r="AB386" i="17"/>
  <c r="AB272" i="17"/>
  <c r="AC548" i="17"/>
  <c r="AC280" i="17"/>
  <c r="AB603" i="17"/>
  <c r="AC191" i="17"/>
  <c r="AB495" i="17"/>
  <c r="AC186" i="17"/>
  <c r="AC154" i="17"/>
  <c r="AB464" i="17"/>
  <c r="AC468" i="17"/>
  <c r="AC145" i="17"/>
  <c r="AC291" i="17"/>
  <c r="AB331" i="17"/>
  <c r="AB324" i="17"/>
  <c r="AC341" i="17"/>
  <c r="AB429" i="17"/>
  <c r="AC338" i="17"/>
  <c r="AB379" i="17"/>
  <c r="AB98" i="17"/>
  <c r="AB51" i="17"/>
  <c r="AC452" i="17"/>
  <c r="AC520" i="17"/>
  <c r="AC303" i="17"/>
  <c r="AC377" i="17"/>
  <c r="AC475" i="17"/>
  <c r="AC410" i="17"/>
  <c r="AB293" i="17"/>
  <c r="AC525" i="17"/>
  <c r="AC251" i="17"/>
  <c r="AC461" i="17"/>
  <c r="AB360" i="17"/>
  <c r="AB118" i="17"/>
  <c r="AB413" i="17"/>
  <c r="AC47" i="17"/>
  <c r="AC140" i="17"/>
  <c r="AC271" i="17"/>
  <c r="AC282" i="17"/>
  <c r="AC245" i="17"/>
  <c r="AC442" i="17"/>
  <c r="AB105" i="17"/>
  <c r="AB608" i="17"/>
  <c r="AC190" i="17"/>
  <c r="AB205" i="17"/>
  <c r="AC428" i="17"/>
  <c r="AB565" i="17"/>
  <c r="AB89" i="17"/>
  <c r="AB185" i="17"/>
  <c r="AB474" i="17"/>
  <c r="AB554" i="17"/>
  <c r="AB33" i="17"/>
  <c r="AB626" i="17"/>
  <c r="AB559" i="17"/>
  <c r="AC622" i="17"/>
  <c r="AC432" i="17"/>
  <c r="AB259" i="17"/>
  <c r="AB30" i="17"/>
  <c r="AC363" i="17"/>
  <c r="AC349" i="17"/>
  <c r="AC265" i="17"/>
  <c r="AC427" i="17"/>
  <c r="AC234" i="17"/>
  <c r="AB607" i="17"/>
  <c r="AC296" i="17"/>
  <c r="AC17" i="17"/>
  <c r="AB383" i="17"/>
  <c r="AC203" i="17"/>
  <c r="AB308" i="17"/>
  <c r="AB223" i="17"/>
  <c r="AB564" i="17"/>
  <c r="AB409" i="17"/>
  <c r="AC132" i="17"/>
  <c r="AC319" i="17"/>
  <c r="AC557" i="17"/>
  <c r="AC246" i="17"/>
  <c r="AC61" i="17"/>
  <c r="AC158" i="17"/>
  <c r="AB39" i="17"/>
  <c r="AB442" i="17"/>
  <c r="AC493" i="17"/>
  <c r="AB437" i="17"/>
  <c r="AC595" i="17"/>
  <c r="AB468" i="17"/>
  <c r="AC613" i="17"/>
  <c r="AB299" i="17"/>
  <c r="AB483" i="17"/>
  <c r="AB578" i="17"/>
  <c r="AC117" i="17"/>
  <c r="AC399" i="17"/>
  <c r="AC599" i="17"/>
  <c r="AB229" i="17"/>
  <c r="AC542" i="17"/>
  <c r="AB282" i="17"/>
  <c r="AB466" i="17"/>
  <c r="AC437" i="17"/>
  <c r="AB424" i="17"/>
  <c r="AB613" i="17"/>
  <c r="AC590" i="17"/>
  <c r="AB203" i="17"/>
  <c r="AB416" i="17"/>
  <c r="AB490" i="17"/>
  <c r="AB57" i="17"/>
  <c r="AC579" i="17"/>
  <c r="AB148" i="17"/>
  <c r="AC274" i="17"/>
  <c r="AC531" i="17"/>
  <c r="AB46" i="17"/>
  <c r="AB522" i="17"/>
  <c r="AC210" i="17"/>
  <c r="AC591" i="17"/>
  <c r="AC413" i="17"/>
  <c r="AC42" i="17"/>
  <c r="AC221" i="17"/>
  <c r="AB480" i="17"/>
  <c r="AB545" i="17"/>
  <c r="AB553" i="17"/>
  <c r="AB264" i="17"/>
  <c r="AC243" i="17"/>
  <c r="AB80" i="17"/>
  <c r="AC357" i="17"/>
  <c r="AC403" i="17"/>
  <c r="AC365" i="17"/>
  <c r="AB84" i="17"/>
  <c r="AC469" i="17"/>
  <c r="AC474" i="17"/>
  <c r="AC486" i="17"/>
  <c r="AC207" i="17"/>
  <c r="AC79" i="17"/>
  <c r="AB479" i="17"/>
  <c r="AB178" i="17"/>
  <c r="AC566" i="17"/>
  <c r="AB13" i="17"/>
  <c r="AB71" i="17"/>
  <c r="AC92" i="17"/>
  <c r="AB507" i="17"/>
  <c r="AB87" i="17"/>
  <c r="AC247" i="17"/>
  <c r="AB231" i="17"/>
  <c r="AC408" i="17"/>
  <c r="AB446" i="17"/>
  <c r="AB206" i="17"/>
  <c r="AC450" i="17"/>
  <c r="AC278" i="17"/>
  <c r="AC268" i="17"/>
  <c r="AC83" i="17"/>
  <c r="AB421" i="17"/>
  <c r="AB280" i="17"/>
  <c r="AC211" i="17"/>
  <c r="AC373" i="17"/>
  <c r="AC18" i="17"/>
  <c r="AB156" i="17"/>
  <c r="AB220" i="17"/>
  <c r="AB62" i="17"/>
  <c r="AC340" i="17"/>
  <c r="AC232" i="17"/>
  <c r="AC267" i="17"/>
  <c r="AB107" i="17"/>
  <c r="AC543" i="17"/>
  <c r="AB457" i="17"/>
  <c r="AB384" i="17"/>
  <c r="AC606" i="17"/>
  <c r="AB557" i="17"/>
  <c r="AC70" i="17"/>
  <c r="AC505" i="17"/>
  <c r="AB606" i="17"/>
  <c r="AC205" i="17"/>
  <c r="AB582" i="17"/>
  <c r="AB596" i="17"/>
  <c r="AB496" i="17"/>
  <c r="AB558" i="17"/>
  <c r="AB66" i="17"/>
  <c r="AC573" i="17"/>
  <c r="AB226" i="17"/>
  <c r="AC249" i="17"/>
  <c r="AC256" i="17"/>
  <c r="AB524" i="17"/>
  <c r="AB375" i="17"/>
  <c r="AC119" i="17"/>
  <c r="AB275" i="17"/>
  <c r="AB143" i="17"/>
  <c r="AC94" i="17"/>
  <c r="AB192" i="17"/>
  <c r="AC112" i="17"/>
  <c r="AC28" i="17"/>
  <c r="AB238" i="17"/>
  <c r="AC300" i="17"/>
  <c r="AB357" i="17"/>
  <c r="AB452" i="17"/>
  <c r="AC364" i="17"/>
  <c r="AB77" i="17"/>
  <c r="AC473" i="17"/>
  <c r="AC409" i="17"/>
  <c r="AC29" i="17"/>
  <c r="AB514" i="17"/>
  <c r="AC368" i="17"/>
  <c r="AC343" i="17"/>
  <c r="AC170" i="17"/>
  <c r="AC141" i="17"/>
  <c r="AC589" i="17"/>
  <c r="AC286" i="17"/>
  <c r="AB397" i="17"/>
  <c r="AC258" i="17"/>
  <c r="AB16" i="17"/>
  <c r="AC568" i="17"/>
  <c r="AC383" i="17"/>
  <c r="AB589" i="17"/>
  <c r="AB583" i="17"/>
  <c r="AC330" i="17"/>
  <c r="AC462" i="17"/>
  <c r="AC396" i="17"/>
  <c r="AB462" i="17"/>
  <c r="AB448" i="17"/>
  <c r="AC231" i="17"/>
  <c r="AB581" i="17"/>
  <c r="AC41" i="17"/>
  <c r="AB450" i="17"/>
  <c r="AB227" i="17"/>
  <c r="AC173" i="17"/>
  <c r="AB353" i="17"/>
  <c r="AB436" i="17"/>
  <c r="AB142" i="17"/>
  <c r="AB622" i="17"/>
  <c r="AC36" i="17"/>
  <c r="AB370" i="17"/>
  <c r="AC86" i="17"/>
  <c r="AB527" i="17"/>
  <c r="AC352" i="17"/>
  <c r="AC254" i="17"/>
  <c r="AC511" i="17"/>
  <c r="AB346" i="17"/>
  <c r="AB509" i="17"/>
  <c r="AC238" i="17"/>
  <c r="AC33" i="17"/>
  <c r="AC405" i="17"/>
  <c r="AC289" i="17"/>
  <c r="AC160" i="17"/>
  <c r="AB96" i="17"/>
  <c r="AC65" i="17"/>
  <c r="AC15" i="17"/>
  <c r="AB594" i="17"/>
  <c r="AB266" i="17"/>
  <c r="AB434" i="17"/>
  <c r="AB183" i="17"/>
  <c r="AC118" i="17"/>
  <c r="AC199" i="17"/>
  <c r="AB562" i="17"/>
  <c r="AB298" i="17"/>
  <c r="AC555" i="17"/>
  <c r="AC575" i="17"/>
  <c r="AB361" i="17"/>
  <c r="AB53" i="17"/>
  <c r="AC48" i="17"/>
  <c r="AC414" i="17"/>
  <c r="AB22" i="17"/>
  <c r="AC59" i="17"/>
  <c r="AB99" i="17"/>
  <c r="AC134" i="17"/>
  <c r="AB501" i="17"/>
  <c r="AC407" i="17"/>
  <c r="AC55" i="17"/>
  <c r="AB367" i="17"/>
  <c r="AB177" i="17"/>
  <c r="AB188" i="17"/>
  <c r="AB406" i="17"/>
  <c r="AC564" i="17"/>
  <c r="AB318" i="17"/>
  <c r="AB69" i="17"/>
  <c r="AB158" i="17"/>
  <c r="AB518" i="17"/>
  <c r="AB253" i="17"/>
  <c r="AB288" i="17"/>
  <c r="AB207" i="17"/>
  <c r="AB113" i="17"/>
  <c r="AB134" i="17"/>
  <c r="AB520" i="17"/>
  <c r="AC177" i="17"/>
  <c r="AB194" i="17"/>
  <c r="AB28" i="17"/>
  <c r="AB104" i="17"/>
  <c r="AC304" i="17"/>
  <c r="AC360" i="17"/>
  <c r="AB378" i="17"/>
  <c r="AB103" i="17"/>
  <c r="AC95" i="17"/>
  <c r="AB131" i="17"/>
  <c r="AC175" i="17"/>
  <c r="AB453" i="17"/>
  <c r="AB404" i="17"/>
  <c r="AC448" i="17"/>
  <c r="AC553" i="17"/>
  <c r="AC371" i="17"/>
  <c r="AB332" i="17"/>
  <c r="AC420" i="17"/>
  <c r="AC514" i="17"/>
  <c r="AC23" i="17"/>
  <c r="AC143" i="17"/>
  <c r="AC385" i="17"/>
  <c r="AB451" i="17"/>
  <c r="AB276" i="17"/>
  <c r="AB342" i="17"/>
  <c r="AC533" i="17"/>
  <c r="AC530" i="17"/>
  <c r="AB305" i="17"/>
  <c r="AB328" i="17"/>
  <c r="AC64" i="17"/>
  <c r="AC148" i="17"/>
  <c r="AC510" i="17"/>
  <c r="AB245" i="17"/>
  <c r="AB486" i="17"/>
  <c r="AB556" i="17"/>
  <c r="AB519" i="17"/>
  <c r="AB273" i="17"/>
  <c r="AC336" i="17"/>
  <c r="AC476" i="17"/>
  <c r="AC626" i="17"/>
  <c r="AC588" i="17"/>
  <c r="AC534" i="17"/>
  <c r="AB510" i="17"/>
  <c r="AB382" i="17"/>
  <c r="AC356" i="17"/>
  <c r="AB228" i="17"/>
  <c r="AC478" i="17"/>
  <c r="AB170" i="17"/>
  <c r="AC395" i="17"/>
  <c r="AB547" i="17"/>
  <c r="AC465" i="17"/>
  <c r="AB106" i="17"/>
  <c r="AC593" i="17"/>
  <c r="AC326" i="17"/>
  <c r="AB176" i="17"/>
  <c r="AC584" i="17"/>
  <c r="AB296" i="17"/>
  <c r="AB444" i="17"/>
  <c r="AB511" i="17"/>
  <c r="AC600" i="17"/>
  <c r="AC106" i="17"/>
  <c r="AB54" i="17"/>
  <c r="AB61" i="17"/>
  <c r="AC447" i="17"/>
  <c r="AB376" i="17"/>
  <c r="AB504" i="17"/>
  <c r="AC528" i="17"/>
  <c r="AC582" i="17"/>
  <c r="AB285" i="17"/>
  <c r="AB476" i="17"/>
  <c r="AC435" i="17"/>
  <c r="AB117" i="17"/>
  <c r="AC569" i="17"/>
  <c r="AC139" i="17"/>
  <c r="AB60" i="17"/>
  <c r="AB85" i="17"/>
  <c r="AC76" i="17"/>
  <c r="AB17" i="17"/>
  <c r="AC100" i="17"/>
  <c r="AC491" i="17"/>
  <c r="AC30" i="17"/>
  <c r="AC337" i="17"/>
  <c r="AC53" i="17"/>
  <c r="AB201" i="17"/>
  <c r="AB473" i="17"/>
  <c r="AB133" i="17"/>
  <c r="AC27" i="17"/>
  <c r="AB111" i="17"/>
  <c r="AB309" i="17"/>
  <c r="AB184" i="17"/>
  <c r="AB83" i="17"/>
  <c r="AB32" i="17"/>
  <c r="AC225" i="17"/>
  <c r="AC609" i="17"/>
  <c r="AB150" i="17"/>
  <c r="AB154" i="17"/>
  <c r="AB340" i="17"/>
  <c r="AC412" i="17"/>
  <c r="AC285" i="17"/>
  <c r="AC89" i="17"/>
  <c r="AC598" i="17"/>
  <c r="AC120" i="17"/>
  <c r="AC374" i="17"/>
  <c r="AB592" i="17"/>
  <c r="AB112" i="17"/>
  <c r="AC320" i="17"/>
  <c r="AB319" i="17"/>
  <c r="AC458" i="17"/>
  <c r="AB255" i="17"/>
  <c r="AC150" i="17"/>
  <c r="AC241" i="17"/>
  <c r="AC532" i="17"/>
  <c r="AC381" i="17"/>
  <c r="AC322" i="17"/>
  <c r="AB439" i="17"/>
  <c r="AC417" i="17"/>
  <c r="AC522" i="17"/>
  <c r="AB302" i="17"/>
  <c r="AB492" i="17"/>
  <c r="AB291" i="17"/>
  <c r="AC39" i="17"/>
  <c r="AC519" i="17"/>
  <c r="AB78" i="17"/>
  <c r="AC596" i="17"/>
  <c r="AB533" i="17"/>
  <c r="AC317" i="17"/>
  <c r="AC501" i="17"/>
  <c r="AB351" i="17"/>
  <c r="AB325" i="17"/>
  <c r="AB215" i="17"/>
  <c r="AC272" i="17"/>
  <c r="AB491" i="17"/>
  <c r="AC523" i="17"/>
  <c r="AB329" i="17"/>
  <c r="AB418" i="17"/>
  <c r="AC603" i="17"/>
  <c r="AC499" i="17"/>
  <c r="AC545" i="17"/>
  <c r="AC439" i="17"/>
  <c r="AC389" i="17"/>
  <c r="AB18" i="17"/>
  <c r="AB374" i="17"/>
  <c r="AC157" i="17"/>
  <c r="AC66" i="17"/>
  <c r="AB392" i="17"/>
  <c r="AC261" i="17"/>
  <c r="AB230" i="17"/>
  <c r="AB426" i="17"/>
  <c r="AC623" i="17"/>
  <c r="AB327" i="17"/>
  <c r="AC436" i="17"/>
  <c r="AC601" i="17"/>
  <c r="AC228" i="17"/>
  <c r="AB21" i="17"/>
  <c r="AB47" i="17"/>
  <c r="AB595" i="17"/>
  <c r="AB408" i="17"/>
  <c r="AC107" i="17"/>
  <c r="AC43" i="17"/>
  <c r="AC166" i="17"/>
  <c r="AC451" i="17"/>
  <c r="AC578" i="17"/>
  <c r="AB250" i="17"/>
  <c r="AC316" i="17"/>
  <c r="AB101" i="17"/>
  <c r="AB42" i="17"/>
  <c r="AB175" i="17"/>
  <c r="AC454" i="17"/>
  <c r="AC151" i="17"/>
  <c r="AB411" i="17"/>
  <c r="AB91" i="17"/>
  <c r="AB531" i="17"/>
  <c r="AB41" i="17"/>
  <c r="AB513" i="17"/>
  <c r="AB271" i="17"/>
  <c r="AB548" i="17"/>
  <c r="AB362" i="17"/>
  <c r="AC382" i="17"/>
  <c r="AC551" i="17"/>
  <c r="AC155" i="17"/>
  <c r="AC421" i="17"/>
  <c r="AC46" i="17"/>
  <c r="AC259" i="17"/>
  <c r="AB537" i="17"/>
  <c r="AC56" i="17"/>
  <c r="AB427" i="17"/>
  <c r="AC182" i="17"/>
  <c r="AC310" i="17"/>
  <c r="AC279" i="17"/>
  <c r="AB163" i="17"/>
  <c r="AB153" i="17"/>
  <c r="AC67" i="17"/>
  <c r="AB369" i="17"/>
  <c r="AB261" i="17"/>
  <c r="AC171" i="17"/>
  <c r="AC329" i="17"/>
  <c r="AC457" i="17"/>
  <c r="AC332" i="17"/>
  <c r="AB363" i="17"/>
  <c r="AC77" i="17"/>
  <c r="AB460" i="17"/>
  <c r="AB214" i="17"/>
  <c r="AB591" i="17"/>
  <c r="AB26" i="17"/>
  <c r="AC87" i="17"/>
  <c r="AB469" i="17"/>
  <c r="AB164" i="17"/>
  <c r="AB292" i="17"/>
  <c r="AC152" i="17"/>
  <c r="AB189" i="17"/>
  <c r="AC370" i="17"/>
  <c r="AB286" i="17"/>
  <c r="AC471" i="17"/>
  <c r="AB605" i="17"/>
  <c r="AB577" i="17"/>
  <c r="AB574" i="17"/>
  <c r="AB307" i="17"/>
  <c r="AC406" i="17"/>
  <c r="AC367" i="17"/>
  <c r="AB471" i="17"/>
  <c r="AB566" i="17"/>
  <c r="AB368" i="17"/>
  <c r="AF627" i="17"/>
  <c r="AE627" i="17"/>
  <c r="AH578" i="17" l="1"/>
  <c r="AI578" i="17" s="1"/>
  <c r="W30" i="27"/>
  <c r="X59" i="27"/>
  <c r="X78" i="27"/>
  <c r="W79" i="27"/>
  <c r="X64" i="27"/>
  <c r="X45" i="27"/>
  <c r="X53" i="27"/>
  <c r="W77" i="27"/>
  <c r="W72" i="27"/>
  <c r="W27" i="27"/>
  <c r="X69" i="27"/>
  <c r="W28" i="27"/>
  <c r="AH13" i="27"/>
  <c r="AH317" i="17"/>
  <c r="AI317" i="17" s="1"/>
  <c r="AH188" i="17"/>
  <c r="AI188" i="17" s="1"/>
  <c r="X54" i="27"/>
  <c r="X56" i="27"/>
  <c r="X63" i="27"/>
  <c r="W97" i="27"/>
  <c r="B303" i="2" s="1"/>
  <c r="X74" i="27"/>
  <c r="W58" i="27"/>
  <c r="W14" i="27"/>
  <c r="X75" i="27"/>
  <c r="W66" i="27"/>
  <c r="W88" i="27"/>
  <c r="W73" i="27"/>
  <c r="W60" i="27"/>
  <c r="X50" i="27"/>
  <c r="X52" i="27"/>
  <c r="W82" i="27"/>
  <c r="W39" i="27"/>
  <c r="X71" i="27"/>
  <c r="X33" i="27"/>
  <c r="X96" i="27"/>
  <c r="X76" i="27"/>
  <c r="W55" i="27"/>
  <c r="X92" i="27"/>
  <c r="X42" i="27"/>
  <c r="X29" i="27"/>
  <c r="W93" i="27"/>
  <c r="W70" i="27"/>
  <c r="W67" i="27"/>
  <c r="X38" i="27"/>
  <c r="W15" i="27"/>
  <c r="W22" i="27"/>
  <c r="W62" i="27"/>
  <c r="X87" i="27"/>
  <c r="AB22" i="27"/>
  <c r="AA22" i="27"/>
  <c r="AB67" i="27"/>
  <c r="AA67" i="27"/>
  <c r="AB38" i="27"/>
  <c r="AA38" i="27"/>
  <c r="AB54" i="27"/>
  <c r="AA54" i="27"/>
  <c r="AB74" i="27"/>
  <c r="AA74" i="27"/>
  <c r="AA97" i="27"/>
  <c r="AB97" i="27"/>
  <c r="AB15" i="27"/>
  <c r="AA15" i="27"/>
  <c r="AB58" i="27"/>
  <c r="AA58" i="27"/>
  <c r="AB63" i="27"/>
  <c r="AA63" i="27"/>
  <c r="AB56" i="27"/>
  <c r="AA56" i="27"/>
  <c r="AA77" i="27"/>
  <c r="AB77" i="27"/>
  <c r="AA53" i="27"/>
  <c r="AB53" i="27"/>
  <c r="AB27" i="27"/>
  <c r="AA27" i="27"/>
  <c r="AB59" i="27"/>
  <c r="AA59" i="27"/>
  <c r="AA45" i="27"/>
  <c r="AB45" i="27"/>
  <c r="AB78" i="27"/>
  <c r="AA78" i="27"/>
  <c r="AA69" i="27"/>
  <c r="AB69" i="27"/>
  <c r="AB30" i="27"/>
  <c r="AA30" i="27"/>
  <c r="AB28" i="27"/>
  <c r="AA28" i="27"/>
  <c r="AB64" i="27"/>
  <c r="AA64" i="27"/>
  <c r="AB72" i="27"/>
  <c r="AA72" i="27"/>
  <c r="AB79" i="27"/>
  <c r="AA79" i="27"/>
  <c r="AB13" i="27"/>
  <c r="AA13" i="27"/>
  <c r="AB87" i="27"/>
  <c r="AA87" i="27"/>
  <c r="AB62" i="27"/>
  <c r="AA62" i="27"/>
  <c r="AB82" i="27"/>
  <c r="AA82" i="27"/>
  <c r="AA73" i="27"/>
  <c r="AB73" i="27"/>
  <c r="AB50" i="27"/>
  <c r="AA50" i="27"/>
  <c r="AB42" i="27"/>
  <c r="AA42" i="27"/>
  <c r="AB14" i="27"/>
  <c r="AA14" i="27"/>
  <c r="AA33" i="27"/>
  <c r="AB33" i="27"/>
  <c r="AB71" i="27"/>
  <c r="AA71" i="27"/>
  <c r="AB52" i="27"/>
  <c r="AA52" i="27"/>
  <c r="AB75" i="27"/>
  <c r="AA75" i="27"/>
  <c r="AB70" i="27"/>
  <c r="AA70" i="27"/>
  <c r="AB39" i="27"/>
  <c r="AA39" i="27"/>
  <c r="AA93" i="27"/>
  <c r="AB93" i="27"/>
  <c r="AB88" i="27"/>
  <c r="AA88" i="27"/>
  <c r="AB76" i="27"/>
  <c r="AA76" i="27"/>
  <c r="AB92" i="27"/>
  <c r="AA92" i="27"/>
  <c r="AB66" i="27"/>
  <c r="AA66" i="27"/>
  <c r="AB60" i="27"/>
  <c r="AA60" i="27"/>
  <c r="AA29" i="27"/>
  <c r="AB29" i="27"/>
  <c r="AB55" i="27"/>
  <c r="AA55" i="27"/>
  <c r="AB96" i="27"/>
  <c r="AA96" i="27"/>
  <c r="AH229" i="17"/>
  <c r="AI229" i="17" s="1"/>
  <c r="AH396" i="17"/>
  <c r="AI396" i="17" s="1"/>
  <c r="AH279" i="17"/>
  <c r="AI279" i="17" s="1"/>
  <c r="AH383" i="17"/>
  <c r="AI383" i="17" s="1"/>
  <c r="AB625" i="17"/>
  <c r="AC625" i="17"/>
  <c r="Y280" i="17"/>
  <c r="U625" i="17"/>
  <c r="D635" i="17" s="1"/>
  <c r="AE625" i="17"/>
  <c r="E635" i="17" s="1"/>
  <c r="AH584" i="17"/>
  <c r="AI584" i="17" s="1"/>
  <c r="V625" i="17"/>
  <c r="W625" i="17" s="1"/>
  <c r="AH21" i="17"/>
  <c r="AI21" i="17" s="1"/>
  <c r="AH134" i="17"/>
  <c r="AI134" i="17" s="1"/>
  <c r="AH491" i="17"/>
  <c r="AI491" i="17" s="1"/>
  <c r="V624" i="17"/>
  <c r="W624" i="17" s="1"/>
  <c r="Y584" i="17"/>
  <c r="AH387" i="17"/>
  <c r="AI387" i="17" s="1"/>
  <c r="AH292" i="17"/>
  <c r="AI292" i="17" s="1"/>
  <c r="Y396" i="17"/>
  <c r="AH129" i="17"/>
  <c r="AI129" i="17" s="1"/>
  <c r="U624" i="17"/>
  <c r="D634" i="17" s="1"/>
  <c r="AH583" i="17"/>
  <c r="AI583" i="17" s="1"/>
  <c r="AH116" i="17"/>
  <c r="AI116" i="17" s="1"/>
  <c r="AH561" i="17"/>
  <c r="AI561" i="17" s="1"/>
  <c r="AH306" i="17"/>
  <c r="AI306" i="17" s="1"/>
  <c r="AH86" i="17"/>
  <c r="AI86" i="17" s="1"/>
  <c r="AH183" i="17"/>
  <c r="AI183" i="17" s="1"/>
  <c r="AH91" i="17"/>
  <c r="AI91" i="17" s="1"/>
  <c r="Y134" i="17"/>
  <c r="AC624" i="17"/>
  <c r="AH468" i="17"/>
  <c r="AI468" i="17" s="1"/>
  <c r="AB624" i="17"/>
  <c r="AH252" i="17"/>
  <c r="AI252" i="17" s="1"/>
  <c r="AH422" i="17"/>
  <c r="AI422" i="17" s="1"/>
  <c r="AE624" i="17"/>
  <c r="E634" i="17" s="1"/>
  <c r="AH535" i="17"/>
  <c r="AI535" i="17" s="1"/>
  <c r="AH208" i="17"/>
  <c r="AI208" i="17" s="1"/>
  <c r="AH110" i="17"/>
  <c r="AI110" i="17" s="1"/>
  <c r="AF624" i="17"/>
  <c r="Y318" i="17"/>
  <c r="AH318" i="17"/>
  <c r="AI318" i="17" s="1"/>
  <c r="AH298" i="17"/>
  <c r="AI298" i="17" s="1"/>
  <c r="Y492" i="17"/>
  <c r="AH406" i="17"/>
  <c r="AI406" i="17" s="1"/>
  <c r="AH513" i="17"/>
  <c r="AI513" i="17" s="1"/>
  <c r="Y368" i="17"/>
  <c r="AH368" i="17"/>
  <c r="AI368" i="17" s="1"/>
  <c r="AH465" i="17"/>
  <c r="AI465" i="17" s="1"/>
  <c r="AH417" i="17"/>
  <c r="AI417" i="17" s="1"/>
  <c r="AH603" i="17"/>
  <c r="AI603" i="17" s="1"/>
  <c r="AH490" i="17"/>
  <c r="AI490" i="17" s="1"/>
  <c r="AH373" i="17"/>
  <c r="AI373" i="17" s="1"/>
  <c r="AH613" i="17"/>
  <c r="AI613" i="17" s="1"/>
  <c r="AH220" i="17"/>
  <c r="AI220" i="17" s="1"/>
  <c r="AH111" i="17"/>
  <c r="AI111" i="17" s="1"/>
  <c r="AH40" i="17"/>
  <c r="AI40" i="17" s="1"/>
  <c r="AH438" i="17"/>
  <c r="AI438" i="17" s="1"/>
  <c r="AH291" i="17"/>
  <c r="AI291" i="17" s="1"/>
  <c r="AH182" i="17"/>
  <c r="AI182" i="17" s="1"/>
  <c r="AH477" i="17"/>
  <c r="AI477" i="17" s="1"/>
  <c r="Y129" i="17"/>
  <c r="AH591" i="17"/>
  <c r="AI591" i="17" s="1"/>
  <c r="AH78" i="17"/>
  <c r="AI78" i="17" s="1"/>
  <c r="AH153" i="17"/>
  <c r="AI153" i="17" s="1"/>
  <c r="AH604" i="17"/>
  <c r="AI604" i="17" s="1"/>
  <c r="AH152" i="17"/>
  <c r="AI152" i="17" s="1"/>
  <c r="AH434" i="17"/>
  <c r="AI434" i="17" s="1"/>
  <c r="AH386" i="17"/>
  <c r="AI386" i="17" s="1"/>
  <c r="AH171" i="17"/>
  <c r="AI171" i="17" s="1"/>
  <c r="AH391" i="17"/>
  <c r="AI391" i="17" s="1"/>
  <c r="AH260" i="17"/>
  <c r="AI260" i="17" s="1"/>
  <c r="AH282" i="17"/>
  <c r="AI282" i="17" s="1"/>
  <c r="AH77" i="17"/>
  <c r="AI77" i="17" s="1"/>
  <c r="AH407" i="17"/>
  <c r="AI407" i="17" s="1"/>
  <c r="AH38" i="17"/>
  <c r="AI38" i="17" s="1"/>
  <c r="AH400" i="17"/>
  <c r="AI400" i="17" s="1"/>
  <c r="AH239" i="17"/>
  <c r="AI239" i="17" s="1"/>
  <c r="AH311" i="17"/>
  <c r="AI311" i="17" s="1"/>
  <c r="AH70" i="17"/>
  <c r="AI70" i="17" s="1"/>
  <c r="AH385" i="17"/>
  <c r="AI385" i="17" s="1"/>
  <c r="AH69" i="17"/>
  <c r="AI69" i="17" s="1"/>
  <c r="AH206" i="17"/>
  <c r="AI206" i="17" s="1"/>
  <c r="AH207" i="17"/>
  <c r="AI207" i="17" s="1"/>
  <c r="AH416" i="17"/>
  <c r="AI416" i="17" s="1"/>
  <c r="AH98" i="17"/>
  <c r="AI98" i="17" s="1"/>
  <c r="AH356" i="17"/>
  <c r="AI356" i="17" s="1"/>
  <c r="AH401" i="17"/>
  <c r="AI401" i="17" s="1"/>
  <c r="AH350" i="17"/>
  <c r="AI350" i="17" s="1"/>
  <c r="AH238" i="17"/>
  <c r="AI238" i="17" s="1"/>
  <c r="AH163" i="17"/>
  <c r="AI163" i="17" s="1"/>
  <c r="AH536" i="17"/>
  <c r="AI536" i="17" s="1"/>
  <c r="AH384" i="17"/>
  <c r="AI384" i="17" s="1"/>
  <c r="AH594" i="17"/>
  <c r="AI594" i="17" s="1"/>
  <c r="AH39" i="17"/>
  <c r="AI39" i="17" s="1"/>
  <c r="AH343" i="17"/>
  <c r="AI343" i="17" s="1"/>
  <c r="AH73" i="17"/>
  <c r="AI73" i="17" s="1"/>
  <c r="AH151" i="17"/>
  <c r="AI151" i="17" s="1"/>
  <c r="AH426" i="17"/>
  <c r="AI426" i="17" s="1"/>
  <c r="AH423" i="17"/>
  <c r="AI423" i="17" s="1"/>
  <c r="AH150" i="17"/>
  <c r="AI150" i="17" s="1"/>
  <c r="AH237" i="17"/>
  <c r="AI237" i="17" s="1"/>
  <c r="AH133" i="17"/>
  <c r="AI133" i="17" s="1"/>
  <c r="AH379" i="17"/>
  <c r="AI379" i="17" s="1"/>
  <c r="AH74" i="17"/>
  <c r="AI74" i="17" s="1"/>
  <c r="AH230" i="17"/>
  <c r="AI230" i="17" s="1"/>
  <c r="AH42" i="17"/>
  <c r="AI42" i="17" s="1"/>
  <c r="AH41" i="17"/>
  <c r="AI41" i="17" s="1"/>
  <c r="AH577" i="17"/>
  <c r="AI577" i="17" s="1"/>
  <c r="Y230" i="17"/>
  <c r="AH421" i="17"/>
  <c r="AI421" i="17" s="1"/>
  <c r="AH388" i="17"/>
  <c r="AI388" i="17" s="1"/>
  <c r="AH112" i="17"/>
  <c r="AI112" i="17" s="1"/>
  <c r="AH437" i="17"/>
  <c r="AI437" i="17" s="1"/>
  <c r="AH68" i="17"/>
  <c r="AI68" i="17" s="1"/>
  <c r="Y427" i="17"/>
  <c r="Y417" i="17"/>
  <c r="Y209" i="17"/>
  <c r="Y535" i="17"/>
  <c r="Y298" i="17"/>
  <c r="Y69" i="17"/>
  <c r="Y579" i="17"/>
  <c r="Y583" i="17"/>
  <c r="Y87" i="17"/>
  <c r="Y188" i="17"/>
  <c r="AH363" i="17"/>
  <c r="AI363" i="17" s="1"/>
  <c r="AH214" i="17"/>
  <c r="AI214" i="17" s="1"/>
  <c r="Y184" i="17"/>
  <c r="Y423" i="17"/>
  <c r="Y306" i="17"/>
  <c r="Y21" i="17"/>
  <c r="Y562" i="17"/>
  <c r="AI367" i="17"/>
  <c r="AH560" i="17"/>
  <c r="AI560" i="17" s="1"/>
  <c r="AH333" i="17"/>
  <c r="AI333" i="17" s="1"/>
  <c r="AH271" i="17"/>
  <c r="AI271" i="17" s="1"/>
  <c r="AH579" i="17"/>
  <c r="AI579" i="17" s="1"/>
  <c r="AH362" i="17"/>
  <c r="AI362" i="17" s="1"/>
  <c r="AH361" i="17"/>
  <c r="AI361" i="17" s="1"/>
  <c r="AH537" i="17"/>
  <c r="AI537" i="17" s="1"/>
  <c r="Y86" i="17"/>
  <c r="AH344" i="17"/>
  <c r="AI344" i="17" s="1"/>
  <c r="AH128" i="17"/>
  <c r="AI128" i="17" s="1"/>
  <c r="AH297" i="17"/>
  <c r="AI297" i="17" s="1"/>
  <c r="AH62" i="17"/>
  <c r="AI62" i="17" s="1"/>
  <c r="AH533" i="17"/>
  <c r="AI533" i="17" s="1"/>
  <c r="AH520" i="17"/>
  <c r="AI520" i="17" s="1"/>
  <c r="AH35" i="17"/>
  <c r="AI35" i="17" s="1"/>
  <c r="AH93" i="17"/>
  <c r="AI93" i="17" s="1"/>
  <c r="AH199" i="17"/>
  <c r="AI199" i="17" s="1"/>
  <c r="AH175" i="17"/>
  <c r="AI175" i="17" s="1"/>
  <c r="AH534" i="17"/>
  <c r="AI534" i="17" s="1"/>
  <c r="AH200" i="17"/>
  <c r="AI200" i="17" s="1"/>
  <c r="AH190" i="17"/>
  <c r="AI190" i="17" s="1"/>
  <c r="AH270" i="17"/>
  <c r="AI270" i="17" s="1"/>
  <c r="AH82" i="17"/>
  <c r="AI82" i="17" s="1"/>
  <c r="AH538" i="17"/>
  <c r="AI538" i="17" s="1"/>
  <c r="AH302" i="17"/>
  <c r="AI302" i="17" s="1"/>
  <c r="AH355" i="17"/>
  <c r="AI355" i="17" s="1"/>
  <c r="AH52" i="17"/>
  <c r="AI52" i="17" s="1"/>
  <c r="AH219" i="17"/>
  <c r="AI219" i="17" s="1"/>
  <c r="AH334" i="17"/>
  <c r="AI334" i="17" s="1"/>
  <c r="AH137" i="17"/>
  <c r="AI137" i="17" s="1"/>
  <c r="AH325" i="17"/>
  <c r="AI325" i="17" s="1"/>
  <c r="AH360" i="17"/>
  <c r="AI360" i="17" s="1"/>
  <c r="AH283" i="17"/>
  <c r="AI283" i="17" s="1"/>
  <c r="AH63" i="17"/>
  <c r="AI63" i="17" s="1"/>
  <c r="AH326" i="17"/>
  <c r="AI326" i="17" s="1"/>
  <c r="AH576" i="17"/>
  <c r="AI576" i="17" s="1"/>
  <c r="AH593" i="17"/>
  <c r="AI593" i="17" s="1"/>
  <c r="AH592" i="17"/>
  <c r="AI592" i="17" s="1"/>
  <c r="AH316" i="17"/>
  <c r="AI316" i="17" s="1"/>
  <c r="AH101" i="17"/>
  <c r="AI101" i="17" s="1"/>
  <c r="AH90" i="17"/>
  <c r="AI90" i="17" s="1"/>
  <c r="AH410" i="17"/>
  <c r="AI410" i="17" s="1"/>
  <c r="AH294" i="17"/>
  <c r="AI294" i="17" s="1"/>
  <c r="AH413" i="17"/>
  <c r="AI413" i="17" s="1"/>
  <c r="AH234" i="17"/>
  <c r="AI234" i="17" s="1"/>
  <c r="AH58" i="17"/>
  <c r="AI58" i="17" s="1"/>
  <c r="AH233" i="17"/>
  <c r="AI233" i="17" s="1"/>
  <c r="AH459" i="17"/>
  <c r="AI459" i="17" s="1"/>
  <c r="AH590" i="17"/>
  <c r="AI590" i="17" s="1"/>
  <c r="AH405" i="17"/>
  <c r="AI405" i="17" s="1"/>
  <c r="AH92" i="17"/>
  <c r="AI92" i="17" s="1"/>
  <c r="AH453" i="17"/>
  <c r="AI453" i="17" s="1"/>
  <c r="AH259" i="17"/>
  <c r="AI259" i="17" s="1"/>
  <c r="AH132" i="17"/>
  <c r="AI132" i="17" s="1"/>
  <c r="AH482" i="17"/>
  <c r="AI482" i="17" s="1"/>
  <c r="AH457" i="17"/>
  <c r="AI457" i="17" s="1"/>
  <c r="AH146" i="17"/>
  <c r="AI146" i="17" s="1"/>
  <c r="AH135" i="17"/>
  <c r="AI135" i="17" s="1"/>
  <c r="AH266" i="17"/>
  <c r="AI266" i="17" s="1"/>
  <c r="AH99" i="17"/>
  <c r="AI99" i="17" s="1"/>
  <c r="AH205" i="17"/>
  <c r="AI205" i="17" s="1"/>
  <c r="AH213" i="17"/>
  <c r="AI213" i="17" s="1"/>
  <c r="AH469" i="17"/>
  <c r="AI469" i="17" s="1"/>
  <c r="AH397" i="17"/>
  <c r="AI397" i="17" s="1"/>
  <c r="AH156" i="17"/>
  <c r="AI156" i="17" s="1"/>
  <c r="AH569" i="17"/>
  <c r="AI569" i="17" s="1"/>
  <c r="AH288" i="17"/>
  <c r="AI288" i="17" s="1"/>
  <c r="AH122" i="17"/>
  <c r="AI122" i="17" s="1"/>
  <c r="AH145" i="17"/>
  <c r="AI145" i="17" s="1"/>
  <c r="AH470" i="17"/>
  <c r="AI470" i="17" s="1"/>
  <c r="AH37" i="17"/>
  <c r="AI37" i="17" s="1"/>
  <c r="AH585" i="17"/>
  <c r="AI585" i="17" s="1"/>
  <c r="AH464" i="17"/>
  <c r="AI464" i="17" s="1"/>
  <c r="AH393" i="17"/>
  <c r="AI393" i="17" s="1"/>
  <c r="AH211" i="17"/>
  <c r="AI211" i="17" s="1"/>
  <c r="AH501" i="17"/>
  <c r="AI501" i="17" s="1"/>
  <c r="AH380" i="17"/>
  <c r="AI380" i="17" s="1"/>
  <c r="AH309" i="17"/>
  <c r="AI309" i="17" s="1"/>
  <c r="AH512" i="17"/>
  <c r="AI512" i="17" s="1"/>
  <c r="AH241" i="17"/>
  <c r="AI241" i="17" s="1"/>
  <c r="AH123" i="17"/>
  <c r="AI123" i="17" s="1"/>
  <c r="AH540" i="17"/>
  <c r="AI540" i="17" s="1"/>
  <c r="AH448" i="17"/>
  <c r="AI448" i="17" s="1"/>
  <c r="AH500" i="17"/>
  <c r="AI500" i="17" s="1"/>
  <c r="AH499" i="17"/>
  <c r="AI499" i="17" s="1"/>
  <c r="AH483" i="17"/>
  <c r="AI483" i="17" s="1"/>
  <c r="Y130" i="17"/>
  <c r="AH597" i="17"/>
  <c r="AI597" i="17" s="1"/>
  <c r="AH166" i="17"/>
  <c r="AI166" i="17" s="1"/>
  <c r="AH442" i="17"/>
  <c r="AI442" i="17" s="1"/>
  <c r="AH67" i="17"/>
  <c r="AI67" i="17" s="1"/>
  <c r="AH411" i="17"/>
  <c r="AI411" i="17" s="1"/>
  <c r="AH329" i="17"/>
  <c r="AI329" i="17" s="1"/>
  <c r="AH255" i="17"/>
  <c r="AI255" i="17" s="1"/>
  <c r="AH289" i="17"/>
  <c r="AI289" i="17" s="1"/>
  <c r="AH484" i="17"/>
  <c r="AI484" i="17" s="1"/>
  <c r="AH607" i="17"/>
  <c r="AI607" i="17" s="1"/>
  <c r="AH26" i="17"/>
  <c r="AI26" i="17" s="1"/>
  <c r="AH203" i="17"/>
  <c r="AI203" i="17" s="1"/>
  <c r="AH348" i="17"/>
  <c r="AI348" i="17" s="1"/>
  <c r="AH253" i="17"/>
  <c r="AI253" i="17" s="1"/>
  <c r="AH97" i="17"/>
  <c r="AI97" i="17" s="1"/>
  <c r="AH55" i="17"/>
  <c r="AI55" i="17" s="1"/>
  <c r="AH515" i="17"/>
  <c r="AI515" i="17" s="1"/>
  <c r="AH265" i="17"/>
  <c r="AI265" i="17" s="1"/>
  <c r="AH278" i="17"/>
  <c r="AI278" i="17" s="1"/>
  <c r="AH277" i="17"/>
  <c r="AI277" i="17" s="1"/>
  <c r="AH354" i="17"/>
  <c r="AI354" i="17" s="1"/>
  <c r="AH15" i="17"/>
  <c r="AI15" i="17" s="1"/>
  <c r="AH158" i="17"/>
  <c r="AI158" i="17" s="1"/>
  <c r="AH290" i="17"/>
  <c r="AI290" i="17" s="1"/>
  <c r="AH319" i="17"/>
  <c r="AI319" i="17" s="1"/>
  <c r="AH109" i="17"/>
  <c r="AI109" i="17" s="1"/>
  <c r="AH193" i="17"/>
  <c r="AI193" i="17" s="1"/>
  <c r="AH235" i="17"/>
  <c r="AI235" i="17" s="1"/>
  <c r="AH115" i="17"/>
  <c r="AI115" i="17" s="1"/>
  <c r="AH120" i="17"/>
  <c r="AI120" i="17" s="1"/>
  <c r="AH528" i="17"/>
  <c r="AI528" i="17" s="1"/>
  <c r="AH61" i="17"/>
  <c r="AI61" i="17" s="1"/>
  <c r="AH460" i="17"/>
  <c r="AI460" i="17" s="1"/>
  <c r="AH548" i="17"/>
  <c r="AI548" i="17" s="1"/>
  <c r="AH121" i="17"/>
  <c r="AI121" i="17" s="1"/>
  <c r="AH286" i="17"/>
  <c r="AI286" i="17" s="1"/>
  <c r="AH566" i="17"/>
  <c r="AI566" i="17" s="1"/>
  <c r="AH439" i="17"/>
  <c r="AI439" i="17" s="1"/>
  <c r="AH71" i="17"/>
  <c r="AI71" i="17" s="1"/>
  <c r="AH307" i="17"/>
  <c r="AI307" i="17" s="1"/>
  <c r="AH299" i="17"/>
  <c r="AI299" i="17" s="1"/>
  <c r="AH609" i="17"/>
  <c r="AI609" i="17" s="1"/>
  <c r="AH162" i="17"/>
  <c r="AI162" i="17" s="1"/>
  <c r="AH320" i="17"/>
  <c r="AI320" i="17" s="1"/>
  <c r="AH487" i="17"/>
  <c r="AI487" i="17" s="1"/>
  <c r="AH516" i="17"/>
  <c r="AI516" i="17" s="1"/>
  <c r="AH359" i="17"/>
  <c r="AI359" i="17" s="1"/>
  <c r="AH20" i="17"/>
  <c r="AI20" i="17" s="1"/>
  <c r="AH186" i="17"/>
  <c r="AI186" i="17" s="1"/>
  <c r="AH59" i="17"/>
  <c r="AI59" i="17" s="1"/>
  <c r="AH357" i="17"/>
  <c r="AI357" i="17" s="1"/>
  <c r="AH107" i="17"/>
  <c r="AI107" i="17" s="1"/>
  <c r="AH184" i="17"/>
  <c r="AI184" i="17" s="1"/>
  <c r="AH66" i="17"/>
  <c r="AI66" i="17" s="1"/>
  <c r="AH300" i="17"/>
  <c r="AI300" i="17" s="1"/>
  <c r="AH284" i="17"/>
  <c r="AI284" i="17" s="1"/>
  <c r="AH508" i="17"/>
  <c r="AI508" i="17" s="1"/>
  <c r="AH554" i="17"/>
  <c r="AI554" i="17" s="1"/>
  <c r="AH412" i="17"/>
  <c r="AI412" i="17" s="1"/>
  <c r="AH375" i="17"/>
  <c r="AI375" i="17" s="1"/>
  <c r="AH293" i="17"/>
  <c r="AI293" i="17" s="1"/>
  <c r="AH441" i="17"/>
  <c r="AI441" i="17" s="1"/>
  <c r="AH440" i="17"/>
  <c r="AI440" i="17" s="1"/>
  <c r="AH494" i="17"/>
  <c r="AI494" i="17" s="1"/>
  <c r="AH49" i="17"/>
  <c r="AI49" i="17" s="1"/>
  <c r="AH308" i="17"/>
  <c r="AI308" i="17" s="1"/>
  <c r="AH225" i="17"/>
  <c r="AI225" i="17" s="1"/>
  <c r="AH436" i="17"/>
  <c r="AI436" i="17" s="1"/>
  <c r="AH351" i="17"/>
  <c r="AI351" i="17" s="1"/>
  <c r="AH224" i="17"/>
  <c r="AI224" i="17" s="1"/>
  <c r="AH418" i="17"/>
  <c r="AI418" i="17" s="1"/>
  <c r="AH415" i="17"/>
  <c r="AI415" i="17" s="1"/>
  <c r="AH565" i="17"/>
  <c r="AI565" i="17" s="1"/>
  <c r="AH574" i="17"/>
  <c r="AI574" i="17" s="1"/>
  <c r="AH496" i="17"/>
  <c r="AI496" i="17" s="1"/>
  <c r="AH563" i="17"/>
  <c r="AI563" i="17" s="1"/>
  <c r="AH251" i="17"/>
  <c r="AI251" i="17" s="1"/>
  <c r="AH57" i="17"/>
  <c r="AI57" i="17" s="1"/>
  <c r="AH139" i="17"/>
  <c r="AI139" i="17" s="1"/>
  <c r="AH349" i="17"/>
  <c r="AI349" i="17" s="1"/>
  <c r="AH72" i="17"/>
  <c r="AI72" i="17" s="1"/>
  <c r="AH539" i="17"/>
  <c r="AI539" i="17" s="1"/>
  <c r="AH567" i="17"/>
  <c r="AI567" i="17" s="1"/>
  <c r="AH419" i="17"/>
  <c r="AI419" i="17" s="1"/>
  <c r="AH555" i="17"/>
  <c r="AI555" i="17" s="1"/>
  <c r="AH147" i="17"/>
  <c r="AI147" i="17" s="1"/>
  <c r="Y293" i="17"/>
  <c r="AH340" i="17"/>
  <c r="AI340" i="17" s="1"/>
  <c r="AH517" i="17"/>
  <c r="AI517" i="17" s="1"/>
  <c r="AH389" i="17"/>
  <c r="AI389" i="17" s="1"/>
  <c r="AH337" i="17"/>
  <c r="AI337" i="17" s="1"/>
  <c r="AH148" i="17"/>
  <c r="AI148" i="17" s="1"/>
  <c r="AH94" i="17"/>
  <c r="AI94" i="17" s="1"/>
  <c r="AH323" i="17"/>
  <c r="AI323" i="17" s="1"/>
  <c r="AH287" i="17"/>
  <c r="AI287" i="17" s="1"/>
  <c r="AH23" i="17"/>
  <c r="AI23" i="17" s="1"/>
  <c r="AH130" i="17"/>
  <c r="AI130" i="17" s="1"/>
  <c r="AH185" i="17"/>
  <c r="AI185" i="17" s="1"/>
  <c r="AH174" i="17"/>
  <c r="AI174" i="17" s="1"/>
  <c r="AH187" i="17"/>
  <c r="AI187" i="17" s="1"/>
  <c r="AH196" i="17"/>
  <c r="AI196" i="17" s="1"/>
  <c r="AH345" i="17"/>
  <c r="AI345" i="17" s="1"/>
  <c r="AH370" i="17"/>
  <c r="AI370" i="17" s="1"/>
  <c r="AH564" i="17"/>
  <c r="AI564" i="17" s="1"/>
  <c r="AH575" i="17"/>
  <c r="AI575" i="17" s="1"/>
  <c r="AH433" i="17"/>
  <c r="AI433" i="17" s="1"/>
  <c r="AH530" i="17"/>
  <c r="AI530" i="17" s="1"/>
  <c r="AH435" i="17"/>
  <c r="AI435" i="17" s="1"/>
  <c r="AH189" i="17"/>
  <c r="AI189" i="17" s="1"/>
  <c r="AH589" i="17"/>
  <c r="AI589" i="17" s="1"/>
  <c r="AH173" i="17"/>
  <c r="AI173" i="17" s="1"/>
  <c r="AH13" i="17"/>
  <c r="AI13" i="17" s="1"/>
  <c r="AH481" i="17"/>
  <c r="AI481" i="17" s="1"/>
  <c r="AH402" i="17"/>
  <c r="AI402" i="17" s="1"/>
  <c r="AH599" i="17"/>
  <c r="AI599" i="17" s="1"/>
  <c r="AH495" i="17"/>
  <c r="AI495" i="17" s="1"/>
  <c r="AH314" i="17"/>
  <c r="AI314" i="17" s="1"/>
  <c r="AH258" i="17"/>
  <c r="AI258" i="17" s="1"/>
  <c r="AH431" i="17"/>
  <c r="AI431" i="17" s="1"/>
  <c r="AH472" i="17"/>
  <c r="AI472" i="17" s="1"/>
  <c r="AH280" i="17"/>
  <c r="AI280" i="17" s="1"/>
  <c r="AH274" i="17"/>
  <c r="AI274" i="17" s="1"/>
  <c r="AH471" i="17"/>
  <c r="AI471" i="17" s="1"/>
  <c r="AH369" i="17"/>
  <c r="AI369" i="17" s="1"/>
  <c r="AH527" i="17"/>
  <c r="AI527" i="17" s="1"/>
  <c r="AH454" i="17"/>
  <c r="AI454" i="17" s="1"/>
  <c r="AH315" i="17"/>
  <c r="AI315" i="17" s="1"/>
  <c r="AH429" i="17"/>
  <c r="AI429" i="17" s="1"/>
  <c r="AH17" i="17"/>
  <c r="AI17" i="17" s="1"/>
  <c r="AH414" i="17"/>
  <c r="AI414" i="17" s="1"/>
  <c r="AH324" i="17"/>
  <c r="AI324" i="17" s="1"/>
  <c r="AH392" i="17"/>
  <c r="AI392" i="17" s="1"/>
  <c r="AH149" i="17"/>
  <c r="AI149" i="17" s="1"/>
  <c r="AH124" i="17"/>
  <c r="AI124" i="17" s="1"/>
  <c r="AH24" i="17"/>
  <c r="AI24" i="17" s="1"/>
  <c r="AH404" i="17"/>
  <c r="AI404" i="17" s="1"/>
  <c r="AH598" i="17"/>
  <c r="AI598" i="17" s="1"/>
  <c r="AH612" i="17"/>
  <c r="AI612" i="17" s="1"/>
  <c r="AH498" i="17"/>
  <c r="AI498" i="17" s="1"/>
  <c r="AH212" i="17"/>
  <c r="AI212" i="17" s="1"/>
  <c r="AH568" i="17"/>
  <c r="AI568" i="17" s="1"/>
  <c r="AH582" i="17"/>
  <c r="AI582" i="17" s="1"/>
  <c r="AH25" i="17"/>
  <c r="AI25" i="17" s="1"/>
  <c r="AH172" i="17"/>
  <c r="AI172" i="17" s="1"/>
  <c r="AH506" i="17"/>
  <c r="AI506" i="17" s="1"/>
  <c r="AH553" i="17"/>
  <c r="AI553" i="17" s="1"/>
  <c r="AH56" i="17"/>
  <c r="AI56" i="17" s="1"/>
  <c r="AH562" i="17"/>
  <c r="AI562" i="17" s="1"/>
  <c r="AH22" i="17"/>
  <c r="AI22" i="17" s="1"/>
  <c r="AH505" i="17"/>
  <c r="AI505" i="17" s="1"/>
  <c r="AH113" i="17"/>
  <c r="AI113" i="17" s="1"/>
  <c r="AH138" i="17"/>
  <c r="AI138" i="17" s="1"/>
  <c r="AH34" i="17"/>
  <c r="AI34" i="17" s="1"/>
  <c r="AH310" i="17"/>
  <c r="AI310" i="17" s="1"/>
  <c r="AH267" i="17"/>
  <c r="AI267" i="17" s="1"/>
  <c r="AH492" i="17"/>
  <c r="AI492" i="17" s="1"/>
  <c r="AH281" i="17"/>
  <c r="AI281" i="17" s="1"/>
  <c r="AH254" i="17"/>
  <c r="AI254" i="17" s="1"/>
  <c r="AH250" i="17"/>
  <c r="AI250" i="17" s="1"/>
  <c r="AH432" i="17"/>
  <c r="AI432" i="17" s="1"/>
  <c r="AH236" i="17"/>
  <c r="AI236" i="17" s="1"/>
  <c r="AH198" i="17"/>
  <c r="AI198" i="17" s="1"/>
  <c r="AH144" i="17"/>
  <c r="AI144" i="17" s="1"/>
  <c r="AH526" i="17"/>
  <c r="AI526" i="17" s="1"/>
  <c r="AH552" i="17"/>
  <c r="AI552" i="17" s="1"/>
  <c r="AH321" i="17"/>
  <c r="AI321" i="17" s="1"/>
  <c r="AH428" i="17"/>
  <c r="AI428" i="17" s="1"/>
  <c r="AH338" i="17"/>
  <c r="AI338" i="17" s="1"/>
  <c r="AH497" i="17"/>
  <c r="AI497" i="17" s="1"/>
  <c r="AH458" i="17"/>
  <c r="AI458" i="17" s="1"/>
  <c r="AH600" i="17"/>
  <c r="AI600" i="17" s="1"/>
  <c r="AH303" i="17"/>
  <c r="AI303" i="17" s="1"/>
  <c r="AH232" i="17"/>
  <c r="AI232" i="17" s="1"/>
  <c r="AH427" i="17"/>
  <c r="AI427" i="17" s="1"/>
  <c r="AH493" i="17"/>
  <c r="AI493" i="17" s="1"/>
  <c r="AH304" i="17"/>
  <c r="AI304" i="17" s="1"/>
  <c r="AH322" i="17"/>
  <c r="AI322" i="17" s="1"/>
  <c r="AH81" i="17"/>
  <c r="AI81" i="17" s="1"/>
  <c r="AH514" i="17"/>
  <c r="AI514" i="17" s="1"/>
  <c r="AH390" i="17"/>
  <c r="AI390" i="17" s="1"/>
  <c r="AH570" i="17"/>
  <c r="AI570" i="17" s="1"/>
  <c r="AH48" i="17"/>
  <c r="AI48" i="17" s="1"/>
  <c r="AH46" i="17"/>
  <c r="AI46" i="17" s="1"/>
  <c r="AH102" i="17"/>
  <c r="AI102" i="17" s="1"/>
  <c r="AH217" i="17"/>
  <c r="AI217" i="17" s="1"/>
  <c r="AH275" i="17"/>
  <c r="AI275" i="17" s="1"/>
  <c r="AH394" i="17"/>
  <c r="AI394" i="17" s="1"/>
  <c r="AH420" i="17"/>
  <c r="AI420" i="17" s="1"/>
  <c r="AH161" i="17"/>
  <c r="AI161" i="17" s="1"/>
  <c r="AH228" i="17"/>
  <c r="AI228" i="17" s="1"/>
  <c r="AH54" i="17"/>
  <c r="AI54" i="17" s="1"/>
  <c r="AH610" i="17"/>
  <c r="AI610" i="17" s="1"/>
  <c r="AH502" i="17"/>
  <c r="AI502" i="17" s="1"/>
  <c r="AH50" i="17"/>
  <c r="AI50" i="17" s="1"/>
  <c r="AH529" i="17"/>
  <c r="AI529" i="17" s="1"/>
  <c r="AH381" i="17"/>
  <c r="AI381" i="17" s="1"/>
  <c r="AH19" i="17"/>
  <c r="AI19" i="17" s="1"/>
  <c r="AH545" i="17"/>
  <c r="AI545" i="17" s="1"/>
  <c r="AH136" i="17"/>
  <c r="AI136" i="17" s="1"/>
  <c r="AH204" i="17"/>
  <c r="AI204" i="17" s="1"/>
  <c r="AH358" i="17"/>
  <c r="AI358" i="17" s="1"/>
  <c r="AH446" i="17"/>
  <c r="AI446" i="17" s="1"/>
  <c r="AH489" i="17"/>
  <c r="AI489" i="17" s="1"/>
  <c r="AH572" i="17"/>
  <c r="AI572" i="17" s="1"/>
  <c r="AH14" i="17"/>
  <c r="AI14" i="17" s="1"/>
  <c r="AH100" i="17"/>
  <c r="AI100" i="17" s="1"/>
  <c r="AH245" i="17"/>
  <c r="AI245" i="17" s="1"/>
  <c r="AH76" i="17"/>
  <c r="AI76" i="17" s="1"/>
  <c r="AH463" i="17"/>
  <c r="AI463" i="17" s="1"/>
  <c r="AH531" i="17"/>
  <c r="AI531" i="17" s="1"/>
  <c r="AH194" i="17"/>
  <c r="AI194" i="17" s="1"/>
  <c r="AH79" i="17"/>
  <c r="AI79" i="17" s="1"/>
  <c r="AH242" i="17"/>
  <c r="AI242" i="17" s="1"/>
  <c r="AH332" i="17"/>
  <c r="AI332" i="17" s="1"/>
  <c r="AH550" i="17"/>
  <c r="AI550" i="17" s="1"/>
  <c r="AH89" i="17"/>
  <c r="AI89" i="17" s="1"/>
  <c r="AH330" i="17"/>
  <c r="AI330" i="17" s="1"/>
  <c r="AH36" i="17"/>
  <c r="AI36" i="17" s="1"/>
  <c r="AH571" i="17"/>
  <c r="AI571" i="17" s="1"/>
  <c r="AH587" i="17"/>
  <c r="AI587" i="17" s="1"/>
  <c r="AH301" i="17"/>
  <c r="AI301" i="17" s="1"/>
  <c r="AH305" i="17"/>
  <c r="AI305" i="17" s="1"/>
  <c r="AH231" i="17"/>
  <c r="AI231" i="17" s="1"/>
  <c r="AH525" i="17"/>
  <c r="AI525" i="17" s="1"/>
  <c r="AH32" i="17"/>
  <c r="AI32" i="17" s="1"/>
  <c r="AH544" i="17"/>
  <c r="AI544" i="17" s="1"/>
  <c r="AH218" i="17"/>
  <c r="AI218" i="17" s="1"/>
  <c r="AH462" i="17"/>
  <c r="AI462" i="17" s="1"/>
  <c r="AH33" i="17"/>
  <c r="AI33" i="17" s="1"/>
  <c r="AH75" i="17"/>
  <c r="AI75" i="17" s="1"/>
  <c r="AH84" i="17"/>
  <c r="AI84" i="17" s="1"/>
  <c r="AH461" i="17"/>
  <c r="AI461" i="17" s="1"/>
  <c r="AH169" i="17"/>
  <c r="AI169" i="17" s="1"/>
  <c r="AH366" i="17"/>
  <c r="AI366" i="17" s="1"/>
  <c r="AH31" i="17"/>
  <c r="AI31" i="17" s="1"/>
  <c r="AH573" i="17"/>
  <c r="AI573" i="17" s="1"/>
  <c r="AH154" i="17"/>
  <c r="AI154" i="17" s="1"/>
  <c r="AH346" i="17"/>
  <c r="AI346" i="17" s="1"/>
  <c r="AH507" i="17"/>
  <c r="AI507" i="17" s="1"/>
  <c r="AH382" i="17"/>
  <c r="AI382" i="17" s="1"/>
  <c r="AH596" i="17"/>
  <c r="AI596" i="17" s="1"/>
  <c r="AH18" i="17"/>
  <c r="AI18" i="17" s="1"/>
  <c r="AH155" i="17"/>
  <c r="AI155" i="17" s="1"/>
  <c r="AH95" i="17"/>
  <c r="AI95" i="17" s="1"/>
  <c r="AH125" i="17"/>
  <c r="AI125" i="17" s="1"/>
  <c r="AH549" i="17"/>
  <c r="AI549" i="17" s="1"/>
  <c r="AH541" i="17"/>
  <c r="AI541" i="17" s="1"/>
  <c r="AH179" i="17"/>
  <c r="AI179" i="17" s="1"/>
  <c r="AH197" i="17"/>
  <c r="AI197" i="17" s="1"/>
  <c r="AH606" i="17"/>
  <c r="AI606" i="17" s="1"/>
  <c r="AH108" i="17"/>
  <c r="AI108" i="17" s="1"/>
  <c r="AH395" i="17"/>
  <c r="AI395" i="17" s="1"/>
  <c r="AH444" i="17"/>
  <c r="AI444" i="17" s="1"/>
  <c r="AH588" i="17"/>
  <c r="AI588" i="17" s="1"/>
  <c r="AH51" i="17"/>
  <c r="AI51" i="17" s="1"/>
  <c r="AH532" i="17"/>
  <c r="AI532" i="17" s="1"/>
  <c r="AH167" i="17"/>
  <c r="AI167" i="17" s="1"/>
  <c r="AH240" i="17"/>
  <c r="AI240" i="17" s="1"/>
  <c r="AH168" i="17"/>
  <c r="AI168" i="17" s="1"/>
  <c r="AH246" i="17"/>
  <c r="AI246" i="17" s="1"/>
  <c r="AH195" i="17"/>
  <c r="AI195" i="17" s="1"/>
  <c r="AH170" i="17"/>
  <c r="AI170" i="17" s="1"/>
  <c r="AH551" i="17"/>
  <c r="AI551" i="17" s="1"/>
  <c r="AH488" i="17"/>
  <c r="AI488" i="17" s="1"/>
  <c r="AH114" i="17"/>
  <c r="AI114" i="17" s="1"/>
  <c r="AH85" i="17"/>
  <c r="AI85" i="17" s="1"/>
  <c r="AH374" i="17"/>
  <c r="AI374" i="17" s="1"/>
  <c r="AH409" i="17"/>
  <c r="AI409" i="17" s="1"/>
  <c r="AH601" i="17"/>
  <c r="AI601" i="17" s="1"/>
  <c r="AH262" i="17"/>
  <c r="AI262" i="17" s="1"/>
  <c r="AH222" i="17"/>
  <c r="AI222" i="17" s="1"/>
  <c r="AH248" i="17"/>
  <c r="AI248" i="17" s="1"/>
  <c r="AH157" i="17"/>
  <c r="AI157" i="17" s="1"/>
  <c r="AH273" i="17"/>
  <c r="AI273" i="17" s="1"/>
  <c r="AH408" i="17"/>
  <c r="AI408" i="17" s="1"/>
  <c r="AH559" i="17"/>
  <c r="AI559" i="17" s="1"/>
  <c r="AH105" i="17"/>
  <c r="AI105" i="17" s="1"/>
  <c r="AH511" i="17"/>
  <c r="AI511" i="17" s="1"/>
  <c r="AH223" i="17"/>
  <c r="AI223" i="17" s="1"/>
  <c r="AH181" i="17"/>
  <c r="AI181" i="17" s="1"/>
  <c r="AH455" i="17"/>
  <c r="AI455" i="17" s="1"/>
  <c r="AH29" i="17"/>
  <c r="AI29" i="17" s="1"/>
  <c r="AH244" i="17"/>
  <c r="AI244" i="17" s="1"/>
  <c r="AH611" i="17"/>
  <c r="AI611" i="17" s="1"/>
  <c r="AH473" i="17"/>
  <c r="AI473" i="17" s="1"/>
  <c r="AH83" i="17"/>
  <c r="AI83" i="17" s="1"/>
  <c r="AH227" i="17"/>
  <c r="AI227" i="17" s="1"/>
  <c r="AH510" i="17"/>
  <c r="AI510" i="17" s="1"/>
  <c r="AH272" i="17"/>
  <c r="AI272" i="17" s="1"/>
  <c r="AH479" i="17"/>
  <c r="AI479" i="17" s="1"/>
  <c r="AH353" i="17"/>
  <c r="AI353" i="17" s="1"/>
  <c r="AH226" i="17"/>
  <c r="AI226" i="17" s="1"/>
  <c r="AH474" i="17"/>
  <c r="AI474" i="17" s="1"/>
  <c r="AH243" i="17"/>
  <c r="AI243" i="17" s="1"/>
  <c r="AH456" i="17"/>
  <c r="AI456" i="17" s="1"/>
  <c r="AH180" i="17"/>
  <c r="AI180" i="17" s="1"/>
  <c r="AH352" i="17"/>
  <c r="AI352" i="17" s="1"/>
  <c r="AH261" i="17"/>
  <c r="AI261" i="17" s="1"/>
  <c r="AH542" i="17"/>
  <c r="AI542" i="17" s="1"/>
  <c r="AH478" i="17"/>
  <c r="AI478" i="17" s="1"/>
  <c r="AH543" i="17"/>
  <c r="AI543" i="17" s="1"/>
  <c r="AH285" i="17"/>
  <c r="AI285" i="17" s="1"/>
  <c r="AH249" i="17"/>
  <c r="AI249" i="17" s="1"/>
  <c r="AH605" i="17"/>
  <c r="AI605" i="17" s="1"/>
  <c r="AH247" i="17"/>
  <c r="AI247" i="17" s="1"/>
  <c r="AH221" i="17"/>
  <c r="AI221" i="17" s="1"/>
  <c r="AH602" i="17"/>
  <c r="AI602" i="17" s="1"/>
  <c r="AH80" i="17"/>
  <c r="AI80" i="17" s="1"/>
  <c r="AH331" i="17"/>
  <c r="AI331" i="17" s="1"/>
  <c r="AH201" i="17"/>
  <c r="AI201" i="17" s="1"/>
  <c r="AH268" i="17"/>
  <c r="AI268" i="17" s="1"/>
  <c r="AH521" i="17"/>
  <c r="AI521" i="17" s="1"/>
  <c r="AH87" i="17"/>
  <c r="AI87" i="17" s="1"/>
  <c r="AH522" i="17"/>
  <c r="AI522" i="17" s="1"/>
  <c r="AH480" i="17"/>
  <c r="AI480" i="17" s="1"/>
  <c r="AH557" i="17"/>
  <c r="AI557" i="17" s="1"/>
  <c r="AH447" i="17"/>
  <c r="AI447" i="17" s="1"/>
  <c r="AH141" i="17"/>
  <c r="AI141" i="17" s="1"/>
  <c r="AH425" i="17"/>
  <c r="AI425" i="17" s="1"/>
  <c r="AH30" i="17"/>
  <c r="AI30" i="17" s="1"/>
  <c r="AH430" i="17"/>
  <c r="AI430" i="17" s="1"/>
  <c r="AH142" i="17"/>
  <c r="AI142" i="17" s="1"/>
  <c r="AH103" i="17"/>
  <c r="AI103" i="17" s="1"/>
  <c r="AH177" i="17"/>
  <c r="AI177" i="17" s="1"/>
  <c r="AH608" i="17"/>
  <c r="AI608" i="17" s="1"/>
  <c r="AH518" i="17"/>
  <c r="AI518" i="17" s="1"/>
  <c r="AH524" i="17"/>
  <c r="AI524" i="17" s="1"/>
  <c r="AH96" i="17"/>
  <c r="AI96" i="17" s="1"/>
  <c r="AH264" i="17"/>
  <c r="AI264" i="17" s="1"/>
  <c r="AH191" i="17"/>
  <c r="AI191" i="17" s="1"/>
  <c r="AH581" i="17"/>
  <c r="AI581" i="17" s="1"/>
  <c r="AH339" i="17"/>
  <c r="AI339" i="17" s="1"/>
  <c r="AH547" i="17"/>
  <c r="AI547" i="17" s="1"/>
  <c r="AH371" i="17"/>
  <c r="AI371" i="17" s="1"/>
  <c r="AH347" i="17"/>
  <c r="AI347" i="17" s="1"/>
  <c r="AH372" i="17"/>
  <c r="AI372" i="17" s="1"/>
  <c r="AH16" i="17"/>
  <c r="AI16" i="17" s="1"/>
  <c r="AH47" i="17"/>
  <c r="AI47" i="17" s="1"/>
  <c r="AH445" i="17"/>
  <c r="AI445" i="17" s="1"/>
  <c r="Y117" i="17"/>
  <c r="AH580" i="17"/>
  <c r="AI580" i="17" s="1"/>
  <c r="AH202" i="17"/>
  <c r="AI202" i="17" s="1"/>
  <c r="AH558" i="17"/>
  <c r="AI558" i="17" s="1"/>
  <c r="AH210" i="17"/>
  <c r="AI210" i="17" s="1"/>
  <c r="AH523" i="17"/>
  <c r="AI523" i="17" s="1"/>
  <c r="AH504" i="17"/>
  <c r="AI504" i="17" s="1"/>
  <c r="AH452" i="17"/>
  <c r="AI452" i="17" s="1"/>
  <c r="AH160" i="17"/>
  <c r="AI160" i="17" s="1"/>
  <c r="AH398" i="17"/>
  <c r="AI398" i="17" s="1"/>
  <c r="AH88" i="17"/>
  <c r="AI88" i="17" s="1"/>
  <c r="AH164" i="17"/>
  <c r="AI164" i="17" s="1"/>
  <c r="AH159" i="17"/>
  <c r="AI159" i="17" s="1"/>
  <c r="AH165" i="17"/>
  <c r="AI165" i="17" s="1"/>
  <c r="AH486" i="17"/>
  <c r="AI486" i="17" s="1"/>
  <c r="AH467" i="17"/>
  <c r="AI467" i="17" s="1"/>
  <c r="AH546" i="17"/>
  <c r="AI546" i="17" s="1"/>
  <c r="AH335" i="17"/>
  <c r="AI335" i="17" s="1"/>
  <c r="AH192" i="17"/>
  <c r="AI192" i="17" s="1"/>
  <c r="AH118" i="17"/>
  <c r="AI118" i="17" s="1"/>
  <c r="AH178" i="17"/>
  <c r="AI178" i="17" s="1"/>
  <c r="AH45" i="17"/>
  <c r="AI45" i="17" s="1"/>
  <c r="AH595" i="17"/>
  <c r="AI595" i="17" s="1"/>
  <c r="AH443" i="17"/>
  <c r="AI443" i="17" s="1"/>
  <c r="AH399" i="17"/>
  <c r="AI399" i="17" s="1"/>
  <c r="AH586" i="17"/>
  <c r="AI586" i="17" s="1"/>
  <c r="AH143" i="17"/>
  <c r="AI143" i="17" s="1"/>
  <c r="AH263" i="17"/>
  <c r="AI263" i="17" s="1"/>
  <c r="AH327" i="17"/>
  <c r="AI327" i="17" s="1"/>
  <c r="AH403" i="17"/>
  <c r="AI403" i="17" s="1"/>
  <c r="AH176" i="17"/>
  <c r="AI176" i="17" s="1"/>
  <c r="AH44" i="17"/>
  <c r="AI44" i="17" s="1"/>
  <c r="AH378" i="17"/>
  <c r="AI378" i="17" s="1"/>
  <c r="AH28" i="17"/>
  <c r="AI28" i="17" s="1"/>
  <c r="AH256" i="17"/>
  <c r="AI256" i="17" s="1"/>
  <c r="AH257" i="17"/>
  <c r="AI257" i="17" s="1"/>
  <c r="AH485" i="17"/>
  <c r="AI485" i="17" s="1"/>
  <c r="AH328" i="17"/>
  <c r="AI328" i="17" s="1"/>
  <c r="AH451" i="17"/>
  <c r="AI451" i="17" s="1"/>
  <c r="AH556" i="17"/>
  <c r="AI556" i="17" s="1"/>
  <c r="AH295" i="17"/>
  <c r="AI295" i="17" s="1"/>
  <c r="AH450" i="17"/>
  <c r="AI450" i="17" s="1"/>
  <c r="AH313" i="17"/>
  <c r="AI313" i="17" s="1"/>
  <c r="AH43" i="17"/>
  <c r="AI43" i="17" s="1"/>
  <c r="AH209" i="17"/>
  <c r="AI209" i="17" s="1"/>
  <c r="AH377" i="17"/>
  <c r="AI377" i="17" s="1"/>
  <c r="AH476" i="17"/>
  <c r="AI476" i="17" s="1"/>
  <c r="AH131" i="17"/>
  <c r="AI131" i="17" s="1"/>
  <c r="AH60" i="17"/>
  <c r="AI60" i="17" s="1"/>
  <c r="AH64" i="17"/>
  <c r="AI64" i="17" s="1"/>
  <c r="AH216" i="17"/>
  <c r="AI216" i="17" s="1"/>
  <c r="AH119" i="17"/>
  <c r="AI119" i="17" s="1"/>
  <c r="AH424" i="17"/>
  <c r="AI424" i="17" s="1"/>
  <c r="AH215" i="17"/>
  <c r="AI215" i="17" s="1"/>
  <c r="AH117" i="17"/>
  <c r="AI117" i="17" s="1"/>
  <c r="AH65" i="17"/>
  <c r="AI65" i="17" s="1"/>
  <c r="AH509" i="17"/>
  <c r="AI509" i="17" s="1"/>
  <c r="AH53" i="17"/>
  <c r="AI53" i="17" s="1"/>
  <c r="AH519" i="17"/>
  <c r="AI519" i="17" s="1"/>
  <c r="AH365" i="17"/>
  <c r="AI365" i="17" s="1"/>
  <c r="AH336" i="17"/>
  <c r="AI336" i="17" s="1"/>
  <c r="AH364" i="17"/>
  <c r="AI364" i="17" s="1"/>
  <c r="AH126" i="17"/>
  <c r="AI126" i="17" s="1"/>
  <c r="AH312" i="17"/>
  <c r="AI312" i="17" s="1"/>
  <c r="AH104" i="17"/>
  <c r="AI104" i="17" s="1"/>
  <c r="AH106" i="17"/>
  <c r="AI106" i="17" s="1"/>
  <c r="AH127" i="17"/>
  <c r="AI127" i="17" s="1"/>
  <c r="AH376" i="17"/>
  <c r="AI376" i="17" s="1"/>
  <c r="AH503" i="17"/>
  <c r="AI503" i="17" s="1"/>
  <c r="AH296" i="17"/>
  <c r="AI296" i="17" s="1"/>
  <c r="AH140" i="17"/>
  <c r="AI140" i="17" s="1"/>
  <c r="AH475" i="17"/>
  <c r="AI475" i="17" s="1"/>
  <c r="AH276" i="17"/>
  <c r="AI276" i="17" s="1"/>
  <c r="AH466" i="17"/>
  <c r="AI466" i="17" s="1"/>
  <c r="AH27" i="17"/>
  <c r="AI27" i="17" s="1"/>
  <c r="AH342" i="17"/>
  <c r="AI342" i="17" s="1"/>
  <c r="AH341" i="17"/>
  <c r="AI341" i="17" s="1"/>
  <c r="AH449" i="17"/>
  <c r="AI449" i="17" s="1"/>
  <c r="AH269" i="17"/>
  <c r="AI269" i="17" s="1"/>
  <c r="AF625" i="17"/>
  <c r="AI13" i="27" l="1"/>
  <c r="AK13" i="27" s="1"/>
  <c r="M16" i="29"/>
  <c r="M17" i="29" s="1"/>
  <c r="G12" i="28"/>
  <c r="B304" i="2"/>
  <c r="AI9" i="17"/>
  <c r="A426" i="2" s="1"/>
  <c r="AI7" i="17"/>
  <c r="U4" i="17" s="1"/>
  <c r="A424" i="2" l="1"/>
  <c r="B424" i="2"/>
  <c r="U5" i="17"/>
  <c r="B425" i="2" s="1"/>
  <c r="AN13" i="27"/>
  <c r="AM13" i="27"/>
  <c r="G14" i="28"/>
  <c r="A639" i="17"/>
  <c r="A640" i="17"/>
  <c r="A617" i="17"/>
  <c r="D424" i="2"/>
  <c r="A425" i="2" l="1"/>
  <c r="F617" i="17"/>
  <c r="Q617" i="17"/>
  <c r="P617" i="17"/>
  <c r="O617" i="17"/>
  <c r="R617" i="17"/>
  <c r="G617" i="17"/>
  <c r="H617" i="17"/>
  <c r="K617" i="17"/>
  <c r="N617" i="17"/>
  <c r="T617" i="17"/>
  <c r="L617" i="17"/>
  <c r="M617" i="17"/>
  <c r="J617" i="17"/>
  <c r="E617" i="17"/>
  <c r="S617" i="17"/>
  <c r="D617" i="17"/>
  <c r="A618" i="17"/>
  <c r="A619" i="17" s="1"/>
  <c r="C617" i="17"/>
  <c r="I617" i="17"/>
  <c r="U617" i="17" l="1"/>
  <c r="V617" i="17"/>
  <c r="V620" i="17" s="1"/>
  <c r="AB617" i="17"/>
  <c r="AF617" i="17"/>
  <c r="AC617" i="17"/>
  <c r="AE617" i="17"/>
  <c r="W617"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LM(2)5148/-Q1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LM5148/-Q1 and LM25148/-Q1 synchronous buck controller family</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http://www.ti.com/power</t>
        </r>
        <r>
          <rPr>
            <sz val="9"/>
            <color indexed="81"/>
            <rFont val="Tahoma"/>
            <family val="2"/>
          </rPr>
          <t xml:space="preserve">
</t>
        </r>
        <r>
          <rPr>
            <b/>
            <sz val="9"/>
            <color indexed="81"/>
            <rFont val="Tahoma"/>
            <family val="2"/>
          </rPr>
          <t xml:space="preserve">
Rev A4, Timothy Hegarty, Texas Instruments, Inc.</t>
        </r>
      </text>
    </comment>
    <comment ref="N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t>
        </r>
        <r>
          <rPr>
            <b/>
            <sz val="9"/>
            <color indexed="81"/>
            <rFont val="Tahoma"/>
            <family val="2"/>
          </rPr>
          <t>Rev A4,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Switching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by connecting an appropriate SYNC IN signal to the PFM/SYNC pin.
The frequency set by RT can be [100kHz - 2.2MHz] but can be synced ±20% of this freee-running frequency.
</t>
        </r>
        <r>
          <rPr>
            <b/>
            <sz val="9"/>
            <color indexed="81"/>
            <rFont val="Tahoma"/>
            <family val="2"/>
          </rPr>
          <t xml:space="preserve">The text in the cell is flagged red if:
</t>
        </r>
        <r>
          <rPr>
            <b/>
            <sz val="9"/>
            <color indexed="10"/>
            <rFont val="Tahoma"/>
            <family val="2"/>
          </rPr>
          <t xml:space="preserve">
- The frequency is below 100 kHz
- The frequency is above 2.2 MHz</t>
        </r>
        <r>
          <rPr>
            <sz val="11"/>
            <color indexed="81"/>
            <rFont val="Tahoma"/>
            <family val="2"/>
          </rPr>
          <t xml:space="preserve">
</t>
        </r>
      </text>
    </comment>
    <comment ref="F16"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140% of full load current.</t>
        </r>
      </text>
    </comment>
    <comment ref="F17"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t>
        </r>
      </text>
    </comment>
    <comment ref="F19"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0"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1"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2"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3"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6"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ramp contribution.</t>
        </r>
      </text>
    </comment>
    <comment ref="F27"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r>
      </text>
    </comment>
    <comment ref="F28"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63" authorId="0" shapeId="0" xr:uid="{00000000-0006-0000-0000-000019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A000000}">
      <text>
        <r>
          <rPr>
            <b/>
            <sz val="9"/>
            <color indexed="81"/>
            <rFont val="Tahoma"/>
            <family val="2"/>
          </rPr>
          <t>Upper Feedback Resistor, 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0" authorId="0" shapeId="0" xr:uid="{00000000-0006-0000-0000-00001B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2" authorId="2" shapeId="0" xr:uid="{00000000-0006-0000-0000-00001C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2" authorId="2" shapeId="0" xr:uid="{C182675C-ABAA-40F1-99D5-DF03B9AAB4E3}">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E83" authorId="2" shapeId="0" xr:uid="{00000000-0006-0000-0000-00001E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3" authorId="2" shapeId="0" xr:uid="{B6E26810-6EF6-4DBF-BD19-DEA2AA833064}">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84" authorId="2" shapeId="0" xr:uid="{00000000-0006-0000-0000-000020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4" authorId="2" shapeId="0" xr:uid="{04662617-41D7-4C12-ABFA-264758775BB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85" authorId="2" shapeId="0" xr:uid="{00000000-0006-0000-0000-000022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5" authorId="2" shapeId="0" xr:uid="{1C760FFD-2819-47D2-900D-818CBB129C26}">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86" authorId="2" shapeId="0" xr:uid="{B8F3C8E2-E019-4295-81F8-334052B0F657}">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87" authorId="2" shapeId="0" xr:uid="{00000000-0006-0000-0000-000025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7" authorId="2" shapeId="0" xr:uid="{00000000-0006-0000-0000-000026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8" authorId="2"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8" authorId="2"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89" authorId="2"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89" authorId="2"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0" authorId="2"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0" authorId="2"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1" authorId="2"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1" authorId="2"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2" authorId="2"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3" authorId="2"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3" authorId="2"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6" authorId="1" shapeId="0" xr:uid="{00000000-0006-0000-0000-000032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7" authorId="1" shapeId="0" xr:uid="{00000000-0006-0000-0000-000033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2" authorId="1" shapeId="0" xr:uid="{00000000-0006-0000-0000-000034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3" authorId="1" shapeId="0" xr:uid="{00000000-0006-0000-0000-000035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1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1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9" authorId="1" shapeId="0" xr:uid="{00000000-0006-0000-01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P9" authorId="1" shapeId="0" xr:uid="{00000000-0006-0000-01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Q9" authorId="1" shapeId="0" xr:uid="{00000000-0006-0000-0100-000005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2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2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8" authorId="1" shapeId="0" xr:uid="{00000000-0006-0000-02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H8" authorId="1" shapeId="0" xr:uid="{00000000-0006-0000-02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sharedStrings.xml><?xml version="1.0" encoding="utf-8"?>
<sst xmlns="http://schemas.openxmlformats.org/spreadsheetml/2006/main" count="1594" uniqueCount="953">
  <si>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</si>
  <si>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</si>
  <si>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</si>
  <si>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</si>
  <si>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</si>
  <si>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</si>
  <si>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</si>
  <si>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</si>
  <si>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</si>
  <si>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</si>
  <si>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</si>
  <si>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</si>
  <si>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</si>
  <si>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</si>
  <si>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</si>
  <si>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</si>
  <si>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</si>
  <si>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</si>
  <si>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</si>
  <si>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</si>
  <si>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</si>
  <si>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</si>
  <si>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</si>
  <si>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</si>
  <si>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</si>
  <si>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</si>
  <si>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</si>
  <si>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</si>
  <si>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</si>
  <si>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</si>
  <si>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</si>
  <si>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</si>
  <si>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</si>
  <si>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</si>
  <si>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</si>
  <si>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</si>
  <si>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</si>
  <si>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</si>
  <si>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</si>
  <si>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</si>
  <si>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</si>
  <si>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</si>
  <si>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</si>
  <si>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</si>
  <si>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</si>
  <si>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</si>
  <si>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</si>
  <si>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</si>
  <si>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</si>
  <si>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</si>
  <si>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</si>
  <si>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</si>
  <si>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</si>
  <si>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</si>
  <si>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</si>
  <si>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</si>
  <si>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</si>
  <si>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</si>
  <si>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</si>
  <si>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</si>
  <si>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</si>
  <si>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</si>
  <si>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</si>
  <si>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</si>
  <si>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</si>
  <si>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</si>
  <si>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</si>
  <si>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</si>
  <si>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</si>
  <si>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</si>
  <si>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</si>
  <si>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</si>
  <si>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</si>
  <si>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</si>
  <si>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</si>
  <si>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</si>
  <si>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</si>
  <si>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</si>
  <si>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</si>
  <si>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</si>
  <si>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</si>
  <si>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</si>
  <si>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</si>
  <si>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</si>
  <si>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</si>
  <si>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</si>
  <si>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</si>
  <si>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</si>
  <si>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</si>
  <si>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</si>
  <si>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</si>
  <si>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</si>
  <si>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</si>
  <si>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</si>
  <si>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</si>
  <si>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</si>
  <si>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</si>
  <si>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</si>
  <si>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</si>
  <si>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</si>
  <si>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</si>
  <si>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</si>
  <si>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</si>
  <si>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</si>
  <si>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</si>
  <si>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</si>
  <si>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</si>
  <si>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</si>
  <si>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</si>
  <si>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</si>
  <si>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</si>
  <si>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</si>
  <si>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</si>
  <si>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</si>
  <si>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</si>
  <si>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</si>
  <si>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</si>
  <si>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</si>
  <si>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</si>
  <si>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</si>
  <si>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</si>
  <si>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</si>
  <si>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</si>
  <si>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</si>
  <si>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</si>
  <si>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</si>
  <si>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</si>
  <si>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</si>
  <si>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</si>
  <si>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</si>
  <si>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</si>
  <si>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</si>
  <si>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</si>
  <si>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</si>
  <si>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</si>
  <si>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</si>
  <si>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</si>
  <si>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</si>
  <si>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</si>
  <si>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</si>
  <si>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</si>
  <si>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</si>
  <si>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</si>
  <si>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</si>
  <si>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</si>
  <si>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 Input Box</t>
  </si>
  <si>
    <t>Input capacitance</t>
  </si>
  <si>
    <t>Step 1: Operational Specs</t>
  </si>
  <si>
    <t>Tss</t>
  </si>
  <si>
    <t>Iss</t>
  </si>
  <si>
    <t>Css</t>
  </si>
  <si>
    <t>C1</t>
  </si>
  <si>
    <t>C2</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</si>
  <si>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</si>
  <si>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</si>
  <si>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</si>
  <si>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</si>
  <si>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</si>
  <si>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</si>
  <si>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</si>
  <si>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</si>
  <si>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</si>
  <si>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</si>
  <si>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</si>
  <si>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</si>
  <si>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</si>
  <si>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</si>
  <si>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</si>
  <si>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</si>
  <si>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</si>
  <si>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</si>
  <si>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</si>
  <si>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</si>
  <si>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</si>
  <si>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</si>
  <si>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</si>
  <si>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</si>
  <si>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</si>
  <si>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</si>
  <si>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</si>
  <si>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</si>
  <si>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</si>
  <si>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</si>
  <si>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</si>
  <si>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</si>
  <si>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</si>
  <si>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</si>
  <si>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</si>
  <si>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</si>
  <si>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</si>
  <si>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</si>
  <si>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</si>
  <si>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</si>
  <si>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</si>
  <si>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</si>
  <si>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</si>
  <si>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</si>
  <si>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</si>
  <si>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</si>
  <si>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</si>
  <si>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</si>
  <si>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</si>
  <si>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</si>
  <si>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</si>
  <si>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</si>
  <si>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</si>
  <si>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</si>
  <si>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</si>
  <si>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</si>
  <si>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</si>
  <si>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</si>
  <si>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</si>
  <si>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</si>
  <si>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</si>
  <si>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</si>
  <si>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</si>
  <si>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</si>
  <si>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</si>
  <si>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</si>
  <si>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</si>
  <si>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</si>
  <si>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</si>
  <si>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</si>
  <si>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</si>
  <si>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</si>
  <si>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</si>
  <si>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</si>
  <si>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C</t>
    </r>
    <r>
      <rPr>
        <b/>
        <vertAlign val="subscript"/>
        <sz val="10"/>
        <rFont val="Arial"/>
        <family val="2"/>
      </rPr>
      <t>C1</t>
    </r>
  </si>
  <si>
    <r>
      <t>C</t>
    </r>
    <r>
      <rPr>
        <b/>
        <vertAlign val="subscript"/>
        <sz val="10"/>
        <rFont val="Arial"/>
        <family val="2"/>
      </rPr>
      <t>C2</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</si>
  <si>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</si>
  <si>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</si>
  <si>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</si>
  <si>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</si>
  <si>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</si>
  <si>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</si>
  <si>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</si>
  <si>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</si>
  <si>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</si>
  <si>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</si>
  <si>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</si>
  <si>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</si>
  <si>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</si>
  <si>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</si>
  <si>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</si>
  <si>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</si>
  <si>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</si>
  <si>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</si>
  <si>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</si>
  <si>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</si>
  <si>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</si>
  <si>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</si>
  <si>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</si>
  <si>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</si>
  <si>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</si>
  <si>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</si>
  <si>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</si>
  <si>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</si>
  <si>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</si>
  <si>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</si>
  <si>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</si>
  <si>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</si>
  <si>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</si>
  <si>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</si>
  <si>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</si>
  <si>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</si>
  <si>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</si>
  <si>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</si>
  <si>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</si>
  <si>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</si>
  <si>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</si>
  <si>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</si>
  <si>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</si>
  <si>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</si>
  <si>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</si>
  <si>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</si>
  <si>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</si>
  <si>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</si>
  <si>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</si>
  <si>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</si>
  <si>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</si>
  <si>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</si>
  <si>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</si>
  <si>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</si>
  <si>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</si>
  <si>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</si>
  <si>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</si>
  <si>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</si>
  <si>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</si>
  <si>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</si>
  <si>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</si>
  <si>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</si>
  <si>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</si>
  <si>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</si>
  <si>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</si>
  <si>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</si>
  <si>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</si>
  <si>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</si>
  <si>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</si>
  <si>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</si>
  <si>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</si>
  <si>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</si>
  <si>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</si>
  <si>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</si>
  <si>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</si>
  <si>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</si>
  <si>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</si>
  <si>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</si>
  <si>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</si>
  <si>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</si>
  <si>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</si>
  <si>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</si>
  <si>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</si>
  <si>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</si>
  <si>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</si>
  <si>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</si>
  <si>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</si>
  <si>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</si>
  <si>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</si>
  <si>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</si>
  <si>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</si>
  <si>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</si>
  <si>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</si>
  <si>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</si>
  <si>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</si>
  <si>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</si>
  <si>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</si>
  <si>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</si>
  <si>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</si>
  <si>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</si>
  <si>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</si>
  <si>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</si>
  <si>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</si>
  <si>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</si>
  <si>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</si>
  <si>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</si>
  <si>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</si>
  <si>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</si>
  <si>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</si>
  <si>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</si>
  <si>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</si>
  <si>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</si>
  <si>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</si>
  <si>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</si>
  <si>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</si>
  <si>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</si>
  <si>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</si>
  <si>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</si>
  <si>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</si>
  <si>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</si>
  <si>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</si>
  <si>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</si>
  <si>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</si>
  <si>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</si>
  <si>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</si>
  <si>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</si>
  <si>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</si>
  <si>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</si>
  <si>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</si>
  <si>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</si>
  <si>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</si>
  <si>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</si>
  <si>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</si>
  <si>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</si>
  <si>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</si>
  <si>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</si>
  <si>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</si>
  <si>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</si>
  <si>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</si>
  <si>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</si>
  <si>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</si>
  <si>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</si>
  <si>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</si>
  <si>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</si>
  <si>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</si>
  <si>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</si>
  <si>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</si>
  <si>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</si>
  <si>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</si>
  <si>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</si>
  <si>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</si>
  <si>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</si>
  <si>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</si>
  <si>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</si>
  <si>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</si>
  <si>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</si>
  <si>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</si>
  <si>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</si>
  <si>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</si>
  <si>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</si>
  <si>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</si>
  <si>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</si>
  <si>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</si>
  <si>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</si>
  <si>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</si>
  <si>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</si>
  <si>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</si>
  <si>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</si>
  <si>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</si>
  <si>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</si>
  <si>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</si>
  <si>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</si>
  <si>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</si>
  <si>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</si>
  <si>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</si>
  <si>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</si>
  <si>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</si>
  <si>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</si>
  <si>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</si>
  <si>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</si>
  <si>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</si>
  <si>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</si>
  <si>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</si>
  <si>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</si>
  <si>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</si>
  <si>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</si>
  <si>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</si>
  <si>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</si>
  <si>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</si>
  <si>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</si>
  <si>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</si>
  <si>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</si>
  <si>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</si>
  <si>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</si>
  <si>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</si>
  <si>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</si>
  <si>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</si>
  <si>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</si>
  <si>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</si>
  <si>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</si>
  <si>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</si>
  <si>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</si>
  <si>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</si>
  <si>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</si>
  <si>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</si>
  <si>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</si>
  <si>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</si>
  <si>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</si>
  <si>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</si>
  <si>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</si>
  <si>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</si>
  <si>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</si>
  <si>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</si>
  <si>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</si>
  <si>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</si>
  <si>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</si>
  <si>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</si>
  <si>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</si>
  <si>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</si>
  <si>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</si>
  <si>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</si>
  <si>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</si>
  <si>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</si>
  <si>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</si>
  <si>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</si>
  <si>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</si>
  <si>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</si>
  <si>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</si>
  <si>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</si>
  <si>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</si>
  <si>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</si>
  <si>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</si>
  <si>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</si>
  <si>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</si>
  <si>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</si>
  <si>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</si>
  <si>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</si>
  <si>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</si>
  <si>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</si>
  <si>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</si>
  <si>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</si>
  <si>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</si>
  <si>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</si>
  <si>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</si>
  <si>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</si>
  <si>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</si>
  <si>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</si>
  <si>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</si>
  <si>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</si>
  <si>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</si>
  <si>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</si>
  <si>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</si>
  <si>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</si>
  <si>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</si>
  <si>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</si>
  <si>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</si>
  <si>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</si>
  <si>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</si>
  <si>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</si>
  <si>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</si>
  <si>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</si>
  <si>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</si>
  <si>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</si>
  <si>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</si>
  <si>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</si>
  <si>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</si>
  <si>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</si>
  <si>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</si>
  <si>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</si>
  <si>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</si>
  <si>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</si>
  <si>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</si>
  <si>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</si>
  <si>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</si>
  <si>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</si>
  <si>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</si>
  <si>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</si>
  <si>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</si>
  <si>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</si>
  <si>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t>High-side FET</t>
  </si>
  <si>
    <t>Low-side FET</t>
  </si>
  <si>
    <t>Drain-Source Resistance of Low-side FET</t>
  </si>
  <si>
    <t xml:space="preserve">Drain-Source Resistance of Top FET </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</si>
  <si>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</si>
  <si>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</si>
  <si>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</si>
  <si>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</si>
  <si>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</si>
  <si>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</si>
  <si>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</si>
  <si>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</si>
  <si>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</si>
  <si>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</si>
  <si>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</si>
  <si>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</si>
  <si>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</si>
  <si>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</si>
  <si>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</si>
  <si>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</si>
  <si>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</si>
  <si>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</si>
  <si>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</si>
  <si>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</si>
  <si>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</si>
  <si>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</si>
  <si>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</si>
  <si>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</si>
  <si>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</si>
  <si>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</si>
  <si>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</si>
  <si>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</si>
  <si>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</si>
  <si>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</si>
  <si>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</si>
  <si>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</si>
  <si>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</si>
  <si>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</si>
  <si>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</si>
  <si>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</si>
  <si>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</si>
  <si>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</si>
  <si>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</si>
  <si>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</si>
  <si>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</si>
  <si>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</si>
  <si>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</si>
  <si>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</si>
  <si>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</si>
  <si>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</si>
  <si>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</si>
  <si>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</si>
  <si>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</si>
  <si>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</si>
  <si>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</si>
  <si>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</si>
  <si>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</si>
  <si>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</si>
  <si>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</si>
  <si>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</si>
  <si>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</si>
  <si>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</si>
  <si>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</si>
  <si>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</si>
  <si>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</si>
  <si>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</si>
  <si>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</si>
  <si>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</si>
  <si>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</si>
  <si>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</si>
  <si>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</si>
  <si>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</si>
  <si>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10% load</t>
  </si>
  <si>
    <t>100% load</t>
  </si>
  <si>
    <t>50% load</t>
  </si>
  <si>
    <t>VIN range</t>
  </si>
  <si>
    <t>1 = Yes, 2 = No</t>
  </si>
  <si>
    <t>http://www.ti.com/product/lm5175</t>
  </si>
  <si>
    <t>VAR</t>
  </si>
  <si>
    <t>Step 4: Output Capacitors</t>
  </si>
  <si>
    <t>Shunt or inductor DCR current sensing</t>
  </si>
  <si>
    <t>FPWM or DEM (DEMB)</t>
  </si>
  <si>
    <t>Single or dual output (MODE)</t>
  </si>
  <si>
    <t>With/without dither (DITH)</t>
  </si>
  <si>
    <t>3.3V or 5V fixed (FB1/2)</t>
  </si>
  <si>
    <t xml:space="preserve">Tie to VDDA or AGND for FPWM/DEM, respectively. </t>
  </si>
  <si>
    <t>VIN_nom</t>
  </si>
  <si>
    <t>Load resistance - Channel 1</t>
  </si>
  <si>
    <t>Calculate input power assuming finite efficiency</t>
  </si>
  <si>
    <t>Single/Dual Yes/No</t>
  </si>
  <si>
    <t>Output voltage - channel 1</t>
  </si>
  <si>
    <t>Output current - channel 1</t>
  </si>
  <si>
    <t>Switching period</t>
  </si>
  <si>
    <t>Reference voltage</t>
  </si>
  <si>
    <t>Frequency set resistor</t>
  </si>
  <si>
    <t>Nominal switching frequency - determines RT resistor (SYNCIN must be 80-120% of this)</t>
  </si>
  <si>
    <t>L_slopecomp</t>
  </si>
  <si>
    <t>Inductor copper temerature</t>
  </si>
  <si>
    <t>Channel 1</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</si>
  <si>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</si>
  <si>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</si>
  <si>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</si>
  <si>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</si>
  <si>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</si>
  <si>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</si>
  <si>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</si>
  <si>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</si>
  <si>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</si>
  <si>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</si>
  <si>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</si>
  <si>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</si>
  <si>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</si>
  <si>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</si>
  <si>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</si>
  <si>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</si>
  <si>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</si>
  <si>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Lo</t>
  </si>
  <si>
    <t>Note this is power loss at full load - not loss near OCP!</t>
  </si>
  <si>
    <t>Ripple current at Vin(max)</t>
  </si>
  <si>
    <t>FPWM</t>
  </si>
  <si>
    <t>Step 6b: Other Components - Dither, Hiccup, DEMB, MODE</t>
  </si>
  <si>
    <t>Tres</t>
  </si>
  <si>
    <t>Cres</t>
  </si>
  <si>
    <t>Cres_u</t>
  </si>
  <si>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</si>
  <si>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</si>
  <si>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</si>
  <si>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</si>
  <si>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</si>
  <si>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</si>
  <si>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</si>
  <si>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r>
      <t>Min Inductor Sat Current, I</t>
    </r>
    <r>
      <rPr>
        <vertAlign val="subscript"/>
        <sz val="10"/>
        <color theme="1"/>
        <rFont val="Arial"/>
        <family val="2"/>
      </rPr>
      <t>LO(SAT)</t>
    </r>
  </si>
  <si>
    <t>VCC</t>
  </si>
  <si>
    <t>mc*(1-d)</t>
  </si>
  <si>
    <t>This along with Rcea1 will set a zero at Fcrossover/5 to optimize phase margin</t>
  </si>
  <si>
    <r>
      <t>R</t>
    </r>
    <r>
      <rPr>
        <b/>
        <vertAlign val="subscript"/>
        <sz val="10"/>
        <rFont val="Arial"/>
        <family val="2"/>
      </rPr>
      <t>C1</t>
    </r>
  </si>
  <si>
    <t>3.3V</t>
  </si>
  <si>
    <t>5V</t>
  </si>
  <si>
    <t>Adjustable</t>
  </si>
  <si>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</si>
  <si>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</si>
  <si>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</si>
  <si>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</si>
  <si>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</si>
  <si>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</si>
  <si>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</si>
  <si>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</si>
  <si>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</si>
  <si>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</si>
  <si>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</si>
  <si>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</si>
  <si>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</si>
  <si>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</si>
  <si>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</si>
  <si>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</si>
  <si>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High- &amp; low-side MOSFETs - Ch1</t>
  </si>
  <si>
    <t>with 170mA current limit</t>
  </si>
  <si>
    <t>Quiescent Current of LM5143-Q1 Controller (One channel disabled)</t>
  </si>
  <si>
    <t>Controller Characteristics</t>
  </si>
  <si>
    <t>Gate Charge at VCC = 5V</t>
  </si>
  <si>
    <t>Drain-Source Resistances of Channel 1 FETs</t>
  </si>
  <si>
    <t>Junction-to-Ambient Resistance</t>
  </si>
  <si>
    <t>Transconductance</t>
  </si>
  <si>
    <t>Threshold Voltage</t>
  </si>
  <si>
    <t>Switch Point Voltage of FETs</t>
  </si>
  <si>
    <t>Control MOSFET Loss</t>
  </si>
  <si>
    <t>SYNC MOSFET Loss</t>
  </si>
  <si>
    <t>BUCK CONTROLLER POWER DESIGN TOOL</t>
  </si>
  <si>
    <t>High-side</t>
  </si>
  <si>
    <t>0508</t>
  </si>
  <si>
    <r>
      <t>C</t>
    </r>
    <r>
      <rPr>
        <vertAlign val="subscript"/>
        <sz val="10"/>
        <rFont val="Arial"/>
        <family val="2"/>
      </rPr>
      <t>VDDA</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</si>
  <si>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</si>
  <si>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</si>
  <si>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</si>
  <si>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</si>
  <si>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</si>
  <si>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Dual  Outputs</t>
  </si>
  <si>
    <t>Single Output – 2  Phases</t>
  </si>
  <si>
    <t>Single Output – 3  Phases</t>
  </si>
  <si>
    <t>Single Output – 4  Phases</t>
  </si>
  <si>
    <t>BODE_PLOT_TYPE</t>
  </si>
  <si>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</si>
  <si>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</si>
  <si>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</si>
  <si>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</si>
  <si>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</si>
  <si>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</si>
  <si>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</si>
  <si>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</si>
  <si>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</si>
  <si>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</si>
  <si>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</si>
  <si>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</si>
  <si>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</si>
  <si>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</si>
  <si>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</si>
  <si>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</si>
  <si>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</si>
  <si>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</si>
  <si>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</si>
  <si>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</si>
  <si>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</si>
  <si>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I_VCC</t>
  </si>
  <si>
    <t>LDO Loss Saved from Gate Drive Current (ext VCC)</t>
  </si>
  <si>
    <t>IC Power Dissipation</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</si>
  <si>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</si>
  <si>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</si>
  <si>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</si>
  <si>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</si>
  <si>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</si>
  <si>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</si>
  <si>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</si>
  <si>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</si>
  <si>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</si>
  <si>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</si>
  <si>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</si>
  <si>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</si>
  <si>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</si>
  <si>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</si>
  <si>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</si>
  <si>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</si>
  <si>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</si>
  <si>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</si>
  <si>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</si>
  <si>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</si>
  <si>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</si>
  <si>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</si>
  <si>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</si>
  <si>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14ns for LM513-Q1</t>
  </si>
  <si>
    <t>Power MOSFETs</t>
  </si>
  <si>
    <t>Load Pole Frequency</t>
  </si>
  <si>
    <t>ESR Zero Frequency</t>
  </si>
  <si>
    <t xml:space="preserve">Inductor DCR </t>
  </si>
  <si>
    <t>Output Voltage Ripple Spec</t>
  </si>
  <si>
    <t>Minimum Output Capacitance</t>
  </si>
  <si>
    <r>
      <t>C</t>
    </r>
    <r>
      <rPr>
        <vertAlign val="subscript"/>
        <sz val="10"/>
        <rFont val="Arial"/>
        <family val="2"/>
      </rPr>
      <t>BOOT</t>
    </r>
  </si>
  <si>
    <r>
      <t>C</t>
    </r>
    <r>
      <rPr>
        <vertAlign val="subscript"/>
        <sz val="10"/>
        <rFont val="Arial"/>
        <family val="2"/>
      </rPr>
      <t>VCC</t>
    </r>
    <r>
      <rPr>
        <sz val="10"/>
        <rFont val="Arial"/>
        <family val="2"/>
      </rPr>
      <t>,</t>
    </r>
    <r>
      <rPr>
        <sz val="10"/>
        <rFont val="Arial"/>
        <family val="2"/>
      </rPr>
      <t xml:space="preserve"> C</t>
    </r>
    <r>
      <rPr>
        <vertAlign val="subscript"/>
        <sz val="10"/>
        <rFont val="Arial"/>
        <family val="2"/>
      </rPr>
      <t>VCCX</t>
    </r>
  </si>
  <si>
    <r>
      <t>L</t>
    </r>
    <r>
      <rPr>
        <vertAlign val="subscript"/>
        <sz val="10"/>
        <rFont val="Arial"/>
        <family val="2"/>
      </rPr>
      <t>O</t>
    </r>
  </si>
  <si>
    <r>
      <t>R</t>
    </r>
    <r>
      <rPr>
        <vertAlign val="subscript"/>
        <sz val="10"/>
        <rFont val="Arial"/>
        <family val="2"/>
      </rPr>
      <t>S</t>
    </r>
  </si>
  <si>
    <t xml:space="preserve">   ** Tie VCCX to GND if not used **</t>
  </si>
  <si>
    <r>
      <t>Inductance, L</t>
    </r>
    <r>
      <rPr>
        <b/>
        <vertAlign val="subscript"/>
        <sz val="10"/>
        <color theme="1"/>
        <rFont val="Arial"/>
        <family val="2"/>
      </rPr>
      <t>O</t>
    </r>
    <r>
      <rPr>
        <b/>
        <sz val="10"/>
        <color theme="1"/>
        <rFont val="Arial"/>
        <family val="2"/>
      </rPr>
      <t xml:space="preserve"> </t>
    </r>
  </si>
  <si>
    <t>OSC setting</t>
  </si>
  <si>
    <t>Rt1</t>
  </si>
  <si>
    <t>Output Voltage Setting</t>
  </si>
  <si>
    <t>Schematic setting</t>
  </si>
  <si>
    <t>Cd</t>
  </si>
  <si>
    <t>Step 3: Buck Inductance</t>
  </si>
  <si>
    <t>Step 2: Current Sense Resistor</t>
  </si>
  <si>
    <r>
      <t>R</t>
    </r>
    <r>
      <rPr>
        <vertAlign val="subscript"/>
        <sz val="10"/>
        <rFont val="Arial"/>
        <family val="2"/>
      </rPr>
      <t>CS</t>
    </r>
  </si>
  <si>
    <t>VQFN-24</t>
  </si>
  <si>
    <r>
      <t>Output Capacitance (derated), C</t>
    </r>
    <r>
      <rPr>
        <b/>
        <vertAlign val="subscript"/>
        <sz val="10"/>
        <rFont val="Arial"/>
        <family val="2"/>
      </rPr>
      <t>OUT</t>
    </r>
    <r>
      <rPr>
        <b/>
        <sz val="10"/>
        <rFont val="Arial"/>
        <family val="2"/>
      </rPr>
      <t xml:space="preserve"> </t>
    </r>
  </si>
  <si>
    <r>
      <t>Input Capacitance (derated), C</t>
    </r>
    <r>
      <rPr>
        <b/>
        <vertAlign val="subscript"/>
        <sz val="10"/>
        <color theme="1"/>
        <rFont val="Arial"/>
        <family val="2"/>
      </rPr>
      <t>IN</t>
    </r>
    <r>
      <rPr>
        <b/>
        <sz val="10"/>
        <color theme="1"/>
        <rFont val="Arial"/>
        <family val="2"/>
      </rPr>
      <t xml:space="preserve"> </t>
    </r>
  </si>
  <si>
    <t>mc = 1 + Se/Sn for peak current-mode buck</t>
  </si>
  <si>
    <t>External Compensation</t>
  </si>
  <si>
    <t>Internal Compensation</t>
  </si>
  <si>
    <t>COMP_TYPE</t>
  </si>
  <si>
    <t>Step 8: AEF</t>
  </si>
  <si>
    <t>Cinj_AEF</t>
  </si>
  <si>
    <t>Rdamp_AEF</t>
  </si>
  <si>
    <t>Gop_AEF</t>
  </si>
  <si>
    <t>n</t>
  </si>
  <si>
    <t>Cdamp_AEF</t>
  </si>
  <si>
    <t>dBuV</t>
  </si>
  <si>
    <t>VinRipple_dBuV</t>
  </si>
  <si>
    <t>CISPR 25 limit</t>
  </si>
  <si>
    <t>Attenuation required</t>
  </si>
  <si>
    <t>Filter Frequency Required</t>
  </si>
  <si>
    <t>Lfilter</t>
  </si>
  <si>
    <t>Ccomp_AEF</t>
  </si>
  <si>
    <t>Rcomp_AEF</t>
  </si>
  <si>
    <t>Csen_AEF</t>
  </si>
  <si>
    <t>Passive</t>
  </si>
  <si>
    <t>INFILTER_TYPE</t>
  </si>
  <si>
    <t>No Input Filter</t>
  </si>
  <si>
    <t>AEF Input Filter</t>
  </si>
  <si>
    <t>Passive LC Filter</t>
  </si>
  <si>
    <t>Filter Attenuation</t>
  </si>
  <si>
    <t>Attenuation at Fsw</t>
  </si>
  <si>
    <t>dB-µV</t>
  </si>
  <si>
    <t>VIN Ripple</t>
  </si>
  <si>
    <t>jω</t>
  </si>
  <si>
    <t>Numerator</t>
  </si>
  <si>
    <t>Denominator</t>
  </si>
  <si>
    <t>Magnitude</t>
  </si>
  <si>
    <t>Phase</t>
  </si>
  <si>
    <t>-jω^3</t>
  </si>
  <si>
    <t>-ω^2</t>
  </si>
  <si>
    <t>Gop</t>
  </si>
  <si>
    <t>AEF Numerator</t>
  </si>
  <si>
    <t>AEF Denominator</t>
  </si>
  <si>
    <t>Cin_Passive</t>
  </si>
  <si>
    <t>Rdamp_Passive</t>
  </si>
  <si>
    <t>Cdamp_Pssv</t>
  </si>
  <si>
    <t>Cdamp_Passive</t>
  </si>
  <si>
    <t>Conducted EMC at Fsw</t>
  </si>
  <si>
    <t>Fsw Conducted EMC</t>
  </si>
  <si>
    <t>dB</t>
  </si>
  <si>
    <t xml:space="preserve">                           LM5149-Q1 Synchronous Buck Controller Design Tool</t>
  </si>
  <si>
    <t>Passive Cf</t>
  </si>
  <si>
    <t>Suggested Cdamp</t>
  </si>
  <si>
    <t>Suggested Rdamp</t>
  </si>
  <si>
    <t>Chosen Inductor</t>
  </si>
  <si>
    <t>Chosen Cdamp</t>
  </si>
  <si>
    <t>Chosen Rdamp</t>
  </si>
  <si>
    <t>Suggested Inductor</t>
  </si>
  <si>
    <t>Choose Filter</t>
  </si>
  <si>
    <t>AEF Filter Inductor</t>
  </si>
  <si>
    <t>Cdamp</t>
  </si>
  <si>
    <t>Rdamp</t>
  </si>
  <si>
    <t>(kHz)</t>
  </si>
  <si>
    <t>SetVout_IntComp_nAEF</t>
  </si>
  <si>
    <t>SetVout_ExtComp_AEF</t>
  </si>
  <si>
    <t>SetVout_IntComp_AEF</t>
  </si>
  <si>
    <t>SetVout_ExtComp_nAEF</t>
  </si>
  <si>
    <t>AdjVout_IntComp_nAEF</t>
  </si>
  <si>
    <t>AdjVout_IntComp_AEF</t>
  </si>
  <si>
    <t>AdjVout_ExtComp_nAEF</t>
  </si>
  <si>
    <t>AdjVout_ExtComp_AEF</t>
  </si>
  <si>
    <t>12V</t>
  </si>
  <si>
    <t>Cinj</t>
  </si>
  <si>
    <t>Internal Values</t>
  </si>
  <si>
    <t>Internal Comp Crossover</t>
  </si>
  <si>
    <t>Error Amp Pole Frequency</t>
  </si>
  <si>
    <t>RT resistor to AGND</t>
  </si>
  <si>
    <t>Rd</t>
  </si>
  <si>
    <t>Feedback Gain</t>
  </si>
  <si>
    <t>p1p2</t>
  </si>
  <si>
    <t>Feedback natural frequencies</t>
  </si>
  <si>
    <t>wff</t>
  </si>
  <si>
    <t>wfbt</t>
  </si>
  <si>
    <t>wfbb</t>
  </si>
  <si>
    <t>w1</t>
  </si>
  <si>
    <t>Rff</t>
  </si>
  <si>
    <t>Cff</t>
  </si>
  <si>
    <t>Cfb</t>
  </si>
  <si>
    <t>Cfb*(Rff+RFBT)/(Rff*RFBT))</t>
  </si>
  <si>
    <t>zterm1</t>
  </si>
  <si>
    <t>pterm3</t>
  </si>
  <si>
    <t>pterm4</t>
  </si>
  <si>
    <t>Afbr</t>
  </si>
  <si>
    <t>wfft</t>
  </si>
  <si>
    <t>dBµV</t>
  </si>
  <si>
    <t>Chooses CISPR conducted limit 35 at 2.1MHz and 50 at 440kHz</t>
  </si>
  <si>
    <t>Margin of attenuation req</t>
  </si>
  <si>
    <t>assume 40db/decade drop and set frequency based on attenuation</t>
  </si>
  <si>
    <t>user input</t>
  </si>
  <si>
    <t>AEF Comp network &amp; sense is specifically defined at 2.2MHz at 440kHz</t>
  </si>
  <si>
    <t>n should be 2 or 3</t>
  </si>
  <si>
    <t>PFM</t>
  </si>
  <si>
    <t>FPWM/PFM</t>
  </si>
  <si>
    <r>
      <t>Configuration Resistor, R</t>
    </r>
    <r>
      <rPr>
        <vertAlign val="subscript"/>
        <sz val="10"/>
        <rFont val="Arial"/>
        <family val="2"/>
      </rPr>
      <t>CNFG</t>
    </r>
  </si>
  <si>
    <t>Enable Hysteresis Current</t>
  </si>
  <si>
    <t>10 µA Hysteresis Current</t>
  </si>
  <si>
    <t>Turn ON Voltage</t>
  </si>
  <si>
    <t>Hysteresis Voltage</t>
  </si>
  <si>
    <t>Upper FB resistor</t>
  </si>
  <si>
    <t>Lower FB resister</t>
  </si>
  <si>
    <t>Standard upper FB resistor</t>
  </si>
  <si>
    <t>Standard lower FB resistor</t>
  </si>
  <si>
    <t>Rent</t>
  </si>
  <si>
    <t>Renb</t>
  </si>
  <si>
    <t>UVLO Divider</t>
  </si>
  <si>
    <t>No UVLO Divider</t>
  </si>
  <si>
    <t>UVLO_TYPE</t>
  </si>
  <si>
    <t>RENT</t>
  </si>
  <si>
    <t>RENB</t>
  </si>
  <si>
    <t>Passive EMI at Fsw</t>
  </si>
  <si>
    <t>AEF EMI at Fsw</t>
  </si>
  <si>
    <t>0.1-10</t>
  </si>
  <si>
    <t>AEF</t>
  </si>
  <si>
    <t>Lfilter Passive</t>
  </si>
  <si>
    <t>Cfilter Passive</t>
  </si>
  <si>
    <t>Cdamp passive</t>
  </si>
  <si>
    <t>Rdamp passive</t>
  </si>
  <si>
    <t>1-10</t>
  </si>
  <si>
    <t>AEFCompare</t>
  </si>
  <si>
    <t>AEF comparison Values</t>
  </si>
  <si>
    <t>AEF Attenuation at Fsw</t>
  </si>
  <si>
    <t>Passive Attenuation at Fsw</t>
  </si>
  <si>
    <r>
      <t>C</t>
    </r>
    <r>
      <rPr>
        <vertAlign val="subscript"/>
        <sz val="10"/>
        <rFont val="Arial"/>
        <family val="2"/>
      </rPr>
      <t>DAMP</t>
    </r>
  </si>
  <si>
    <r>
      <t>R</t>
    </r>
    <r>
      <rPr>
        <vertAlign val="subscript"/>
        <sz val="10"/>
        <rFont val="Arial"/>
        <family val="2"/>
      </rPr>
      <t>DAMP</t>
    </r>
  </si>
  <si>
    <t>Slope comp</t>
  </si>
  <si>
    <t>RCNFG</t>
  </si>
  <si>
    <t>VCCX</t>
  </si>
  <si>
    <r>
      <t>Upper Enable Resistor, R</t>
    </r>
    <r>
      <rPr>
        <vertAlign val="subscript"/>
        <sz val="10"/>
        <rFont val="Arial"/>
        <family val="2"/>
      </rPr>
      <t>UV1</t>
    </r>
  </si>
  <si>
    <r>
      <t>Lower Enable Resistor, R</t>
    </r>
    <r>
      <rPr>
        <vertAlign val="subscript"/>
        <sz val="10"/>
        <rFont val="Arial"/>
        <family val="2"/>
      </rPr>
      <t>UV2</t>
    </r>
  </si>
  <si>
    <r>
      <t>Design tab - L</t>
    </r>
    <r>
      <rPr>
        <vertAlign val="subscript"/>
        <sz val="10"/>
        <color theme="1"/>
        <rFont val="Arial"/>
        <family val="2"/>
      </rPr>
      <t>AEF</t>
    </r>
  </si>
  <si>
    <r>
      <t>Design tab - C</t>
    </r>
    <r>
      <rPr>
        <vertAlign val="subscript"/>
        <sz val="10"/>
        <rFont val="Arial"/>
        <family val="2"/>
      </rPr>
      <t>INJ</t>
    </r>
  </si>
  <si>
    <r>
      <t>Design tab - C</t>
    </r>
    <r>
      <rPr>
        <vertAlign val="subscript"/>
        <sz val="10"/>
        <rFont val="Arial"/>
        <family val="2"/>
      </rPr>
      <t>DAMP</t>
    </r>
  </si>
  <si>
    <r>
      <t>Design tab - R</t>
    </r>
    <r>
      <rPr>
        <vertAlign val="subscript"/>
        <sz val="10"/>
        <rFont val="Arial"/>
        <family val="2"/>
      </rPr>
      <t>DAMP</t>
    </r>
  </si>
  <si>
    <r>
      <t>L</t>
    </r>
    <r>
      <rPr>
        <vertAlign val="subscript"/>
        <sz val="10"/>
        <color theme="1"/>
        <rFont val="Arial"/>
        <family val="2"/>
      </rPr>
      <t>AEF</t>
    </r>
  </si>
  <si>
    <r>
      <t>C</t>
    </r>
    <r>
      <rPr>
        <vertAlign val="subscript"/>
        <sz val="10"/>
        <rFont val="Arial"/>
        <family val="2"/>
      </rPr>
      <t>INJ</t>
    </r>
  </si>
  <si>
    <r>
      <t>Chosen L</t>
    </r>
    <r>
      <rPr>
        <vertAlign val="subscript"/>
        <sz val="10"/>
        <color theme="1"/>
        <rFont val="Arial"/>
        <family val="2"/>
      </rPr>
      <t>IN</t>
    </r>
  </si>
  <si>
    <r>
      <t>Chosen R</t>
    </r>
    <r>
      <rPr>
        <vertAlign val="subscript"/>
        <sz val="10"/>
        <rFont val="Arial"/>
        <family val="2"/>
      </rPr>
      <t>DAMP</t>
    </r>
  </si>
  <si>
    <r>
      <t>Chosen C</t>
    </r>
    <r>
      <rPr>
        <vertAlign val="subscript"/>
        <sz val="10"/>
        <rFont val="Arial"/>
        <family val="2"/>
      </rPr>
      <t>DAMP</t>
    </r>
  </si>
  <si>
    <r>
      <t>Chosen C</t>
    </r>
    <r>
      <rPr>
        <vertAlign val="subscript"/>
        <sz val="10"/>
        <rFont val="Arial"/>
        <family val="2"/>
      </rPr>
      <t>F</t>
    </r>
  </si>
  <si>
    <r>
      <t>Suggested R</t>
    </r>
    <r>
      <rPr>
        <vertAlign val="subscript"/>
        <sz val="10"/>
        <rFont val="Arial"/>
        <family val="2"/>
      </rPr>
      <t>DAMP</t>
    </r>
  </si>
  <si>
    <r>
      <t>Suggested C</t>
    </r>
    <r>
      <rPr>
        <vertAlign val="subscript"/>
        <sz val="10"/>
        <rFont val="Arial"/>
        <family val="2"/>
      </rPr>
      <t>DAMP</t>
    </r>
  </si>
  <si>
    <r>
      <t>Suggested C</t>
    </r>
    <r>
      <rPr>
        <vertAlign val="subscript"/>
        <sz val="10"/>
        <rFont val="Arial"/>
        <family val="2"/>
      </rPr>
      <t>F</t>
    </r>
  </si>
  <si>
    <r>
      <t>Suggested L</t>
    </r>
    <r>
      <rPr>
        <vertAlign val="subscript"/>
        <sz val="10"/>
        <color theme="1"/>
        <rFont val="Arial"/>
        <family val="2"/>
      </rPr>
      <t>IN</t>
    </r>
    <r>
      <rPr>
        <sz val="10"/>
        <color theme="1"/>
        <rFont val="Arial"/>
        <family val="2"/>
      </rPr>
      <t xml:space="preserve"> Inductor</t>
    </r>
  </si>
  <si>
    <t>Rd_AEF</t>
  </si>
  <si>
    <t>Cinmin_Vinmin</t>
  </si>
  <si>
    <t>Vinripple2_Vinmin</t>
  </si>
  <si>
    <t>Cinmin_Vinnom</t>
  </si>
  <si>
    <t>Vinripple2_Vinnom</t>
  </si>
  <si>
    <t xml:space="preserve">                           LM(2)5149-Q1 Synchronous Buck Controller Design Tool</t>
  </si>
  <si>
    <t>VIN Ripple at Fsw</t>
  </si>
  <si>
    <t xml:space="preserve"> LM25149-Q1 Quickstart Design Tool</t>
  </si>
  <si>
    <t>LM25149-Q1EVM-2100 PCB Layout</t>
  </si>
  <si>
    <t>IC</t>
  </si>
  <si>
    <t>Step 5: Input Capacitors</t>
  </si>
  <si>
    <t xml:space="preserve">                      LM(2)5148/-Q1 Synchronous Buck Controller Design Tool</t>
  </si>
  <si>
    <r>
      <t>mV</t>
    </r>
    <r>
      <rPr>
        <b/>
        <vertAlign val="subscript"/>
        <sz val="10"/>
        <rFont val="Arial"/>
        <family val="2"/>
      </rPr>
      <t>PK=PK</t>
    </r>
  </si>
  <si>
    <r>
      <t>mV</t>
    </r>
    <r>
      <rPr>
        <vertAlign val="subscript"/>
        <sz val="10"/>
        <rFont val="Arial"/>
        <family val="2"/>
      </rPr>
      <t>PK-PK</t>
    </r>
  </si>
  <si>
    <r>
      <t>A</t>
    </r>
    <r>
      <rPr>
        <vertAlign val="subscript"/>
        <sz val="10"/>
        <rFont val="Arial"/>
        <family val="2"/>
      </rPr>
      <t>RMS</t>
    </r>
  </si>
  <si>
    <r>
      <t>mV</t>
    </r>
    <r>
      <rPr>
        <b/>
        <vertAlign val="subscript"/>
        <sz val="10"/>
        <rFont val="Arial"/>
        <family val="2"/>
      </rPr>
      <t>PK-PK</t>
    </r>
  </si>
  <si>
    <t>Input Voltage UVLO Turn On</t>
  </si>
  <si>
    <t>Input Voltage UVLO Turn Off</t>
  </si>
  <si>
    <t>Output Setting</t>
  </si>
  <si>
    <t>DRSS Enabled</t>
  </si>
  <si>
    <t>DRSS Disabled</t>
  </si>
  <si>
    <t>DRSS Yes/No</t>
  </si>
  <si>
    <t>LM5148</t>
  </si>
  <si>
    <t>LM5148-Q1</t>
  </si>
  <si>
    <t>LM25148</t>
  </si>
  <si>
    <t>LM25148-Q1</t>
  </si>
  <si>
    <t>VARIANT</t>
  </si>
  <si>
    <t>VIN-MAX</t>
  </si>
  <si>
    <t>VOUT-MAX</t>
  </si>
  <si>
    <t>Core loss</t>
  </si>
  <si>
    <t xml:space="preserve">   ** Tie PFM to VDDA for PFM, AGND for FPWM **</t>
  </si>
  <si>
    <r>
      <t>C</t>
    </r>
    <r>
      <rPr>
        <vertAlign val="subscript"/>
        <sz val="10"/>
        <rFont val="Arial"/>
        <family val="2"/>
      </rPr>
      <t>COMP</t>
    </r>
  </si>
  <si>
    <r>
      <t>C</t>
    </r>
    <r>
      <rPr>
        <vertAlign val="subscript"/>
        <sz val="10"/>
        <rFont val="Arial"/>
        <family val="2"/>
      </rPr>
      <t>HF</t>
    </r>
  </si>
  <si>
    <r>
      <t>R</t>
    </r>
    <r>
      <rPr>
        <vertAlign val="subscript"/>
        <sz val="10"/>
        <rFont val="Arial"/>
        <family val="2"/>
      </rPr>
      <t>COMP</t>
    </r>
  </si>
  <si>
    <r>
      <t>R</t>
    </r>
    <r>
      <rPr>
        <vertAlign val="subscript"/>
        <sz val="10"/>
        <rFont val="Arial"/>
        <family val="2"/>
      </rPr>
      <t>PG</t>
    </r>
  </si>
  <si>
    <t>CinEsrMax_Vinmin</t>
  </si>
  <si>
    <t>'852, '824</t>
  </si>
  <si>
    <t>Step 6: Precision Enable, DRSS, FPWM / PFM</t>
  </si>
  <si>
    <t>Inductance for Ideal Slope Comp</t>
  </si>
  <si>
    <r>
      <t>Estimate Core Loss at V</t>
    </r>
    <r>
      <rPr>
        <b/>
        <vertAlign val="subscript"/>
        <sz val="10"/>
        <rFont val="Arial"/>
        <family val="2"/>
      </rPr>
      <t>IN(nom)</t>
    </r>
  </si>
  <si>
    <r>
      <t>Shunt Resistance, R</t>
    </r>
    <r>
      <rPr>
        <b/>
        <vertAlign val="subscript"/>
        <sz val="10"/>
        <color theme="1"/>
        <rFont val="Arial"/>
        <family val="2"/>
      </rPr>
      <t>S</t>
    </r>
  </si>
  <si>
    <t>Recommended Shunt Resistance</t>
  </si>
  <si>
    <t>Max Power Loss in Shunt</t>
  </si>
  <si>
    <r>
      <t xml:space="preserve">** Effective input and output capacitances should be appropriately </t>
    </r>
    <r>
      <rPr>
        <u/>
        <sz val="10"/>
        <color rgb="FFFF0000"/>
        <rFont val="Arial"/>
        <family val="2"/>
      </rPr>
      <t>derated</t>
    </r>
    <r>
      <rPr>
        <sz val="10"/>
        <rFont val="Arial"/>
        <family val="2"/>
      </rPr>
      <t xml:space="preserve"> for applied voltage and temperature, particularly with ceramics **</t>
    </r>
  </si>
  <si>
    <t>High-Efficiency Synchronous Buck Regulator BOM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</si>
</sst>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Inductor, &quot;General&quot;-µH, 10%&quot;"/>
    <numFmt numFmtId="178" formatCode="0.0%"/>
    <numFmt numFmtId="179" formatCode="0.0E+00"/>
    <numFmt numFmtId="180" formatCode="General&quot;m&quot;"/>
    <numFmt numFmtId="181" formatCode="0.0.E+00"/>
    <numFmt numFmtId="182" formatCode="&quot;MOSFET, N-CH, 40V, &quot;General&quot;mΩ&quot;"/>
    <numFmt numFmtId="183" formatCode="&quot;Capacitor, Ceramic, &quot;General&quot;µF, 25V, X7R, 20%&quot;"/>
    <numFmt numFmtId="184" formatCode="&quot;Capacitor, Ceramic, &quot;General&quot;nF, 16V, X7R, 10%&quot;"/>
    <numFmt numFmtId="185" formatCode="&quot;Capacitor, Ceramic, &quot;General&quot;pF, 50V, NP0, 5%&quot;"/>
    <numFmt numFmtId="186" formatCode="&quot;Capacitor, Ceramic, &quot;General&quot;µF, 50V, X7R, 20%&quot;"/>
    <numFmt numFmtId="187" formatCode="&quot;Capacitor, Ceramic, &quot;General&quot;µF, 10V, X7R, 20%&quot;"/>
    <numFmt numFmtId="188" formatCode="&quot;Resistor, Chip, &quot;General&quot;kΩ, 1/16W, 1%&quot;"/>
    <numFmt numFmtId="189" formatCode="&quot;Resistor, Chip, &quot;General&quot;Ω, 1/16W, 1%&quot;"/>
    <numFmt numFmtId="190" formatCode="&quot;Resistor, Chip, &quot;General&quot;mΩ, 2W, 1%&quot;"/>
  </numFmts>
  <fonts count="95"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9"/>
      <color indexed="81"/>
      <name val="Tahoma"/>
      <family val="2"/>
    </font>
    <font>
      <b/>
      <sz val="10"/>
      <color indexed="81"/>
      <name val="Tahoma"/>
      <family val="2"/>
    </font>
    <font>
      <sz val="9"/>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b/>
      <sz val="10"/>
      <color rgb="FFCC00FF"/>
      <name val="Arial"/>
      <family val="2"/>
    </font>
    <font>
      <sz val="10"/>
      <color theme="0"/>
      <name val="Arial"/>
      <family val="2"/>
    </font>
    <font>
      <sz val="10"/>
      <color rgb="FFE8FCFE"/>
      <name val="Arial"/>
      <family val="2"/>
    </font>
    <font>
      <sz val="11"/>
      <name val="Calibri"/>
      <family val="2"/>
    </font>
    <font>
      <b/>
      <sz val="10"/>
      <color theme="0"/>
      <name val="Arial"/>
      <family val="2"/>
    </font>
    <font>
      <sz val="14"/>
      <name val="Calibri"/>
      <family val="2"/>
    </font>
    <font>
      <sz val="11"/>
      <color rgb="FF9C0006"/>
      <name val="Calibri"/>
      <family val="2"/>
      <scheme val="minor"/>
    </font>
    <font>
      <b/>
      <sz val="12"/>
      <name val="Arial"/>
      <family val="2"/>
    </font>
    <font>
      <b/>
      <sz val="14"/>
      <name val="Arial"/>
      <family val="2"/>
    </font>
    <font>
      <b/>
      <sz val="12"/>
      <color theme="0"/>
      <name val="Arial"/>
      <family val="2"/>
    </font>
    <font>
      <u/>
      <sz val="10"/>
      <color rgb="FFFF0000"/>
      <name val="Arial"/>
      <family val="2"/>
    </font>
  </fonts>
  <fills count="2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s>
  <cellStyleXfs count="7">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0" fontId="90" fillId="27" borderId="0" applyNumberFormat="0" applyBorder="0" applyAlignment="0" applyProtection="0"/>
  </cellStyleXfs>
  <cellXfs count="892">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0"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3" fillId="9" borderId="0" xfId="0" applyFont="1" applyFill="1"/>
    <xf numFmtId="1" fontId="3" fillId="19" borderId="0" xfId="0" applyNumberFormat="1" applyFont="1" applyFill="1" applyProtection="1">
      <protection locked="0"/>
    </xf>
    <xf numFmtId="0" fontId="55"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5" fillId="16" borderId="0" xfId="0" applyFont="1" applyFill="1"/>
    <xf numFmtId="1" fontId="52" fillId="9" borderId="0" xfId="0" applyNumberFormat="1" applyFont="1" applyFill="1" applyAlignment="1">
      <alignment horizontal="right"/>
    </xf>
    <xf numFmtId="0" fontId="57" fillId="15" borderId="19" xfId="0" applyFont="1" applyFill="1" applyBorder="1"/>
    <xf numFmtId="0" fontId="55"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58" fillId="9" borderId="0" xfId="0" applyFont="1" applyFill="1"/>
    <xf numFmtId="0" fontId="2" fillId="9" borderId="0" xfId="0" applyFont="1" applyFill="1" applyAlignment="1">
      <alignment horizontal="left"/>
    </xf>
    <xf numFmtId="0" fontId="56" fillId="19" borderId="0" xfId="0" applyFont="1" applyFill="1" applyAlignment="1" applyProtection="1">
      <alignment horizontal="right"/>
      <protection locked="0" hidden="1"/>
    </xf>
    <xf numFmtId="0" fontId="59" fillId="15" borderId="19" xfId="0" applyFont="1" applyFill="1" applyBorder="1"/>
    <xf numFmtId="0" fontId="22" fillId="9" borderId="28" xfId="0" applyFont="1" applyFill="1" applyBorder="1"/>
    <xf numFmtId="1" fontId="2" fillId="9" borderId="0" xfId="0" applyNumberFormat="1" applyFont="1" applyFill="1"/>
    <xf numFmtId="0" fontId="61"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1"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56" fillId="19" borderId="41" xfId="0" applyFont="1" applyFill="1" applyBorder="1" applyAlignment="1" applyProtection="1">
      <alignment horizontal="right"/>
      <protection locked="0" hidden="1"/>
    </xf>
    <xf numFmtId="0" fontId="56" fillId="9" borderId="42" xfId="0" applyFont="1" applyFill="1" applyBorder="1" applyAlignment="1">
      <alignment horizontal="left"/>
    </xf>
    <xf numFmtId="0" fontId="56"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56" fillId="19" borderId="45" xfId="0" applyFont="1" applyFill="1" applyBorder="1" applyAlignment="1" applyProtection="1">
      <alignment horizontal="right"/>
      <protection locked="0" hidden="1"/>
    </xf>
    <xf numFmtId="0" fontId="56"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57"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9" borderId="44" xfId="0" applyFont="1" applyFill="1" applyBorder="1"/>
    <xf numFmtId="0" fontId="3" fillId="9" borderId="45" xfId="0" applyFont="1" applyFill="1" applyBorder="1"/>
    <xf numFmtId="0" fontId="2" fillId="9" borderId="48" xfId="0" applyFont="1" applyFill="1" applyBorder="1"/>
    <xf numFmtId="0" fontId="65" fillId="9" borderId="0" xfId="0" applyFont="1" applyFill="1"/>
    <xf numFmtId="0" fontId="65" fillId="9" borderId="29" xfId="0" applyFont="1" applyFill="1" applyBorder="1"/>
    <xf numFmtId="171" fontId="65" fillId="18" borderId="0" xfId="0" applyNumberFormat="1" applyFont="1" applyFill="1" applyAlignment="1">
      <alignment horizontal="center"/>
    </xf>
    <xf numFmtId="0" fontId="65" fillId="18" borderId="0" xfId="0" applyFont="1" applyFill="1"/>
    <xf numFmtId="171" fontId="65" fillId="3" borderId="0" xfId="0" applyNumberFormat="1" applyFont="1" applyFill="1" applyAlignment="1">
      <alignment horizontal="center"/>
    </xf>
    <xf numFmtId="0" fontId="65" fillId="3" borderId="0" xfId="0" applyFont="1" applyFill="1"/>
    <xf numFmtId="0" fontId="63"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4" fillId="9" borderId="28" xfId="0" applyFont="1" applyFill="1" applyBorder="1" applyAlignment="1">
      <alignment vertical="center"/>
    </xf>
    <xf numFmtId="0" fontId="63" fillId="9" borderId="0" xfId="0" applyFont="1" applyFill="1" applyAlignment="1">
      <alignment horizontal="right" vertical="center"/>
    </xf>
    <xf numFmtId="0" fontId="63" fillId="0" borderId="0" xfId="0" applyFont="1" applyAlignment="1">
      <alignment horizontal="left" vertical="center"/>
    </xf>
    <xf numFmtId="0" fontId="2" fillId="0" borderId="1" xfId="0" applyFont="1" applyBorder="1"/>
    <xf numFmtId="0" fontId="2" fillId="0" borderId="28" xfId="0" applyFont="1" applyBorder="1"/>
    <xf numFmtId="0" fontId="68"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176"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0"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1"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1" fillId="16" borderId="2" xfId="0" applyFont="1" applyFill="1" applyBorder="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1"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1"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0" fillId="16" borderId="0" xfId="0" applyFont="1" applyFill="1" applyAlignment="1">
      <alignment horizontal="center"/>
    </xf>
    <xf numFmtId="168" fontId="2" fillId="9" borderId="0" xfId="0" applyNumberFormat="1" applyFont="1" applyFill="1"/>
    <xf numFmtId="2" fontId="0" fillId="2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58"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68" fillId="0" borderId="77" xfId="0" applyFont="1" applyBorder="1"/>
    <xf numFmtId="1" fontId="58" fillId="0" borderId="0" xfId="0" applyNumberFormat="1" applyFont="1"/>
    <xf numFmtId="0" fontId="75" fillId="0" borderId="0" xfId="0" applyFont="1"/>
    <xf numFmtId="167" fontId="58"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1" fillId="0" borderId="0" xfId="0" applyNumberFormat="1" applyFont="1"/>
    <xf numFmtId="0" fontId="61" fillId="0" borderId="0" xfId="0" applyFont="1"/>
    <xf numFmtId="0" fontId="68"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78"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1" fillId="0" borderId="0" xfId="0" applyNumberFormat="1" applyFont="1"/>
    <xf numFmtId="179" fontId="3" fillId="12" borderId="0" xfId="0" applyNumberFormat="1" applyFont="1" applyFill="1"/>
    <xf numFmtId="179" fontId="2" fillId="4" borderId="0" xfId="0" applyNumberFormat="1" applyFont="1" applyFill="1"/>
    <xf numFmtId="179" fontId="30" fillId="4" borderId="0" xfId="0" applyNumberFormat="1" applyFont="1" applyFill="1"/>
    <xf numFmtId="179" fontId="0" fillId="12" borderId="0" xfId="0" applyNumberFormat="1" applyFill="1"/>
    <xf numFmtId="179"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0" fontId="2" fillId="21" borderId="11" xfId="3" applyNumberFormat="1" applyFill="1" applyBorder="1" applyAlignment="1">
      <alignment horizontal="center"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68"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58" fillId="19" borderId="23" xfId="0" applyFont="1" applyFill="1" applyBorder="1" applyAlignment="1">
      <alignment horizontal="center" vertical="center" wrapText="1"/>
    </xf>
    <xf numFmtId="0" fontId="3" fillId="9" borderId="77" xfId="0" applyFont="1" applyFill="1" applyBorder="1"/>
    <xf numFmtId="0" fontId="2" fillId="9" borderId="77" xfId="0" applyFont="1" applyFill="1" applyBorder="1"/>
    <xf numFmtId="0" fontId="2" fillId="9" borderId="76" xfId="0" applyFont="1" applyFill="1" applyBorder="1"/>
    <xf numFmtId="0" fontId="74"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3" fillId="9" borderId="77" xfId="0" applyFont="1" applyFill="1" applyBorder="1" applyAlignment="1">
      <alignment horizontal="left"/>
    </xf>
    <xf numFmtId="0" fontId="3" fillId="4" borderId="0" xfId="0" applyFont="1" applyFill="1"/>
    <xf numFmtId="0" fontId="69" fillId="3" borderId="49" xfId="3" applyFont="1" applyFill="1" applyBorder="1" applyAlignment="1">
      <alignment horizontal="center" vertical="center"/>
    </xf>
    <xf numFmtId="0" fontId="69" fillId="3" borderId="50" xfId="3" applyFont="1" applyFill="1" applyBorder="1" applyAlignment="1">
      <alignment horizontal="center" vertical="center"/>
    </xf>
    <xf numFmtId="0" fontId="69" fillId="3" borderId="50" xfId="3" applyFont="1" applyFill="1" applyBorder="1" applyAlignment="1">
      <alignment horizontal="left" vertical="center"/>
    </xf>
    <xf numFmtId="168" fontId="0" fillId="0" borderId="0" xfId="0" applyNumberFormat="1" applyAlignment="1">
      <alignment horizontal="left"/>
    </xf>
    <xf numFmtId="0" fontId="63"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5"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67"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78" fillId="25" borderId="0" xfId="2" applyFont="1" applyFill="1" applyBorder="1" applyAlignment="1" applyProtection="1">
      <alignment horizontal="left" vertical="center"/>
    </xf>
    <xf numFmtId="0" fontId="78" fillId="25" borderId="0" xfId="2" applyFont="1" applyFill="1" applyAlignment="1" applyProtection="1"/>
    <xf numFmtId="167" fontId="3" fillId="24" borderId="0" xfId="0" applyNumberFormat="1" applyFont="1" applyFill="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79" fontId="3" fillId="0" borderId="0" xfId="0" applyNumberFormat="1" applyFont="1"/>
    <xf numFmtId="2" fontId="30" fillId="0" borderId="0" xfId="0" applyNumberFormat="1" applyFont="1"/>
    <xf numFmtId="0" fontId="70"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0" fillId="22" borderId="0" xfId="0" applyNumberFormat="1" applyFont="1" applyFill="1"/>
    <xf numFmtId="0" fontId="60"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0" fillId="0" borderId="0" xfId="0" applyFont="1" applyAlignment="1">
      <alignment horizontal="left"/>
    </xf>
    <xf numFmtId="0" fontId="58" fillId="0" borderId="0" xfId="0" applyFont="1" applyAlignment="1">
      <alignment horizontal="right"/>
    </xf>
    <xf numFmtId="0" fontId="58"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78" fontId="0" fillId="0" borderId="0" xfId="0" applyNumberFormat="1"/>
    <xf numFmtId="0" fontId="3" fillId="0" borderId="28" xfId="0" applyFont="1" applyBorder="1" applyAlignment="1">
      <alignment horizontal="center"/>
    </xf>
    <xf numFmtId="167" fontId="77"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58" fillId="2" borderId="6" xfId="0" applyFont="1" applyFill="1" applyBorder="1" applyAlignment="1">
      <alignment horizontal="center" vertical="center" wrapText="1"/>
    </xf>
    <xf numFmtId="168" fontId="75" fillId="0" borderId="0" xfId="0" applyNumberFormat="1" applyFont="1"/>
    <xf numFmtId="10" fontId="75" fillId="0" borderId="0" xfId="0" applyNumberFormat="1" applyFont="1" applyAlignment="1">
      <alignment horizontal="center"/>
    </xf>
    <xf numFmtId="168" fontId="2" fillId="16" borderId="0" xfId="0" applyNumberFormat="1" applyFont="1" applyFill="1"/>
    <xf numFmtId="0" fontId="3" fillId="9" borderId="45" xfId="0" applyFont="1" applyFill="1" applyBorder="1" applyAlignment="1">
      <alignment horizontal="left" vertical="center"/>
    </xf>
    <xf numFmtId="0" fontId="60" fillId="0" borderId="28" xfId="0" applyFont="1" applyBorder="1"/>
    <xf numFmtId="1" fontId="63" fillId="0" borderId="0" xfId="0" applyNumberFormat="1" applyFont="1"/>
    <xf numFmtId="167" fontId="7" fillId="0" borderId="0" xfId="0" applyNumberFormat="1" applyFont="1"/>
    <xf numFmtId="2" fontId="60" fillId="9" borderId="2" xfId="1" applyNumberFormat="1" applyFont="1" applyFill="1" applyBorder="1" applyAlignment="1" applyProtection="1">
      <alignment horizontal="right"/>
    </xf>
    <xf numFmtId="0" fontId="17" fillId="16" borderId="41" xfId="0" applyFont="1" applyFill="1" applyBorder="1"/>
    <xf numFmtId="0" fontId="17" fillId="16" borderId="45" xfId="0" applyFont="1" applyFill="1" applyBorder="1"/>
    <xf numFmtId="0" fontId="60" fillId="16" borderId="45" xfId="0" applyFont="1" applyFill="1" applyBorder="1" applyAlignment="1">
      <alignment horizontal="center"/>
    </xf>
    <xf numFmtId="168" fontId="2" fillId="9" borderId="45" xfId="0" applyNumberFormat="1" applyFont="1" applyFill="1" applyBorder="1" applyAlignment="1">
      <alignment vertical="center"/>
    </xf>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178" fontId="8" fillId="0" borderId="0" xfId="0" applyNumberFormat="1" applyFont="1"/>
    <xf numFmtId="0" fontId="2" fillId="16" borderId="45" xfId="0" applyFont="1" applyFill="1" applyBorder="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79" fontId="0" fillId="4" borderId="0" xfId="0" applyNumberFormat="1" applyFill="1"/>
    <xf numFmtId="0" fontId="2" fillId="23" borderId="0" xfId="0" applyFont="1" applyFill="1"/>
    <xf numFmtId="0" fontId="80" fillId="9" borderId="45" xfId="0" applyFont="1" applyFill="1" applyBorder="1" applyAlignment="1">
      <alignment horizontal="right" vertical="center"/>
    </xf>
    <xf numFmtId="0" fontId="84" fillId="0" borderId="0" xfId="0" applyFont="1" applyAlignment="1">
      <alignment horizontal="left"/>
    </xf>
    <xf numFmtId="1" fontId="2" fillId="9" borderId="0" xfId="0" applyNumberFormat="1" applyFont="1" applyFill="1" applyAlignment="1">
      <alignment horizontal="right"/>
    </xf>
    <xf numFmtId="0" fontId="84" fillId="0" borderId="0" xfId="0" applyFont="1" applyAlignment="1">
      <alignment horizontal="right"/>
    </xf>
    <xf numFmtId="0" fontId="61"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3"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3" fillId="9" borderId="45" xfId="0" applyNumberFormat="1" applyFont="1" applyFill="1" applyBorder="1" applyAlignment="1">
      <alignment horizontal="left" vertical="center"/>
    </xf>
    <xf numFmtId="0" fontId="3" fillId="9" borderId="80" xfId="0" applyFont="1" applyFill="1" applyBorder="1"/>
    <xf numFmtId="0" fontId="63" fillId="9" borderId="0" xfId="0" applyFont="1" applyFill="1" applyAlignment="1">
      <alignment horizontal="right"/>
    </xf>
    <xf numFmtId="0" fontId="63" fillId="9" borderId="0" xfId="0" applyFont="1" applyFill="1" applyAlignment="1">
      <alignment horizontal="left"/>
    </xf>
    <xf numFmtId="0" fontId="63" fillId="9" borderId="42" xfId="0" applyFont="1" applyFill="1" applyBorder="1" applyAlignment="1">
      <alignment horizontal="lef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9" borderId="45" xfId="0" applyFont="1" applyFill="1" applyBorder="1" applyAlignment="1" applyProtection="1">
      <alignment horizontal="right" vertical="center"/>
      <protection locked="0"/>
    </xf>
    <xf numFmtId="0" fontId="17" fillId="16" borderId="80" xfId="0" applyFont="1" applyFill="1" applyBorder="1"/>
    <xf numFmtId="0" fontId="3" fillId="16" borderId="0" xfId="0" applyFont="1" applyFill="1" applyAlignment="1">
      <alignment horizontal="right" vertical="center"/>
    </xf>
    <xf numFmtId="0" fontId="3" fillId="16" borderId="0" xfId="0" applyFont="1" applyFill="1" applyAlignment="1">
      <alignment vertical="center"/>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58" fillId="2" borderId="82" xfId="0" applyFont="1" applyFill="1" applyBorder="1" applyAlignment="1">
      <alignment horizontal="center" vertical="center" wrapText="1"/>
    </xf>
    <xf numFmtId="168" fontId="30" fillId="22" borderId="0" xfId="0" applyNumberFormat="1" applyFont="1" applyFill="1" applyAlignment="1">
      <alignment horizontal="right"/>
    </xf>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58" fillId="0" borderId="0" xfId="0" applyNumberFormat="1" applyFont="1"/>
    <xf numFmtId="0" fontId="2" fillId="16" borderId="0" xfId="0" applyFont="1" applyFill="1" applyAlignment="1">
      <alignment horizontal="right" vertical="top" readingOrder="1"/>
    </xf>
    <xf numFmtId="0" fontId="63" fillId="16" borderId="0" xfId="0" applyFont="1" applyFill="1" applyAlignment="1">
      <alignment horizontal="right"/>
    </xf>
    <xf numFmtId="0" fontId="2" fillId="16" borderId="0" xfId="0" applyFont="1" applyFill="1" applyAlignment="1">
      <alignment vertical="center"/>
    </xf>
    <xf numFmtId="1" fontId="2" fillId="16" borderId="0" xfId="0" applyNumberFormat="1" applyFont="1" applyFill="1" applyAlignment="1">
      <alignment vertical="center"/>
    </xf>
    <xf numFmtId="168" fontId="2" fillId="16" borderId="0" xfId="0" applyNumberFormat="1" applyFont="1" applyFill="1" applyAlignment="1">
      <alignment vertical="center"/>
    </xf>
    <xf numFmtId="0" fontId="3" fillId="16" borderId="0" xfId="0" applyFont="1" applyFill="1" applyAlignment="1">
      <alignment horizontal="left" vertical="center"/>
    </xf>
    <xf numFmtId="0" fontId="2" fillId="16" borderId="0" xfId="0" applyFont="1" applyFill="1" applyAlignment="1">
      <alignment horizontal="right" vertical="center"/>
    </xf>
    <xf numFmtId="0" fontId="53" fillId="16" borderId="0" xfId="0" applyFont="1" applyFill="1"/>
    <xf numFmtId="0" fontId="2" fillId="16" borderId="0" xfId="0" applyFont="1" applyFill="1" applyAlignment="1">
      <alignment horizontal="right"/>
    </xf>
    <xf numFmtId="168" fontId="2" fillId="16" borderId="0" xfId="0" applyNumberFormat="1" applyFont="1" applyFill="1" applyAlignment="1">
      <alignment horizontal="right" vertical="center"/>
    </xf>
    <xf numFmtId="1" fontId="2" fillId="16" borderId="0" xfId="0" applyNumberFormat="1" applyFont="1" applyFill="1"/>
    <xf numFmtId="0" fontId="53" fillId="16" borderId="80" xfId="0" applyFont="1" applyFill="1" applyBorder="1"/>
    <xf numFmtId="0" fontId="54" fillId="16" borderId="80" xfId="0" applyFont="1" applyFill="1" applyBorder="1"/>
    <xf numFmtId="2" fontId="60" fillId="16" borderId="0" xfId="1" applyNumberFormat="1" applyFont="1" applyFill="1" applyBorder="1" applyAlignment="1" applyProtection="1">
      <alignment horizontal="right"/>
    </xf>
    <xf numFmtId="0" fontId="2" fillId="9" borderId="41" xfId="0" applyFont="1" applyFill="1" applyBorder="1" applyAlignment="1">
      <alignment vertical="center"/>
    </xf>
    <xf numFmtId="0" fontId="2" fillId="9" borderId="41" xfId="0" applyFont="1" applyFill="1" applyBorder="1" applyAlignment="1">
      <alignment horizontal="right" vertical="center"/>
    </xf>
    <xf numFmtId="0" fontId="61"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167" fontId="0" fillId="0" borderId="2" xfId="0" applyNumberFormat="1" applyBorder="1"/>
    <xf numFmtId="2" fontId="30" fillId="0" borderId="0" xfId="0" applyNumberFormat="1" applyFont="1" applyAlignment="1">
      <alignment horizontal="right"/>
    </xf>
    <xf numFmtId="179" fontId="2" fillId="0" borderId="0" xfId="0" applyNumberFormat="1" applyFont="1"/>
    <xf numFmtId="166" fontId="3" fillId="0" borderId="0" xfId="0" applyNumberFormat="1" applyFont="1"/>
    <xf numFmtId="2" fontId="15" fillId="0" borderId="0" xfId="0" applyNumberFormat="1" applyFont="1" applyAlignment="1">
      <alignment horizontal="right"/>
    </xf>
    <xf numFmtId="166" fontId="2" fillId="0" borderId="31" xfId="0" applyNumberFormat="1" applyFont="1" applyBorder="1"/>
    <xf numFmtId="168" fontId="2" fillId="0" borderId="0" xfId="0" applyNumberFormat="1" applyFont="1"/>
    <xf numFmtId="1" fontId="7" fillId="0" borderId="0" xfId="0" applyNumberFormat="1" applyFont="1"/>
    <xf numFmtId="0" fontId="2" fillId="0" borderId="44" xfId="0" applyFont="1" applyBorder="1"/>
    <xf numFmtId="0" fontId="2" fillId="0" borderId="45" xfId="0" applyFont="1" applyBorder="1"/>
    <xf numFmtId="2" fontId="0" fillId="0" borderId="45" xfId="0" applyNumberFormat="1" applyBorder="1"/>
    <xf numFmtId="168" fontId="2" fillId="12" borderId="45" xfId="0" applyNumberFormat="1" applyFont="1" applyFill="1" applyBorder="1"/>
    <xf numFmtId="0" fontId="2" fillId="0" borderId="0" xfId="0" quotePrefix="1" applyFont="1"/>
    <xf numFmtId="0" fontId="3" fillId="0" borderId="80" xfId="0" applyFont="1" applyBorder="1"/>
    <xf numFmtId="0" fontId="3" fillId="16" borderId="80" xfId="0" applyFont="1" applyFill="1" applyBorder="1"/>
    <xf numFmtId="1" fontId="3" fillId="16" borderId="0" xfId="0" applyNumberFormat="1" applyFont="1" applyFill="1"/>
    <xf numFmtId="1" fontId="61" fillId="16" borderId="0" xfId="0" applyNumberFormat="1" applyFont="1" applyFill="1" applyAlignment="1">
      <alignment horizontal="right" vertical="center"/>
    </xf>
    <xf numFmtId="0" fontId="61" fillId="16" borderId="0" xfId="0" applyFont="1" applyFill="1" applyAlignment="1">
      <alignment vertical="center"/>
    </xf>
    <xf numFmtId="0" fontId="2" fillId="16" borderId="0" xfId="0" applyFont="1" applyFill="1" applyAlignment="1" applyProtection="1">
      <alignment horizontal="left"/>
      <protection hidden="1"/>
    </xf>
    <xf numFmtId="0" fontId="56" fillId="9" borderId="41" xfId="0" applyFont="1" applyFill="1" applyBorder="1" applyAlignment="1" applyProtection="1">
      <alignment horizontal="left"/>
      <protection hidden="1"/>
    </xf>
    <xf numFmtId="1" fontId="2" fillId="9" borderId="41" xfId="0" applyNumberFormat="1" applyFont="1" applyFill="1" applyBorder="1" applyAlignment="1" applyProtection="1">
      <alignment horizontal="right"/>
      <protection hidden="1"/>
    </xf>
    <xf numFmtId="0" fontId="2" fillId="9" borderId="41" xfId="0" applyFont="1" applyFill="1" applyBorder="1" applyAlignment="1" applyProtection="1">
      <alignment horizontal="left"/>
      <protection hidden="1"/>
    </xf>
    <xf numFmtId="0" fontId="2" fillId="9" borderId="0" xfId="0" applyFont="1" applyFill="1" applyAlignment="1" applyProtection="1">
      <alignment horizontal="right"/>
      <protection hidden="1"/>
    </xf>
    <xf numFmtId="0" fontId="2" fillId="9" borderId="0" xfId="0" applyFont="1" applyFill="1" applyProtection="1">
      <protection hidden="1"/>
    </xf>
    <xf numFmtId="0" fontId="56" fillId="16" borderId="0" xfId="0" applyFont="1" applyFill="1" applyAlignment="1" applyProtection="1">
      <alignment horizontal="right"/>
      <protection hidden="1"/>
    </xf>
    <xf numFmtId="0" fontId="2" fillId="16" borderId="44" xfId="0" applyFont="1" applyFill="1" applyBorder="1"/>
    <xf numFmtId="0" fontId="2" fillId="16" borderId="45" xfId="0" applyFont="1" applyFill="1" applyBorder="1"/>
    <xf numFmtId="0" fontId="80" fillId="16" borderId="45" xfId="0" applyFont="1" applyFill="1" applyBorder="1" applyAlignment="1">
      <alignment horizontal="right"/>
    </xf>
    <xf numFmtId="0" fontId="80" fillId="16" borderId="46" xfId="0" applyFont="1" applyFill="1" applyBorder="1" applyAlignment="1">
      <alignment horizontal="right"/>
    </xf>
    <xf numFmtId="2" fontId="3" fillId="0" borderId="0" xfId="0" applyNumberFormat="1" applyFont="1"/>
    <xf numFmtId="0" fontId="2" fillId="9" borderId="30" xfId="0" applyFont="1" applyFill="1" applyBorder="1" applyAlignment="1">
      <alignment horizontal="right"/>
    </xf>
    <xf numFmtId="0" fontId="2" fillId="0" borderId="0" xfId="0" applyFont="1" applyAlignment="1">
      <alignment horizontal="center"/>
    </xf>
    <xf numFmtId="2" fontId="85" fillId="0" borderId="0" xfId="0" applyNumberFormat="1" applyFont="1"/>
    <xf numFmtId="1" fontId="86" fillId="0" borderId="0" xfId="0" applyNumberFormat="1" applyFont="1"/>
    <xf numFmtId="0" fontId="86" fillId="0" borderId="0" xfId="0" applyFont="1"/>
    <xf numFmtId="11" fontId="2" fillId="0" borderId="63" xfId="3" applyNumberFormat="1" applyBorder="1" applyAlignment="1">
      <alignment horizontal="center"/>
    </xf>
    <xf numFmtId="0" fontId="60" fillId="9" borderId="2" xfId="0" applyFont="1" applyFill="1" applyBorder="1" applyAlignment="1">
      <alignment horizontal="right"/>
    </xf>
    <xf numFmtId="0" fontId="2" fillId="16" borderId="75" xfId="0" applyFont="1" applyFill="1" applyBorder="1"/>
    <xf numFmtId="0" fontId="2" fillId="16" borderId="45" xfId="0" applyFont="1" applyFill="1" applyBorder="1" applyAlignment="1">
      <alignment horizontal="right"/>
    </xf>
    <xf numFmtId="0" fontId="2" fillId="16" borderId="46" xfId="0" applyFont="1" applyFill="1" applyBorder="1"/>
    <xf numFmtId="0" fontId="2" fillId="0" borderId="41" xfId="3" quotePrefix="1" applyBorder="1" applyAlignment="1">
      <alignment horizontal="right"/>
    </xf>
    <xf numFmtId="0" fontId="2" fillId="16" borderId="72" xfId="0" applyFont="1" applyFill="1" applyBorder="1"/>
    <xf numFmtId="11" fontId="87" fillId="0" borderId="0" xfId="0" applyNumberFormat="1" applyFont="1"/>
    <xf numFmtId="0" fontId="88" fillId="16" borderId="29" xfId="0" applyFont="1" applyFill="1" applyBorder="1"/>
    <xf numFmtId="0" fontId="58" fillId="16" borderId="80" xfId="0" applyFont="1" applyFill="1" applyBorder="1" applyAlignment="1">
      <alignment horizontal="right"/>
    </xf>
    <xf numFmtId="0" fontId="59" fillId="0" borderId="0" xfId="0" applyFont="1"/>
    <xf numFmtId="11" fontId="59" fillId="0" borderId="0" xfId="0" applyNumberFormat="1" applyFont="1"/>
    <xf numFmtId="1" fontId="59" fillId="0" borderId="0" xfId="0" applyNumberFormat="1" applyFont="1"/>
    <xf numFmtId="0" fontId="59" fillId="0" borderId="0" xfId="0" applyFont="1" applyAlignment="1">
      <alignment horizontal="center"/>
    </xf>
    <xf numFmtId="11" fontId="25" fillId="0" borderId="0" xfId="0" quotePrefix="1" applyNumberFormat="1" applyFont="1"/>
    <xf numFmtId="0" fontId="89" fillId="0" borderId="0" xfId="0" applyFont="1"/>
    <xf numFmtId="11" fontId="89" fillId="0" borderId="0" xfId="0" quotePrefix="1" applyNumberFormat="1" applyFont="1"/>
    <xf numFmtId="0" fontId="0" fillId="0" borderId="80" xfId="0" applyBorder="1"/>
    <xf numFmtId="0" fontId="90" fillId="27" borderId="0" xfId="6" applyNumberFormat="1"/>
    <xf numFmtId="11" fontId="90" fillId="27" borderId="0" xfId="6" applyNumberFormat="1"/>
    <xf numFmtId="181" fontId="90" fillId="27" borderId="0" xfId="6" applyNumberFormat="1"/>
    <xf numFmtId="0" fontId="7" fillId="0" borderId="80" xfId="0" applyFont="1" applyBorder="1"/>
    <xf numFmtId="0" fontId="2" fillId="19" borderId="0" xfId="0" applyFont="1" applyFill="1"/>
    <xf numFmtId="0" fontId="0" fillId="19" borderId="0" xfId="0" applyFill="1"/>
    <xf numFmtId="0" fontId="68" fillId="19" borderId="0" xfId="0" applyFont="1" applyFill="1"/>
    <xf numFmtId="11" fontId="0" fillId="19" borderId="0" xfId="0" applyNumberFormat="1" applyFill="1"/>
    <xf numFmtId="168" fontId="0" fillId="16" borderId="0" xfId="0" applyNumberFormat="1" applyFill="1"/>
    <xf numFmtId="1" fontId="2" fillId="0" borderId="8" xfId="3" applyNumberFormat="1" applyBorder="1"/>
    <xf numFmtId="11" fontId="2" fillId="0" borderId="8" xfId="3" applyNumberFormat="1" applyBorder="1"/>
    <xf numFmtId="167" fontId="2" fillId="8" borderId="8" xfId="3" applyNumberFormat="1" applyFill="1" applyBorder="1"/>
    <xf numFmtId="166" fontId="2" fillId="0" borderId="4" xfId="3" applyNumberFormat="1" applyBorder="1" applyAlignment="1">
      <alignment horizontal="center"/>
    </xf>
    <xf numFmtId="166" fontId="2" fillId="0" borderId="61" xfId="3" applyNumberFormat="1" applyBorder="1" applyAlignment="1">
      <alignment horizontal="center"/>
    </xf>
    <xf numFmtId="0" fontId="0" fillId="28" borderId="0" xfId="0" applyFill="1"/>
    <xf numFmtId="0" fontId="0" fillId="28" borderId="45" xfId="0" applyFill="1" applyBorder="1"/>
    <xf numFmtId="11" fontId="0" fillId="28" borderId="0" xfId="0" applyNumberFormat="1" applyFill="1"/>
    <xf numFmtId="11" fontId="2" fillId="8" borderId="8" xfId="3" applyNumberFormat="1" applyFill="1" applyBorder="1"/>
    <xf numFmtId="166" fontId="2" fillId="0" borderId="0" xfId="3" applyNumberFormat="1"/>
    <xf numFmtId="166" fontId="2" fillId="0" borderId="62" xfId="3" applyNumberFormat="1" applyBorder="1" applyAlignment="1">
      <alignment horizontal="center"/>
    </xf>
    <xf numFmtId="166" fontId="2" fillId="0" borderId="15" xfId="3" applyNumberFormat="1" applyBorder="1" applyAlignment="1">
      <alignment horizontal="center"/>
    </xf>
    <xf numFmtId="166" fontId="2" fillId="0" borderId="65" xfId="3" applyNumberFormat="1" applyBorder="1" applyAlignment="1">
      <alignment horizontal="center"/>
    </xf>
    <xf numFmtId="0" fontId="2" fillId="9" borderId="71" xfId="0" applyFont="1" applyFill="1" applyBorder="1"/>
    <xf numFmtId="0" fontId="2" fillId="9" borderId="4" xfId="0" applyFont="1" applyFill="1" applyBorder="1"/>
    <xf numFmtId="0" fontId="2" fillId="9" borderId="4" xfId="0" applyFont="1" applyFill="1" applyBorder="1" applyAlignment="1">
      <alignment horizontal="right" vertical="center"/>
    </xf>
    <xf numFmtId="0" fontId="60" fillId="0" borderId="80" xfId="0" applyFont="1" applyBorder="1"/>
    <xf numFmtId="11" fontId="0" fillId="0" borderId="0" xfId="0" applyNumberFormat="1" applyAlignment="1">
      <alignment horizontal="right"/>
    </xf>
    <xf numFmtId="2" fontId="0" fillId="4" borderId="0" xfId="5" applyNumberFormat="1" applyFont="1" applyFill="1" applyBorder="1"/>
    <xf numFmtId="0" fontId="54" fillId="16" borderId="0" xfId="0" applyFont="1" applyFill="1"/>
    <xf numFmtId="0" fontId="2" fillId="9" borderId="83" xfId="0" applyFont="1" applyFill="1" applyBorder="1"/>
    <xf numFmtId="0" fontId="17" fillId="3" borderId="0" xfId="3" applyFont="1" applyFill="1"/>
    <xf numFmtId="171" fontId="17" fillId="3" borderId="0" xfId="3" applyNumberFormat="1" applyFont="1" applyFill="1" applyAlignment="1">
      <alignment horizontal="center"/>
    </xf>
    <xf numFmtId="171" fontId="17" fillId="25" borderId="0" xfId="3" applyNumberFormat="1" applyFont="1" applyFill="1" applyAlignment="1">
      <alignment horizontal="center"/>
    </xf>
    <xf numFmtId="171" fontId="25" fillId="25" borderId="0" xfId="3" applyNumberFormat="1" applyFont="1" applyFill="1" applyAlignment="1">
      <alignment horizontal="center"/>
    </xf>
    <xf numFmtId="171" fontId="65" fillId="25" borderId="0" xfId="3" applyNumberFormat="1" applyFont="1" applyFill="1" applyAlignment="1">
      <alignment horizontal="center"/>
    </xf>
    <xf numFmtId="0" fontId="17" fillId="25" borderId="0" xfId="3" applyFont="1" applyFill="1"/>
    <xf numFmtId="0" fontId="2" fillId="16" borderId="41" xfId="3" applyFill="1" applyBorder="1"/>
    <xf numFmtId="0" fontId="3" fillId="9" borderId="46" xfId="3" applyFont="1" applyFill="1" applyBorder="1" applyAlignment="1">
      <alignment vertical="center"/>
    </xf>
    <xf numFmtId="0" fontId="3" fillId="16" borderId="45" xfId="3" applyFont="1" applyFill="1" applyBorder="1" applyAlignment="1">
      <alignment horizontal="right"/>
    </xf>
    <xf numFmtId="0" fontId="3" fillId="16" borderId="44" xfId="3" applyFont="1" applyFill="1" applyBorder="1"/>
    <xf numFmtId="0" fontId="2" fillId="16" borderId="29" xfId="3" applyFill="1" applyBorder="1"/>
    <xf numFmtId="0" fontId="3" fillId="9" borderId="45" xfId="3" applyFont="1" applyFill="1" applyBorder="1" applyAlignment="1">
      <alignment horizontal="right"/>
    </xf>
    <xf numFmtId="0" fontId="3" fillId="9" borderId="76" xfId="3" applyFont="1" applyFill="1" applyBorder="1"/>
    <xf numFmtId="0" fontId="3" fillId="16" borderId="41" xfId="3" applyFont="1" applyFill="1" applyBorder="1" applyAlignment="1">
      <alignment horizontal="right"/>
    </xf>
    <xf numFmtId="0" fontId="2" fillId="16" borderId="75" xfId="3" applyFill="1" applyBorder="1"/>
    <xf numFmtId="0" fontId="3" fillId="9" borderId="29" xfId="3" applyFont="1" applyFill="1" applyBorder="1"/>
    <xf numFmtId="0" fontId="3" fillId="9" borderId="0" xfId="3" applyFont="1" applyFill="1" applyAlignment="1">
      <alignment horizontal="right"/>
    </xf>
    <xf numFmtId="0" fontId="3" fillId="16" borderId="75" xfId="3" applyFont="1" applyFill="1" applyBorder="1"/>
    <xf numFmtId="0" fontId="91" fillId="9" borderId="0" xfId="3" applyFont="1" applyFill="1"/>
    <xf numFmtId="0" fontId="91" fillId="16" borderId="0" xfId="3" applyFont="1" applyFill="1"/>
    <xf numFmtId="0" fontId="2" fillId="16" borderId="45" xfId="3" applyFill="1" applyBorder="1"/>
    <xf numFmtId="0" fontId="2" fillId="9" borderId="46" xfId="3" applyFill="1" applyBorder="1" applyAlignment="1">
      <alignment vertical="center"/>
    </xf>
    <xf numFmtId="0" fontId="3" fillId="19" borderId="45" xfId="3" applyFont="1" applyFill="1" applyBorder="1" applyProtection="1">
      <protection locked="0"/>
    </xf>
    <xf numFmtId="0" fontId="2" fillId="16" borderId="45" xfId="3" applyFill="1" applyBorder="1" applyAlignment="1">
      <alignment horizontal="right"/>
    </xf>
    <xf numFmtId="2" fontId="2" fillId="9" borderId="45" xfId="3" applyNumberFormat="1" applyFill="1" applyBorder="1"/>
    <xf numFmtId="0" fontId="2" fillId="9" borderId="45" xfId="3" applyFill="1" applyBorder="1" applyAlignment="1">
      <alignment horizontal="right"/>
    </xf>
    <xf numFmtId="0" fontId="2" fillId="16" borderId="44" xfId="3" applyFill="1" applyBorder="1"/>
    <xf numFmtId="0" fontId="2" fillId="16" borderId="46" xfId="3" applyFill="1" applyBorder="1"/>
    <xf numFmtId="0" fontId="2" fillId="9" borderId="29" xfId="3" applyFill="1" applyBorder="1"/>
    <xf numFmtId="0" fontId="3" fillId="19" borderId="0" xfId="3" applyFont="1" applyFill="1" applyProtection="1">
      <protection locked="0"/>
    </xf>
    <xf numFmtId="0" fontId="2" fillId="16" borderId="0" xfId="3" applyFill="1" applyAlignment="1">
      <alignment horizontal="right"/>
    </xf>
    <xf numFmtId="0" fontId="2" fillId="9" borderId="0" xfId="3" applyFill="1" applyAlignment="1">
      <alignment horizontal="right"/>
    </xf>
    <xf numFmtId="0" fontId="2" fillId="16" borderId="80" xfId="3" applyFill="1" applyBorder="1"/>
    <xf numFmtId="0" fontId="2" fillId="9" borderId="76" xfId="3" applyFill="1" applyBorder="1"/>
    <xf numFmtId="0" fontId="3" fillId="19" borderId="41" xfId="3" applyFont="1" applyFill="1" applyBorder="1" applyProtection="1">
      <protection locked="0"/>
    </xf>
    <xf numFmtId="0" fontId="60" fillId="9" borderId="41" xfId="3" applyFont="1" applyFill="1" applyBorder="1" applyAlignment="1">
      <alignment horizontal="right"/>
    </xf>
    <xf numFmtId="0" fontId="2" fillId="16" borderId="76" xfId="3" applyFill="1" applyBorder="1"/>
    <xf numFmtId="0" fontId="92" fillId="16" borderId="41" xfId="3" applyFont="1" applyFill="1" applyBorder="1"/>
    <xf numFmtId="0" fontId="91" fillId="9" borderId="41" xfId="3" applyFont="1" applyFill="1" applyBorder="1"/>
    <xf numFmtId="0" fontId="91" fillId="9" borderId="41" xfId="3" applyFont="1" applyFill="1" applyBorder="1" applyAlignment="1">
      <alignment horizontal="right"/>
    </xf>
    <xf numFmtId="0" fontId="91" fillId="16" borderId="75" xfId="3" applyFont="1" applyFill="1" applyBorder="1"/>
    <xf numFmtId="0" fontId="27" fillId="25" borderId="45" xfId="3" applyFont="1" applyFill="1" applyBorder="1"/>
    <xf numFmtId="0" fontId="20" fillId="25" borderId="45" xfId="3" applyFont="1" applyFill="1" applyBorder="1"/>
    <xf numFmtId="0" fontId="31" fillId="25" borderId="45" xfId="3" applyFont="1" applyFill="1" applyBorder="1"/>
    <xf numFmtId="0" fontId="31" fillId="25" borderId="44" xfId="3" applyFont="1" applyFill="1" applyBorder="1"/>
    <xf numFmtId="0" fontId="29" fillId="25" borderId="0" xfId="3" applyFont="1" applyFill="1"/>
    <xf numFmtId="0" fontId="29" fillId="25" borderId="0" xfId="3" applyFont="1" applyFill="1" applyAlignment="1">
      <alignment vertical="center"/>
    </xf>
    <xf numFmtId="0" fontId="20" fillId="25" borderId="0" xfId="3" applyFont="1" applyFill="1" applyAlignment="1">
      <alignment vertical="center"/>
    </xf>
    <xf numFmtId="0" fontId="26" fillId="25" borderId="0" xfId="3" applyFont="1" applyFill="1" applyAlignment="1">
      <alignment horizontal="left"/>
    </xf>
    <xf numFmtId="0" fontId="24" fillId="25" borderId="0" xfId="3" quotePrefix="1" applyFont="1" applyFill="1" applyAlignment="1">
      <alignment vertical="center"/>
    </xf>
    <xf numFmtId="0" fontId="20" fillId="19" borderId="0" xfId="3" applyFont="1" applyFill="1" applyAlignment="1">
      <alignment vertical="center"/>
    </xf>
    <xf numFmtId="0" fontId="67" fillId="25" borderId="0" xfId="3" applyFont="1" applyFill="1" applyAlignment="1">
      <alignment horizontal="left" vertical="center"/>
    </xf>
    <xf numFmtId="0" fontId="24" fillId="25" borderId="0" xfId="3" applyFont="1" applyFill="1" applyAlignment="1">
      <alignment horizontal="left" vertical="center"/>
    </xf>
    <xf numFmtId="0" fontId="24" fillId="25" borderId="80" xfId="3" applyFont="1" applyFill="1" applyBorder="1" applyAlignment="1">
      <alignment horizontal="left" vertical="center"/>
    </xf>
    <xf numFmtId="0" fontId="26" fillId="25" borderId="80" xfId="3" applyFont="1" applyFill="1" applyBorder="1" applyAlignment="1">
      <alignment horizontal="left"/>
    </xf>
    <xf numFmtId="168" fontId="3" fillId="9" borderId="0" xfId="3" applyNumberFormat="1" applyFont="1" applyFill="1"/>
    <xf numFmtId="0" fontId="2" fillId="16" borderId="74" xfId="3" applyFill="1" applyBorder="1"/>
    <xf numFmtId="0" fontId="2" fillId="16" borderId="72" xfId="3" applyFill="1" applyBorder="1"/>
    <xf numFmtId="0" fontId="2" fillId="0" borderId="41" xfId="3" applyBorder="1"/>
    <xf numFmtId="0" fontId="2" fillId="16" borderId="0" xfId="3" quotePrefix="1" applyFill="1" applyAlignment="1">
      <alignment horizontal="right"/>
    </xf>
    <xf numFmtId="2" fontId="2" fillId="16" borderId="0" xfId="3" quotePrefix="1" applyNumberFormat="1" applyFill="1" applyAlignment="1">
      <alignment horizontal="right"/>
    </xf>
    <xf numFmtId="0" fontId="2" fillId="0" borderId="74" xfId="3" applyBorder="1"/>
    <xf numFmtId="2" fontId="2" fillId="9" borderId="45" xfId="3" applyNumberFormat="1" applyFill="1" applyBorder="1" applyAlignment="1">
      <alignment horizontal="right"/>
    </xf>
    <xf numFmtId="0" fontId="0" fillId="19" borderId="0" xfId="0" applyFill="1" applyProtection="1">
      <protection locked="0"/>
    </xf>
    <xf numFmtId="0" fontId="2" fillId="19" borderId="45" xfId="3" applyFill="1" applyBorder="1" applyAlignment="1" applyProtection="1">
      <alignment horizontal="right"/>
      <protection locked="0"/>
    </xf>
    <xf numFmtId="1" fontId="0" fillId="0" borderId="0" xfId="0" applyNumberFormat="1" applyAlignment="1">
      <alignment horizontal="left"/>
    </xf>
    <xf numFmtId="0" fontId="3" fillId="9" borderId="45" xfId="0" applyFont="1" applyFill="1" applyBorder="1" applyAlignment="1">
      <alignment horizontal="right" vertical="center"/>
    </xf>
    <xf numFmtId="168" fontId="3" fillId="9" borderId="45" xfId="3" applyNumberFormat="1" applyFont="1" applyFill="1" applyBorder="1"/>
    <xf numFmtId="168" fontId="3" fillId="16" borderId="41" xfId="3" applyNumberFormat="1" applyFont="1" applyFill="1" applyBorder="1"/>
    <xf numFmtId="168" fontId="3" fillId="16" borderId="45" xfId="3" applyNumberFormat="1" applyFont="1" applyFill="1" applyBorder="1"/>
    <xf numFmtId="168" fontId="91" fillId="9" borderId="0" xfId="3" applyNumberFormat="1" applyFont="1" applyFill="1"/>
    <xf numFmtId="168" fontId="2" fillId="9" borderId="4" xfId="0" applyNumberFormat="1" applyFont="1" applyFill="1" applyBorder="1" applyAlignment="1">
      <alignment vertical="center"/>
    </xf>
    <xf numFmtId="0" fontId="93" fillId="16" borderId="0" xfId="3" applyFont="1" applyFill="1" applyAlignment="1">
      <alignment horizontal="right"/>
    </xf>
    <xf numFmtId="168" fontId="74" fillId="16" borderId="0" xfId="3" applyNumberFormat="1" applyFont="1" applyFill="1"/>
    <xf numFmtId="0" fontId="74" fillId="16" borderId="0" xfId="3" applyFont="1" applyFill="1"/>
    <xf numFmtId="0" fontId="3" fillId="19" borderId="0" xfId="0" applyFont="1" applyFill="1"/>
    <xf numFmtId="0" fontId="58" fillId="0" borderId="0" xfId="0" quotePrefix="1" applyFont="1" applyProtection="1">
      <protection locked="0"/>
    </xf>
    <xf numFmtId="168" fontId="2" fillId="9" borderId="75" xfId="0" applyNumberFormat="1" applyFont="1" applyFill="1" applyBorder="1" applyAlignment="1">
      <alignment horizontal="right"/>
    </xf>
    <xf numFmtId="0" fontId="3" fillId="9" borderId="46" xfId="0" applyFont="1" applyFill="1" applyBorder="1" applyAlignment="1">
      <alignment vertical="center"/>
    </xf>
    <xf numFmtId="0" fontId="3" fillId="16" borderId="0" xfId="0" applyFont="1" applyFill="1" applyProtection="1">
      <protection locked="0"/>
    </xf>
    <xf numFmtId="168" fontId="3" fillId="19" borderId="45" xfId="0" applyNumberFormat="1" applyFont="1" applyFill="1" applyBorder="1" applyAlignment="1" applyProtection="1">
      <alignment vertical="center"/>
      <protection locked="0"/>
    </xf>
    <xf numFmtId="0" fontId="2" fillId="9" borderId="32" xfId="0" applyFont="1" applyFill="1" applyBorder="1" applyAlignment="1">
      <alignment vertical="top"/>
    </xf>
    <xf numFmtId="167" fontId="2" fillId="9" borderId="45" xfId="0" applyNumberFormat="1" applyFont="1" applyFill="1" applyBorder="1" applyAlignment="1">
      <alignment horizontal="right" vertical="center"/>
    </xf>
    <xf numFmtId="2" fontId="2" fillId="9" borderId="0" xfId="0" applyNumberFormat="1" applyFont="1" applyFill="1" applyAlignment="1">
      <alignment vertical="center"/>
    </xf>
    <xf numFmtId="0" fontId="63" fillId="9" borderId="0" xfId="0" applyFont="1" applyFill="1" applyAlignment="1">
      <alignment horizontal="left" vertical="center"/>
    </xf>
    <xf numFmtId="0" fontId="24" fillId="25" borderId="0" xfId="0" applyFont="1" applyFill="1" applyAlignment="1">
      <alignment horizontal="center" vertical="center"/>
    </xf>
    <xf numFmtId="0" fontId="49" fillId="17" borderId="43" xfId="0" applyFont="1" applyFill="1" applyBorder="1" applyAlignment="1">
      <alignment horizontal="left" vertical="center"/>
    </xf>
    <xf numFmtId="0" fontId="49"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49" fillId="17" borderId="75" xfId="3" applyFont="1" applyFill="1" applyBorder="1" applyAlignment="1">
      <alignment horizontal="left" vertical="top"/>
    </xf>
    <xf numFmtId="0" fontId="49" fillId="17" borderId="41" xfId="3" applyFont="1" applyFill="1" applyBorder="1" applyAlignment="1">
      <alignment horizontal="left" vertical="top"/>
    </xf>
    <xf numFmtId="0" fontId="24" fillId="25" borderId="0" xfId="3" applyFont="1" applyFill="1" applyAlignment="1">
      <alignment horizontal="center" vertical="center"/>
    </xf>
    <xf numFmtId="0" fontId="49" fillId="17" borderId="43" xfId="0" applyFont="1" applyFill="1" applyBorder="1" applyAlignment="1">
      <alignment horizontal="left" vertical="top"/>
    </xf>
    <xf numFmtId="0" fontId="49" fillId="17" borderId="41" xfId="0" applyFont="1" applyFill="1" applyBorder="1" applyAlignment="1">
      <alignment horizontal="left" vertical="top"/>
    </xf>
    <xf numFmtId="189" fontId="2" fillId="16" borderId="8" xfId="3" applyNumberFormat="1" applyFill="1" applyBorder="1" applyAlignment="1">
      <alignment horizontal="left" vertical="center"/>
    </xf>
    <xf numFmtId="189" fontId="2" fillId="16" borderId="9" xfId="3" applyNumberFormat="1" applyFill="1" applyBorder="1" applyAlignment="1">
      <alignment horizontal="left" vertical="center"/>
    </xf>
    <xf numFmtId="189"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58" fillId="9" borderId="14" xfId="3" applyFont="1" applyFill="1" applyBorder="1" applyAlignment="1">
      <alignment horizontal="left" vertical="center"/>
    </xf>
    <xf numFmtId="0" fontId="58" fillId="9" borderId="12" xfId="3" applyFont="1" applyFill="1" applyBorder="1" applyAlignment="1">
      <alignment horizontal="left" vertical="center"/>
    </xf>
    <xf numFmtId="0" fontId="2" fillId="9" borderId="78" xfId="3" applyFill="1" applyBorder="1" applyAlignment="1">
      <alignment horizontal="left" vertical="center"/>
    </xf>
    <xf numFmtId="0" fontId="2" fillId="9" borderId="10" xfId="3" applyFill="1" applyBorder="1" applyAlignment="1">
      <alignment horizontal="left" vertical="center"/>
    </xf>
    <xf numFmtId="0" fontId="2" fillId="9" borderId="16" xfId="3" applyFill="1" applyBorder="1" applyAlignment="1">
      <alignment horizontal="left" vertical="center"/>
    </xf>
    <xf numFmtId="0" fontId="2" fillId="9" borderId="69" xfId="3" applyFill="1" applyBorder="1" applyAlignment="1">
      <alignment horizontal="left" vertical="center"/>
    </xf>
    <xf numFmtId="0" fontId="2" fillId="9" borderId="4" xfId="3" applyFill="1" applyBorder="1" applyAlignment="1">
      <alignment horizontal="left" vertical="center"/>
    </xf>
    <xf numFmtId="0" fontId="2" fillId="9" borderId="17" xfId="3" applyFill="1" applyBorder="1" applyAlignment="1">
      <alignment horizontal="left" vertical="center"/>
    </xf>
    <xf numFmtId="0" fontId="58" fillId="9" borderId="14" xfId="3" applyFont="1" applyFill="1" applyBorder="1" applyAlignment="1">
      <alignment horizontal="center" vertical="center"/>
    </xf>
    <xf numFmtId="0" fontId="58"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69" fillId="3" borderId="51" xfId="3" applyFont="1" applyFill="1" applyBorder="1" applyAlignment="1">
      <alignment horizontal="left" vertical="center"/>
    </xf>
    <xf numFmtId="0" fontId="69" fillId="3" borderId="52" xfId="3" applyFont="1" applyFill="1" applyBorder="1" applyAlignment="1">
      <alignment horizontal="left" vertical="center"/>
    </xf>
    <xf numFmtId="0" fontId="69" fillId="3" borderId="53" xfId="3" applyFon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21" borderId="8" xfId="3" applyNumberFormat="1" applyFill="1" applyBorder="1" applyAlignment="1">
      <alignment horizontal="left" vertical="center"/>
    </xf>
    <xf numFmtId="190" fontId="2" fillId="21" borderId="9" xfId="3" applyNumberFormat="1" applyFill="1" applyBorder="1" applyAlignment="1">
      <alignment horizontal="left" vertical="center"/>
    </xf>
    <xf numFmtId="190"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7" fontId="2" fillId="20" borderId="15" xfId="3" applyNumberFormat="1" applyFill="1" applyBorder="1" applyAlignment="1">
      <alignment horizontal="left" vertical="center"/>
    </xf>
    <xf numFmtId="183" fontId="2" fillId="9" borderId="8" xfId="3" applyNumberFormat="1" applyFill="1" applyBorder="1" applyAlignment="1">
      <alignment horizontal="left" vertical="center"/>
    </xf>
    <xf numFmtId="183" fontId="2" fillId="9" borderId="9" xfId="3" applyNumberFormat="1" applyFill="1" applyBorder="1" applyAlignment="1">
      <alignment horizontal="left" vertical="center"/>
    </xf>
    <xf numFmtId="184" fontId="2" fillId="20" borderId="8" xfId="3" applyNumberFormat="1" applyFill="1" applyBorder="1" applyAlignment="1">
      <alignment horizontal="left" vertical="center"/>
    </xf>
    <xf numFmtId="184" fontId="2" fillId="20"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5" fontId="2" fillId="20" borderId="8" xfId="3" applyNumberFormat="1" applyFill="1" applyBorder="1" applyAlignment="1">
      <alignment horizontal="left" vertical="center"/>
    </xf>
    <xf numFmtId="185" fontId="2" fillId="20" borderId="9" xfId="3" applyNumberFormat="1" applyFill="1" applyBorder="1" applyAlignment="1">
      <alignment horizontal="left" vertical="center"/>
    </xf>
    <xf numFmtId="186" fontId="2" fillId="20" borderId="8" xfId="3" applyNumberFormat="1" applyFill="1" applyBorder="1" applyAlignment="1">
      <alignment horizontal="left" vertical="center"/>
    </xf>
    <xf numFmtId="186" fontId="2" fillId="20" borderId="9" xfId="3" applyNumberFormat="1" applyFill="1" applyBorder="1" applyAlignment="1">
      <alignment horizontal="left" vertical="center"/>
    </xf>
    <xf numFmtId="0" fontId="47" fillId="16" borderId="28" xfId="0" applyFont="1" applyFill="1" applyBorder="1" applyAlignment="1">
      <alignment horizontal="left" vertical="center"/>
    </xf>
    <xf numFmtId="0" fontId="47"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4" fillId="4" borderId="74" xfId="3" applyFont="1" applyFill="1" applyBorder="1" applyAlignment="1">
      <alignment horizontal="center" vertical="center"/>
    </xf>
    <xf numFmtId="0" fontId="74"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4"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4" fillId="4" borderId="60" xfId="3" applyFont="1" applyFill="1" applyBorder="1" applyAlignment="1">
      <alignment horizontal="center"/>
    </xf>
    <xf numFmtId="0" fontId="74" fillId="4" borderId="62" xfId="3" applyFont="1" applyFill="1" applyBorder="1" applyAlignment="1">
      <alignment horizontal="center"/>
    </xf>
    <xf numFmtId="0" fontId="3" fillId="0" borderId="57" xfId="3" applyFont="1" applyBorder="1" applyAlignment="1">
      <alignment horizontal="center"/>
    </xf>
    <xf numFmtId="0" fontId="74" fillId="4" borderId="55" xfId="3" applyFont="1" applyFill="1" applyBorder="1" applyAlignment="1">
      <alignment horizontal="center"/>
    </xf>
    <xf numFmtId="0" fontId="74" fillId="4" borderId="56" xfId="3" applyFont="1" applyFill="1" applyBorder="1" applyAlignment="1">
      <alignment horizontal="center"/>
    </xf>
    <xf numFmtId="0" fontId="74"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0" borderId="51" xfId="3" applyFont="1" applyBorder="1" applyAlignment="1">
      <alignment horizontal="center"/>
    </xf>
    <xf numFmtId="0" fontId="3" fillId="24"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59" fillId="0" borderId="0" xfId="0" applyFont="1" applyAlignment="1">
      <alignment horizontal="center"/>
    </xf>
    <xf numFmtId="2" fontId="3" fillId="0" borderId="0" xfId="0" applyNumberFormat="1" applyFont="1" applyAlignment="1">
      <alignment horizontal="center"/>
    </xf>
    <xf numFmtId="2" fontId="2" fillId="0" borderId="0" xfId="0" applyNumberFormat="1" applyFont="1" applyAlignment="1">
      <alignment horizontal="center"/>
    </xf>
  </cellXfs>
  <cellStyles count="7">
    <cellStyle name="Bad" xfId="6" builtinId="27"/>
    <cellStyle name="Comma" xfId="1" builtinId="3"/>
    <cellStyle name="Comma 2" xfId="5" xr:uid="{00000000-0005-0000-0000-000002000000}"/>
    <cellStyle name="Hyperlink" xfId="2" builtinId="8"/>
    <cellStyle name="Normal" xfId="0" builtinId="0"/>
    <cellStyle name="Normal 2" xfId="3" xr:uid="{00000000-0005-0000-0000-000005000000}"/>
    <cellStyle name="Normal 3" xfId="4" xr:uid="{00000000-0005-0000-0000-000006000000}"/>
  </cellStyles>
  <dxfs count="35">
    <dxf>
      <font>
        <color theme="0"/>
      </font>
      <fill>
        <patternFill patternType="none">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i val="0"/>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E8FCFE"/>
      <color rgb="FFC00000"/>
      <color rgb="FF99CC00"/>
      <color rgb="FFFF9900"/>
      <color rgb="FF0000FF"/>
      <color rgb="FFCC00FF"/>
      <color rgb="FFC0C0C0"/>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95.523332401966883</c:v>
                </c:pt>
                <c:pt idx="1">
                  <c:v>94.939683501164353</c:v>
                </c:pt>
                <c:pt idx="2">
                  <c:v>94.328274659372653</c:v>
                </c:pt>
                <c:pt idx="3">
                  <c:v>93.691661518312671</c:v>
                </c:pt>
                <c:pt idx="4">
                  <c:v>93.032863742906329</c:v>
                </c:pt>
                <c:pt idx="5">
                  <c:v>92.353298979748018</c:v>
                </c:pt>
                <c:pt idx="6">
                  <c:v>91.656320104411989</c:v>
                </c:pt>
                <c:pt idx="7">
                  <c:v>90.943715113419074</c:v>
                </c:pt>
                <c:pt idx="8">
                  <c:v>90.218059438388337</c:v>
                </c:pt>
                <c:pt idx="9">
                  <c:v>89.480655715562165</c:v>
                </c:pt>
                <c:pt idx="10">
                  <c:v>88.733571168709886</c:v>
                </c:pt>
                <c:pt idx="11">
                  <c:v>87.978150918972801</c:v>
                </c:pt>
                <c:pt idx="12">
                  <c:v>87.21525278275837</c:v>
                </c:pt>
                <c:pt idx="13">
                  <c:v>86.446701411097493</c:v>
                </c:pt>
                <c:pt idx="14">
                  <c:v>85.672823307883192</c:v>
                </c:pt>
                <c:pt idx="15">
                  <c:v>84.894716369489473</c:v>
                </c:pt>
                <c:pt idx="16">
                  <c:v>84.113000732489169</c:v>
                </c:pt>
                <c:pt idx="17">
                  <c:v>83.328366431747995</c:v>
                </c:pt>
                <c:pt idx="18">
                  <c:v>82.541073905498465</c:v>
                </c:pt>
                <c:pt idx="19">
                  <c:v>81.751745679586037</c:v>
                </c:pt>
                <c:pt idx="20">
                  <c:v>80.960569703780948</c:v>
                </c:pt>
                <c:pt idx="21">
                  <c:v>80.167996611189864</c:v>
                </c:pt>
                <c:pt idx="22">
                  <c:v>79.374098996909979</c:v>
                </c:pt>
                <c:pt idx="23">
                  <c:v>78.579275301476031</c:v>
                </c:pt>
                <c:pt idx="24">
                  <c:v>77.783491702679669</c:v>
                </c:pt>
                <c:pt idx="25">
                  <c:v>76.987011549149372</c:v>
                </c:pt>
                <c:pt idx="26">
                  <c:v>76.189765823555092</c:v>
                </c:pt>
                <c:pt idx="27">
                  <c:v>75.392105223799689</c:v>
                </c:pt>
                <c:pt idx="28">
                  <c:v>74.594079307333317</c:v>
                </c:pt>
                <c:pt idx="29">
                  <c:v>73.796250835559846</c:v>
                </c:pt>
                <c:pt idx="30">
                  <c:v>72.997325690538418</c:v>
                </c:pt>
                <c:pt idx="31">
                  <c:v>72.198465499528709</c:v>
                </c:pt>
                <c:pt idx="32">
                  <c:v>71.399165862002761</c:v>
                </c:pt>
                <c:pt idx="33">
                  <c:v>70.600026962927402</c:v>
                </c:pt>
                <c:pt idx="34">
                  <c:v>69.800457328966957</c:v>
                </c:pt>
                <c:pt idx="35">
                  <c:v>69.000926660712281</c:v>
                </c:pt>
                <c:pt idx="36">
                  <c:v>68.201327864572946</c:v>
                </c:pt>
                <c:pt idx="37">
                  <c:v>67.401241431636336</c:v>
                </c:pt>
                <c:pt idx="38">
                  <c:v>66.601436559440174</c:v>
                </c:pt>
                <c:pt idx="39">
                  <c:v>65.801272329184926</c:v>
                </c:pt>
                <c:pt idx="40">
                  <c:v>65.001050725378505</c:v>
                </c:pt>
                <c:pt idx="41">
                  <c:v>64.2006979813779</c:v>
                </c:pt>
                <c:pt idx="42">
                  <c:v>63.400314725604268</c:v>
                </c:pt>
                <c:pt idx="43">
                  <c:v>62.599650824312022</c:v>
                </c:pt>
                <c:pt idx="44">
                  <c:v>61.798898519789532</c:v>
                </c:pt>
                <c:pt idx="45">
                  <c:v>60.997869268930394</c:v>
                </c:pt>
                <c:pt idx="46">
                  <c:v>60.196690686529337</c:v>
                </c:pt>
                <c:pt idx="47">
                  <c:v>59.395147914119342</c:v>
                </c:pt>
                <c:pt idx="48">
                  <c:v>58.593386348550027</c:v>
                </c:pt>
                <c:pt idx="49">
                  <c:v>57.791138148239597</c:v>
                </c:pt>
                <c:pt idx="50">
                  <c:v>56.988450804408643</c:v>
                </c:pt>
                <c:pt idx="51">
                  <c:v>56.185045265550222</c:v>
                </c:pt>
                <c:pt idx="52">
                  <c:v>55.381067163770005</c:v>
                </c:pt>
                <c:pt idx="53">
                  <c:v>54.576353774836946</c:v>
                </c:pt>
                <c:pt idx="54">
                  <c:v>53.771248767127453</c:v>
                </c:pt>
                <c:pt idx="55">
                  <c:v>52.964202471773859</c:v>
                </c:pt>
                <c:pt idx="56">
                  <c:v>52.156117528361264</c:v>
                </c:pt>
                <c:pt idx="57">
                  <c:v>51.346178813554133</c:v>
                </c:pt>
                <c:pt idx="58">
                  <c:v>50.534645932272397</c:v>
                </c:pt>
                <c:pt idx="59">
                  <c:v>49.720515349286707</c:v>
                </c:pt>
                <c:pt idx="60">
                  <c:v>48.903796613579587</c:v>
                </c:pt>
                <c:pt idx="61">
                  <c:v>48.08383558297281</c:v>
                </c:pt>
                <c:pt idx="62">
                  <c:v>47.259562554430914</c:v>
                </c:pt>
                <c:pt idx="63">
                  <c:v>46.431026866002469</c:v>
                </c:pt>
                <c:pt idx="64">
                  <c:v>45.596700790062592</c:v>
                </c:pt>
                <c:pt idx="65">
                  <c:v>44.755894902144497</c:v>
                </c:pt>
                <c:pt idx="66">
                  <c:v>43.907377096199838</c:v>
                </c:pt>
                <c:pt idx="67">
                  <c:v>43.049934060153845</c:v>
                </c:pt>
                <c:pt idx="68">
                  <c:v>42.18179888227084</c:v>
                </c:pt>
                <c:pt idx="69">
                  <c:v>41.301498931143428</c:v>
                </c:pt>
                <c:pt idx="70">
                  <c:v>40.406968126027571</c:v>
                </c:pt>
                <c:pt idx="71">
                  <c:v>39.496326701648734</c:v>
                </c:pt>
                <c:pt idx="72">
                  <c:v>38.567173366728895</c:v>
                </c:pt>
                <c:pt idx="73">
                  <c:v>37.617434334238467</c:v>
                </c:pt>
                <c:pt idx="74">
                  <c:v>36.644531278294401</c:v>
                </c:pt>
                <c:pt idx="75">
                  <c:v>35.646329007190921</c:v>
                </c:pt>
                <c:pt idx="76">
                  <c:v>34.620465237847583</c:v>
                </c:pt>
                <c:pt idx="77">
                  <c:v>33.565420721994926</c:v>
                </c:pt>
                <c:pt idx="78">
                  <c:v>32.479728879058214</c:v>
                </c:pt>
                <c:pt idx="79">
                  <c:v>31.36319803871411</c:v>
                </c:pt>
                <c:pt idx="80">
                  <c:v>30.213661258107955</c:v>
                </c:pt>
                <c:pt idx="81">
                  <c:v>29.033148848923695</c:v>
                </c:pt>
                <c:pt idx="82">
                  <c:v>27.822078746347469</c:v>
                </c:pt>
                <c:pt idx="83">
                  <c:v>26.583294980855925</c:v>
                </c:pt>
                <c:pt idx="84">
                  <c:v>25.318545813345523</c:v>
                </c:pt>
                <c:pt idx="85">
                  <c:v>24.031891038292308</c:v>
                </c:pt>
                <c:pt idx="86">
                  <c:v>22.72705269579804</c:v>
                </c:pt>
                <c:pt idx="87">
                  <c:v>21.407676223380982</c:v>
                </c:pt>
                <c:pt idx="88">
                  <c:v>20.079704113698615</c:v>
                </c:pt>
                <c:pt idx="89">
                  <c:v>18.74696620575159</c:v>
                </c:pt>
                <c:pt idx="90">
                  <c:v>17.414954746139696</c:v>
                </c:pt>
                <c:pt idx="91">
                  <c:v>16.088521471714564</c:v>
                </c:pt>
                <c:pt idx="92">
                  <c:v>14.772672876224696</c:v>
                </c:pt>
                <c:pt idx="93">
                  <c:v>13.471589575033123</c:v>
                </c:pt>
                <c:pt idx="94">
                  <c:v>13.149291763827723</c:v>
                </c:pt>
                <c:pt idx="95">
                  <c:v>12.987617943200734</c:v>
                </c:pt>
                <c:pt idx="96">
                  <c:v>12.828115874388384</c:v>
                </c:pt>
                <c:pt idx="97">
                  <c:v>12.667116497495725</c:v>
                </c:pt>
                <c:pt idx="98">
                  <c:v>12.508295275264762</c:v>
                </c:pt>
                <c:pt idx="99">
                  <c:v>12.347958726166572</c:v>
                </c:pt>
                <c:pt idx="100">
                  <c:v>12.189806943131829</c:v>
                </c:pt>
                <c:pt idx="101">
                  <c:v>12.030244902281224</c:v>
                </c:pt>
                <c:pt idx="102">
                  <c:v>11.872871063312036</c:v>
                </c:pt>
                <c:pt idx="103">
                  <c:v>11.71395679469863</c:v>
                </c:pt>
                <c:pt idx="104">
                  <c:v>11.557237442968709</c:v>
                </c:pt>
                <c:pt idx="105">
                  <c:v>11.399085078314087</c:v>
                </c:pt>
                <c:pt idx="106">
                  <c:v>11.243131018746521</c:v>
                </c:pt>
                <c:pt idx="107">
                  <c:v>11.085845927234747</c:v>
                </c:pt>
                <c:pt idx="108">
                  <c:v>10.930759342775787</c:v>
                </c:pt>
                <c:pt idx="109">
                  <c:v>10.774332638994494</c:v>
                </c:pt>
                <c:pt idx="110">
                  <c:v>10.620104563438028</c:v>
                </c:pt>
                <c:pt idx="111">
                  <c:v>10.464428157760551</c:v>
                </c:pt>
                <c:pt idx="112">
                  <c:v>10.310953191189638</c:v>
                </c:pt>
                <c:pt idx="113">
                  <c:v>10.156133470403525</c:v>
                </c:pt>
                <c:pt idx="114">
                  <c:v>10.003514656285846</c:v>
                </c:pt>
                <c:pt idx="115">
                  <c:v>9.8495519971696215</c:v>
                </c:pt>
                <c:pt idx="116">
                  <c:v>9.6977892923200031</c:v>
                </c:pt>
                <c:pt idx="117">
                  <c:v>9.54468643910762</c:v>
                </c:pt>
                <c:pt idx="118">
                  <c:v>9.3937820711325752</c:v>
                </c:pt>
                <c:pt idx="119">
                  <c:v>9.2416353663569097</c:v>
                </c:pt>
                <c:pt idx="120">
                  <c:v>9.0916824433393089</c:v>
                </c:pt>
                <c:pt idx="121">
                  <c:v>8.9404904071503299</c:v>
                </c:pt>
                <c:pt idx="122">
                  <c:v>8.7914869579836949</c:v>
                </c:pt>
                <c:pt idx="123">
                  <c:v>8.6411634275707936</c:v>
                </c:pt>
                <c:pt idx="124">
                  <c:v>8.4930252223279616</c:v>
                </c:pt>
                <c:pt idx="125">
                  <c:v>8.3436632494793965</c:v>
                </c:pt>
                <c:pt idx="126">
                  <c:v>8.1964800828459019</c:v>
                </c:pt>
                <c:pt idx="127">
                  <c:v>8.0480822440171575</c:v>
                </c:pt>
                <c:pt idx="128">
                  <c:v>7.9018560044273141</c:v>
                </c:pt>
                <c:pt idx="129">
                  <c:v>7.754425723200252</c:v>
                </c:pt>
                <c:pt idx="130">
                  <c:v>7.6091590971098988</c:v>
                </c:pt>
                <c:pt idx="131">
                  <c:v>7.4627003917602943</c:v>
                </c:pt>
                <c:pt idx="132">
                  <c:v>7.3902825052639978</c:v>
                </c:pt>
                <c:pt idx="133">
                  <c:v>7.3183966197330133</c:v>
                </c:pt>
                <c:pt idx="134">
                  <c:v>7.2453461120370699</c:v>
                </c:pt>
                <c:pt idx="135">
                  <c:v>7.1728393225886453</c:v>
                </c:pt>
                <c:pt idx="136">
                  <c:v>7.100869402503724</c:v>
                </c:pt>
                <c:pt idx="137">
                  <c:v>7.0294296148567366</c:v>
                </c:pt>
                <c:pt idx="138">
                  <c:v>6.956909288544586</c:v>
                </c:pt>
                <c:pt idx="139">
                  <c:v>6.8849295363725691</c:v>
                </c:pt>
                <c:pt idx="140">
                  <c:v>6.8134835011401984</c:v>
                </c:pt>
                <c:pt idx="141">
                  <c:v>6.7425644386744956</c:v>
                </c:pt>
                <c:pt idx="142">
                  <c:v>6.6705025832111575</c:v>
                </c:pt>
                <c:pt idx="143">
                  <c:v>6.5989790394943446</c:v>
                </c:pt>
                <c:pt idx="144">
                  <c:v>6.5279869256314385</c:v>
                </c:pt>
                <c:pt idx="145">
                  <c:v>6.4575194742162054</c:v>
                </c:pt>
                <c:pt idx="146">
                  <c:v>6.3859557987397775</c:v>
                </c:pt>
                <c:pt idx="147">
                  <c:v>6.3149273978555183</c:v>
                </c:pt>
                <c:pt idx="148">
                  <c:v>6.2444273801980499</c:v>
                </c:pt>
                <c:pt idx="149">
                  <c:v>6.1744489700406655</c:v>
                </c:pt>
                <c:pt idx="150">
                  <c:v>6.103385451573188</c:v>
                </c:pt>
                <c:pt idx="151">
                  <c:v>6.0328539513212593</c:v>
                </c:pt>
                <c:pt idx="152">
                  <c:v>5.9628475733424411</c:v>
                </c:pt>
                <c:pt idx="153">
                  <c:v>5.8933595384005786</c:v>
                </c:pt>
                <c:pt idx="154">
                  <c:v>5.822765555254664</c:v>
                </c:pt>
                <c:pt idx="155">
                  <c:v>5.7527005992789597</c:v>
                </c:pt>
                <c:pt idx="156">
                  <c:v>5.683157765575765</c:v>
                </c:pt>
                <c:pt idx="157">
                  <c:v>5.6141302671427873</c:v>
                </c:pt>
                <c:pt idx="158">
                  <c:v>5.5440100979099931</c:v>
                </c:pt>
                <c:pt idx="159">
                  <c:v>5.474415708851545</c:v>
                </c:pt>
                <c:pt idx="160">
                  <c:v>5.4053401919585022</c:v>
                </c:pt>
                <c:pt idx="161">
                  <c:v>5.3367767581951222</c:v>
                </c:pt>
                <c:pt idx="162">
                  <c:v>5.267164626427502</c:v>
                </c:pt>
                <c:pt idx="163">
                  <c:v>5.1980743221763266</c:v>
                </c:pt>
                <c:pt idx="164">
                  <c:v>5.1294989492675338</c:v>
                </c:pt>
                <c:pt idx="165">
                  <c:v>5.0614317312509858</c:v>
                </c:pt>
                <c:pt idx="166">
                  <c:v>4.9922689922403114</c:v>
                </c:pt>
                <c:pt idx="167">
                  <c:v>4.9236248084973635</c:v>
                </c:pt>
                <c:pt idx="168">
                  <c:v>4.8554922834246019</c:v>
                </c:pt>
                <c:pt idx="169">
                  <c:v>4.7878646411948935</c:v>
                </c:pt>
                <c:pt idx="170">
                  <c:v>4.7193000907359899</c:v>
                </c:pt>
                <c:pt idx="171">
                  <c:v>4.6512484076126102</c:v>
                </c:pt>
                <c:pt idx="172">
                  <c:v>4.5837027442949134</c:v>
                </c:pt>
                <c:pt idx="173">
                  <c:v>4.5166563739216699</c:v>
                </c:pt>
                <c:pt idx="174">
                  <c:v>4.4484311736941162</c:v>
                </c:pt>
                <c:pt idx="175">
                  <c:v>4.3807168173354594</c:v>
                </c:pt>
                <c:pt idx="176">
                  <c:v>4.313506434613906</c:v>
                </c:pt>
                <c:pt idx="177">
                  <c:v>4.2467932775531256</c:v>
                </c:pt>
                <c:pt idx="178">
                  <c:v>4.1789484188718253</c:v>
                </c:pt>
                <c:pt idx="179">
                  <c:v>4.1116115803951132</c:v>
                </c:pt>
                <c:pt idx="180">
                  <c:v>4.044775886313972</c:v>
                </c:pt>
                <c:pt idx="181">
                  <c:v>3.9784345842733071</c:v>
                </c:pt>
                <c:pt idx="182">
                  <c:v>3.9112689020897125</c:v>
                </c:pt>
                <c:pt idx="183">
                  <c:v>3.844603775447669</c:v>
                </c:pt>
                <c:pt idx="184">
                  <c:v>3.7784324185898521</c:v>
                </c:pt>
                <c:pt idx="185">
                  <c:v>3.7127481681219137</c:v>
                </c:pt>
                <c:pt idx="186">
                  <c:v>3.6457612906974139</c:v>
                </c:pt>
                <c:pt idx="187">
                  <c:v>3.5792747536920642</c:v>
                </c:pt>
                <c:pt idx="188">
                  <c:v>3.5132817158870084</c:v>
                </c:pt>
                <c:pt idx="189">
                  <c:v>3.4477754608280393</c:v>
                </c:pt>
                <c:pt idx="190">
                  <c:v>3.3815130654244681</c:v>
                </c:pt>
                <c:pt idx="191">
                  <c:v>3.3157425096318294</c:v>
                </c:pt>
                <c:pt idx="192">
                  <c:v>3.2504570675059425</c:v>
                </c:pt>
                <c:pt idx="193">
                  <c:v>3.1856501361297145</c:v>
                </c:pt>
                <c:pt idx="194">
                  <c:v>3.1196348417992064</c:v>
                </c:pt>
                <c:pt idx="195">
                  <c:v>3.0541097739322391</c:v>
                </c:pt>
                <c:pt idx="196">
                  <c:v>2.9890681828551919</c:v>
                </c:pt>
                <c:pt idx="197">
                  <c:v>2.924503443553002</c:v>
                </c:pt>
                <c:pt idx="198">
                  <c:v>2.8590107402863385</c:v>
                </c:pt>
                <c:pt idx="199">
                  <c:v>2.7940023995651888</c:v>
                </c:pt>
                <c:pt idx="200">
                  <c:v>2.7294717370761745</c:v>
                </c:pt>
                <c:pt idx="201">
                  <c:v>2.6654121926024916</c:v>
                </c:pt>
                <c:pt idx="202">
                  <c:v>2.600459618681275</c:v>
                </c:pt>
                <c:pt idx="203">
                  <c:v>2.5359851183858213</c:v>
                </c:pt>
                <c:pt idx="204">
                  <c:v>2.4719820837202651</c:v>
                </c:pt>
                <c:pt idx="205">
                  <c:v>2.4084440299250285</c:v>
                </c:pt>
                <c:pt idx="206">
                  <c:v>2.3438263870869349</c:v>
                </c:pt>
                <c:pt idx="207">
                  <c:v>2.2796833707231228</c:v>
                </c:pt>
                <c:pt idx="208">
                  <c:v>2.2160083924276992</c:v>
                </c:pt>
                <c:pt idx="209">
                  <c:v>2.1527949875557524</c:v>
                </c:pt>
                <c:pt idx="210">
                  <c:v>2.088329603749739</c:v>
                </c:pt>
                <c:pt idx="211">
                  <c:v>2.0243379007145506</c:v>
                </c:pt>
                <c:pt idx="212">
                  <c:v>1.9608132591460334</c:v>
                </c:pt>
                <c:pt idx="213">
                  <c:v>1.8977491852850243</c:v>
                </c:pt>
                <c:pt idx="214">
                  <c:v>1.8338958447143296</c:v>
                </c:pt>
                <c:pt idx="215">
                  <c:v>1.7705083577062273</c:v>
                </c:pt>
                <c:pt idx="216">
                  <c:v>1.7075802194485594</c:v>
                </c:pt>
                <c:pt idx="217">
                  <c:v>1.6451050487765853</c:v>
                </c:pt>
                <c:pt idx="218">
                  <c:v>1.5816674158660669</c:v>
                </c:pt>
                <c:pt idx="219">
                  <c:v>1.5186905230361916</c:v>
                </c:pt>
                <c:pt idx="220">
                  <c:v>1.4561679255025792</c:v>
                </c:pt>
                <c:pt idx="221">
                  <c:v>1.3940933015704318</c:v>
                </c:pt>
                <c:pt idx="222">
                  <c:v>1.3310914560130158</c:v>
                </c:pt>
                <c:pt idx="223">
                  <c:v>1.2685448006649027</c:v>
                </c:pt>
                <c:pt idx="224">
                  <c:v>1.2064469619437612</c:v>
                </c:pt>
                <c:pt idx="225">
                  <c:v>1.1447916884828533</c:v>
                </c:pt>
                <c:pt idx="226">
                  <c:v>1.0820526669259769</c:v>
                </c:pt>
                <c:pt idx="227">
                  <c:v>1.0197656288352046</c:v>
                </c:pt>
                <c:pt idx="228">
                  <c:v>0.95792422468936889</c:v>
                </c:pt>
                <c:pt idx="229">
                  <c:v>0.89652222748278776</c:v>
                </c:pt>
                <c:pt idx="230">
                  <c:v>0.77207867199401781</c:v>
                </c:pt>
                <c:pt idx="231">
                  <c:v>0.7105228703814187</c:v>
                </c:pt>
                <c:pt idx="232">
                  <c:v>0.64940276007184872</c:v>
                </c:pt>
                <c:pt idx="233">
                  <c:v>0.58727671921872526</c:v>
                </c:pt>
                <c:pt idx="234">
                  <c:v>0.52559455479249007</c:v>
                </c:pt>
                <c:pt idx="235">
                  <c:v>0.4643500063401485</c:v>
                </c:pt>
                <c:pt idx="236">
                  <c:v>0.40353693539562641</c:v>
                </c:pt>
                <c:pt idx="237">
                  <c:v>0.3419284290994784</c:v>
                </c:pt>
                <c:pt idx="238">
                  <c:v>0.28075655274545819</c:v>
                </c:pt>
                <c:pt idx="239">
                  <c:v>0.22001516049633996</c:v>
                </c:pt>
                <c:pt idx="240">
                  <c:v>0.15969822637168893</c:v>
                </c:pt>
                <c:pt idx="241">
                  <c:v>9.8273784589186119E-2</c:v>
                </c:pt>
                <c:pt idx="242">
                  <c:v>3.7283319826826977E-2</c:v>
                </c:pt>
                <c:pt idx="243">
                  <c:v>-2.3279294045578641E-2</c:v>
                </c:pt>
                <c:pt idx="244">
                  <c:v>-8.342006300426083E-2</c:v>
                </c:pt>
                <c:pt idx="245">
                  <c:v>-0.14446375058123803</c:v>
                </c:pt>
                <c:pt idx="246">
                  <c:v>-0.20507900705522647</c:v>
                </c:pt>
                <c:pt idx="247">
                  <c:v>-0.26527187615696385</c:v>
                </c:pt>
                <c:pt idx="248">
                  <c:v>-0.32504828283079995</c:v>
                </c:pt>
                <c:pt idx="249">
                  <c:v>-0.38585689947741431</c:v>
                </c:pt>
                <c:pt idx="250">
                  <c:v>-0.44624070770479723</c:v>
                </c:pt>
                <c:pt idx="251">
                  <c:v>-0.50620570770433015</c:v>
                </c:pt>
                <c:pt idx="252">
                  <c:v>-0.56575778126791743</c:v>
                </c:pt>
                <c:pt idx="253">
                  <c:v>-0.62615008050151344</c:v>
                </c:pt>
                <c:pt idx="254">
                  <c:v>-0.68612382155511409</c:v>
                </c:pt>
                <c:pt idx="255">
                  <c:v>-0.74568490401551957</c:v>
                </c:pt>
                <c:pt idx="256">
                  <c:v>-0.80483911098837657</c:v>
                </c:pt>
                <c:pt idx="257">
                  <c:v>-0.86510892896312253</c:v>
                </c:pt>
                <c:pt idx="258">
                  <c:v>-0.9249624837827668</c:v>
                </c:pt>
                <c:pt idx="259">
                  <c:v>-0.98440565626811494</c:v>
                </c:pt>
                <c:pt idx="260">
                  <c:v>-1.043444210561187</c:v>
                </c:pt>
                <c:pt idx="261">
                  <c:v>-1.1034119217526162</c:v>
                </c:pt>
                <c:pt idx="262">
                  <c:v>-1.1629682481177612</c:v>
                </c:pt>
                <c:pt idx="263">
                  <c:v>-1.2221189957431571</c:v>
                </c:pt>
                <c:pt idx="264">
                  <c:v>-1.2808698553443949</c:v>
                </c:pt>
                <c:pt idx="265">
                  <c:v>-1.3405187808534591</c:v>
                </c:pt>
                <c:pt idx="266">
                  <c:v>-1.3997615165222133</c:v>
                </c:pt>
                <c:pt idx="267">
                  <c:v>-1.4586037855898422</c:v>
                </c:pt>
                <c:pt idx="268">
                  <c:v>-1.5170511974820202</c:v>
                </c:pt>
                <c:pt idx="269">
                  <c:v>-1.5765068483119913</c:v>
                </c:pt>
                <c:pt idx="270">
                  <c:v>-1.6355598922003218</c:v>
                </c:pt>
                <c:pt idx="271">
                  <c:v>-1.6942160021340966</c:v>
                </c:pt>
                <c:pt idx="272">
                  <c:v>-1.7524807380157323</c:v>
                </c:pt>
                <c:pt idx="273">
                  <c:v>-1.811720001191772</c:v>
                </c:pt>
                <c:pt idx="274">
                  <c:v>-1.8705606487036026</c:v>
                </c:pt>
                <c:pt idx="275">
                  <c:v>-1.9290082933963282</c:v>
                </c:pt>
                <c:pt idx="276">
                  <c:v>-1.9870684360521151</c:v>
                </c:pt>
                <c:pt idx="277">
                  <c:v>-2.0459385501673903</c:v>
                </c:pt>
                <c:pt idx="278">
                  <c:v>-2.1044161607560135</c:v>
                </c:pt>
                <c:pt idx="279">
                  <c:v>-2.1625067747356175</c:v>
                </c:pt>
                <c:pt idx="280">
                  <c:v>-2.2202157892289174</c:v>
                </c:pt>
                <c:pt idx="281">
                  <c:v>-2.2790963389003824</c:v>
                </c:pt>
                <c:pt idx="282">
                  <c:v>-2.3375855328092712</c:v>
                </c:pt>
                <c:pt idx="283">
                  <c:v>-2.3956888750441765</c:v>
                </c:pt>
                <c:pt idx="284">
                  <c:v>-2.4534117594602769</c:v>
                </c:pt>
                <c:pt idx="285">
                  <c:v>-2.5118900743256312</c:v>
                </c:pt>
                <c:pt idx="286">
                  <c:v>-2.5699837229485678</c:v>
                </c:pt>
                <c:pt idx="287">
                  <c:v>-2.6276980892352464</c:v>
                </c:pt>
                <c:pt idx="288">
                  <c:v>-2.6850384495663921</c:v>
                </c:pt>
                <c:pt idx="289">
                  <c:v>-2.7434785299367315</c:v>
                </c:pt>
                <c:pt idx="290">
                  <c:v>-2.8015359227650576</c:v>
                </c:pt>
                <c:pt idx="291">
                  <c:v>-2.8592159894679288</c:v>
                </c:pt>
                <c:pt idx="292">
                  <c:v>-2.9165239840761266</c:v>
                </c:pt>
                <c:pt idx="293">
                  <c:v>-2.9747766238881419</c:v>
                </c:pt>
                <c:pt idx="294">
                  <c:v>-3.0326505902540291</c:v>
                </c:pt>
                <c:pt idx="295">
                  <c:v>-3.0901511785547369</c:v>
                </c:pt>
                <c:pt idx="296">
                  <c:v>-3.1472835781085418</c:v>
                </c:pt>
                <c:pt idx="297">
                  <c:v>-3.2053309838892918</c:v>
                </c:pt>
                <c:pt idx="298">
                  <c:v>-3.2630040277974528</c:v>
                </c:pt>
                <c:pt idx="299">
                  <c:v>-3.3203079321039777</c:v>
                </c:pt>
                <c:pt idx="300">
                  <c:v>-3.377247814553892</c:v>
                </c:pt>
                <c:pt idx="301">
                  <c:v>-3.4350744545244534</c:v>
                </c:pt>
                <c:pt idx="302">
                  <c:v>-3.4925313018369124</c:v>
                </c:pt>
                <c:pt idx="303">
                  <c:v>-3.5496234995207931</c:v>
                </c:pt>
                <c:pt idx="304">
                  <c:v>-3.6063560878033707</c:v>
                </c:pt>
                <c:pt idx="305">
                  <c:v>-3.6641693124713717</c:v>
                </c:pt>
                <c:pt idx="306">
                  <c:v>-3.7216147410127149</c:v>
                </c:pt>
                <c:pt idx="307">
                  <c:v>-3.7786974899693195</c:v>
                </c:pt>
                <c:pt idx="308">
                  <c:v>-3.8354225734243337</c:v>
                </c:pt>
                <c:pt idx="309">
                  <c:v>-3.8929790683773802</c:v>
                </c:pt>
                <c:pt idx="310">
                  <c:v>-3.950172915074976</c:v>
                </c:pt>
                <c:pt idx="311">
                  <c:v>-4.0070091374265395</c:v>
                </c:pt>
                <c:pt idx="312">
                  <c:v>-4.063492659005429</c:v>
                </c:pt>
                <c:pt idx="313">
                  <c:v>-4.1209931619578279</c:v>
                </c:pt>
                <c:pt idx="314">
                  <c:v>-4.1781336970629841</c:v>
                </c:pt>
                <c:pt idx="315">
                  <c:v>-4.2349192461225753</c:v>
                </c:pt>
                <c:pt idx="316">
                  <c:v>-4.2913546914023195</c:v>
                </c:pt>
                <c:pt idx="317">
                  <c:v>-4.3487761273424388</c:v>
                </c:pt>
                <c:pt idx="318">
                  <c:v>-4.405840637612763</c:v>
                </c:pt>
                <c:pt idx="319">
                  <c:v>-4.4625531538076881</c:v>
                </c:pt>
                <c:pt idx="320">
                  <c:v>-4.5189185090189401</c:v>
                </c:pt>
                <c:pt idx="321">
                  <c:v>-4.5762402624130507</c:v>
                </c:pt>
                <c:pt idx="322">
                  <c:v>-4.6332084537251097</c:v>
                </c:pt>
                <c:pt idx="323">
                  <c:v>-4.6898279571534189</c:v>
                </c:pt>
                <c:pt idx="324">
                  <c:v>-4.7461035496344541</c:v>
                </c:pt>
                <c:pt idx="325">
                  <c:v>-4.8033072879979803</c:v>
                </c:pt>
                <c:pt idx="326">
                  <c:v>-4.8601611113788969</c:v>
                </c:pt>
                <c:pt idx="327">
                  <c:v>-4.9166698302580603</c:v>
                </c:pt>
                <c:pt idx="328">
                  <c:v>-4.9728381592781883</c:v>
                </c:pt>
                <c:pt idx="329">
                  <c:v>-5.0300028072828917</c:v>
                </c:pt>
                <c:pt idx="330">
                  <c:v>-5.086820285287903</c:v>
                </c:pt>
                <c:pt idx="331">
                  <c:v>-5.143295358140457</c:v>
                </c:pt>
                <c:pt idx="332">
                  <c:v>-5.1994326958083503</c:v>
                </c:pt>
                <c:pt idx="333">
                  <c:v>-5.2564443249019934</c:v>
                </c:pt>
                <c:pt idx="334">
                  <c:v>-5.3131129631526308</c:v>
                </c:pt>
                <c:pt idx="335">
                  <c:v>-5.3694432999754316</c:v>
                </c:pt>
                <c:pt idx="336">
                  <c:v>-5.4254399316650792</c:v>
                </c:pt>
                <c:pt idx="337">
                  <c:v>-5.4824676660534335</c:v>
                </c:pt>
                <c:pt idx="338">
                  <c:v>-5.5391546143445982</c:v>
                </c:pt>
                <c:pt idx="339">
                  <c:v>-5.5955054305210092</c:v>
                </c:pt>
                <c:pt idx="340">
                  <c:v>-5.6515246761584361</c:v>
                </c:pt>
                <c:pt idx="341">
                  <c:v>-5.7085452009355233</c:v>
                </c:pt>
                <c:pt idx="342">
                  <c:v>-5.765227493411901</c:v>
                </c:pt>
                <c:pt idx="343">
                  <c:v>-5.8215761646127664</c:v>
                </c:pt>
                <c:pt idx="344">
                  <c:v>-5.8775957340793239</c:v>
                </c:pt>
                <c:pt idx="345">
                  <c:v>-5.9345015782559773</c:v>
                </c:pt>
                <c:pt idx="346">
                  <c:v>-5.991073069242125</c:v>
                </c:pt>
                <c:pt idx="347">
                  <c:v>-6.0473147478008702</c:v>
                </c:pt>
                <c:pt idx="348">
                  <c:v>-6.1032310648618582</c:v>
                </c:pt>
                <c:pt idx="349">
                  <c:v>-6.1601783933656389</c:v>
                </c:pt>
                <c:pt idx="350">
                  <c:v>-6.2167934717592654</c:v>
                </c:pt>
                <c:pt idx="351">
                  <c:v>-6.2730808063146259</c:v>
                </c:pt>
                <c:pt idx="352">
                  <c:v>-6.3290448141869948</c:v>
                </c:pt>
                <c:pt idx="353">
                  <c:v>-6.3860108540132963</c:v>
                </c:pt>
                <c:pt idx="354">
                  <c:v>-6.4426470811981602</c:v>
                </c:pt>
                <c:pt idx="355">
                  <c:v>-6.4989579604057859</c:v>
                </c:pt>
                <c:pt idx="356">
                  <c:v>-6.5549478680944437</c:v>
                </c:pt>
                <c:pt idx="357">
                  <c:v>-6.6118314048699176</c:v>
                </c:pt>
                <c:pt idx="358">
                  <c:v>-6.6683887880428516</c:v>
                </c:pt>
                <c:pt idx="359">
                  <c:v>-6.7246244157028858</c:v>
                </c:pt>
                <c:pt idx="360">
                  <c:v>-6.780542599304499</c:v>
                </c:pt>
                <c:pt idx="361">
                  <c:v>-6.8374883655564105</c:v>
                </c:pt>
                <c:pt idx="362">
                  <c:v>-6.8941100345482624</c:v>
                </c:pt>
                <c:pt idx="363">
                  <c:v>-6.9504119698570292</c:v>
                </c:pt>
                <c:pt idx="364">
                  <c:v>-7.0063984491595015</c:v>
                </c:pt>
                <c:pt idx="365">
                  <c:v>-7.0633073897962992</c:v>
                </c:pt>
                <c:pt idx="366">
                  <c:v>-7.1198954722681371</c:v>
                </c:pt>
                <c:pt idx="367">
                  <c:v>-7.1761670015739565</c:v>
                </c:pt>
                <c:pt idx="368">
                  <c:v>-7.2321261981801532</c:v>
                </c:pt>
                <c:pt idx="369">
                  <c:v>-7.2891344037342787</c:v>
                </c:pt>
                <c:pt idx="370">
                  <c:v>-7.3458235171067994</c:v>
                </c:pt>
                <c:pt idx="371">
                  <c:v>-7.4021978140026743</c:v>
                </c:pt>
                <c:pt idx="372">
                  <c:v>-7.4582614862000574</c:v>
                </c:pt>
                <c:pt idx="373">
                  <c:v>-7.5152722660941436</c:v>
                </c:pt>
                <c:pt idx="374">
                  <c:v>-7.5719668616884706</c:v>
                </c:pt>
                <c:pt idx="375">
                  <c:v>-7.6283494962420928</c:v>
                </c:pt>
                <c:pt idx="376">
                  <c:v>-7.6844243102986534</c:v>
                </c:pt>
                <c:pt idx="377">
                  <c:v>-7.7415659467475937</c:v>
                </c:pt>
                <c:pt idx="378">
                  <c:v>-7.798392948498801</c:v>
                </c:pt>
                <c:pt idx="379">
                  <c:v>-7.854909513201652</c:v>
                </c:pt>
                <c:pt idx="380">
                  <c:v>-7.9111197563041111</c:v>
                </c:pt>
                <c:pt idx="381">
                  <c:v>-7.968227502774945</c:v>
                </c:pt>
                <c:pt idx="382">
                  <c:v>-8.0250240303244631</c:v>
                </c:pt>
                <c:pt idx="383">
                  <c:v>-8.0815134735219338</c:v>
                </c:pt>
                <c:pt idx="384">
                  <c:v>-8.1376998862241354</c:v>
                </c:pt>
                <c:pt idx="385">
                  <c:v>-8.1949685442106706</c:v>
                </c:pt>
                <c:pt idx="386">
                  <c:v>-8.2519273344371094</c:v>
                </c:pt>
                <c:pt idx="387">
                  <c:v>-8.3085803691364397</c:v>
                </c:pt>
                <c:pt idx="388">
                  <c:v>-8.3649316802604119</c:v>
                </c:pt>
                <c:pt idx="389">
                  <c:v>-8.4222695613136942</c:v>
                </c:pt>
                <c:pt idx="390">
                  <c:v>-8.4792999826974107</c:v>
                </c:pt>
                <c:pt idx="391">
                  <c:v>-8.5360270130053646</c:v>
                </c:pt>
                <c:pt idx="392">
                  <c:v>-8.5924546415342622</c:v>
                </c:pt>
                <c:pt idx="393">
                  <c:v>-8.649844068334783</c:v>
                </c:pt>
                <c:pt idx="394">
                  <c:v>-8.7069286835796849</c:v>
                </c:pt>
                <c:pt idx="395">
                  <c:v>-8.7637125071848985</c:v>
                </c:pt>
                <c:pt idx="396">
                  <c:v>-8.8201994808832289</c:v>
                </c:pt>
                <c:pt idx="397">
                  <c:v>-8.8777541065002268</c:v>
                </c:pt>
                <c:pt idx="398">
                  <c:v>-8.9350054220868174</c:v>
                </c:pt>
                <c:pt idx="399">
                  <c:v>-8.9919574211508824</c:v>
                </c:pt>
                <c:pt idx="400">
                  <c:v>-9.0486140195552114</c:v>
                </c:pt>
                <c:pt idx="401">
                  <c:v>-9.1062480703798006</c:v>
                </c:pt>
                <c:pt idx="402">
                  <c:v>-9.1635812752665338</c:v>
                </c:pt>
                <c:pt idx="403">
                  <c:v>-9.220617582010556</c:v>
                </c:pt>
                <c:pt idx="404">
                  <c:v>-9.277360861798762</c:v>
                </c:pt>
                <c:pt idx="405">
                  <c:v>-9.3351200489267132</c:v>
                </c:pt>
                <c:pt idx="406">
                  <c:v>-9.3925804297056992</c:v>
                </c:pt>
                <c:pt idx="407">
                  <c:v>-9.4497459142015856</c:v>
                </c:pt>
                <c:pt idx="408">
                  <c:v>-9.5066203367030475</c:v>
                </c:pt>
                <c:pt idx="409">
                  <c:v>-9.5645469500723763</c:v>
                </c:pt>
                <c:pt idx="410">
                  <c:v>-9.6221764194016188</c:v>
                </c:pt>
                <c:pt idx="411">
                  <c:v>-9.6795126240135154</c:v>
                </c:pt>
                <c:pt idx="412">
                  <c:v>-9.7365593681057341</c:v>
                </c:pt>
                <c:pt idx="413">
                  <c:v>-9.7946328740459379</c:v>
                </c:pt>
                <c:pt idx="414">
                  <c:v>-9.8524111680131874</c:v>
                </c:pt>
                <c:pt idx="415">
                  <c:v>-9.9098980929143963</c:v>
                </c:pt>
                <c:pt idx="416">
                  <c:v>-9.9670974173313294</c:v>
                </c:pt>
                <c:pt idx="417">
                  <c:v>-10.025357576168336</c:v>
                </c:pt>
                <c:pt idx="418">
                  <c:v>-10.083324109818152</c:v>
                </c:pt>
                <c:pt idx="419">
                  <c:v>-10.141000831076749</c:v>
                </c:pt>
                <c:pt idx="420">
                  <c:v>-10.198391479055624</c:v>
                </c:pt>
                <c:pt idx="421">
                  <c:v>-10.256760519318998</c:v>
                </c:pt>
                <c:pt idx="422">
                  <c:v>-10.314838354723154</c:v>
                </c:pt>
                <c:pt idx="423">
                  <c:v>-10.372628751390447</c:v>
                </c:pt>
                <c:pt idx="424">
                  <c:v>-10.430135402828418</c:v>
                </c:pt>
                <c:pt idx="425">
                  <c:v>-10.488766564029586</c:v>
                </c:pt>
                <c:pt idx="426">
                  <c:v>-10.547107468899338</c:v>
                </c:pt>
                <c:pt idx="427">
                  <c:v>-10.605161864946806</c:v>
                </c:pt>
                <c:pt idx="428">
                  <c:v>-10.662933427421939</c:v>
                </c:pt>
                <c:pt idx="429">
                  <c:v>-10.721747968073323</c:v>
                </c:pt>
                <c:pt idx="430">
                  <c:v>-10.780274041721107</c:v>
                </c:pt>
                <c:pt idx="431">
                  <c:v>-10.838515360599636</c:v>
                </c:pt>
                <c:pt idx="432">
                  <c:v>-10.896475565474148</c:v>
                </c:pt>
                <c:pt idx="433">
                  <c:v>-10.955454948032266</c:v>
                </c:pt>
                <c:pt idx="434">
                  <c:v>-11.014147882062641</c:v>
                </c:pt>
                <c:pt idx="435">
                  <c:v>-11.072558039763749</c:v>
                </c:pt>
                <c:pt idx="436">
                  <c:v>-11.130689022785766</c:v>
                </c:pt>
                <c:pt idx="437">
                  <c:v>-11.189922326575761</c:v>
                </c:pt>
                <c:pt idx="438">
                  <c:v>-11.248870388391124</c:v>
                </c:pt>
                <c:pt idx="439">
                  <c:v>-11.307536855605417</c:v>
                </c:pt>
                <c:pt idx="440">
                  <c:v>-11.36592530558813</c:v>
                </c:pt>
                <c:pt idx="441">
                  <c:v>-11.425391123429602</c:v>
                </c:pt>
                <c:pt idx="442">
                  <c:v>-11.484573169721939</c:v>
                </c:pt>
                <c:pt idx="443">
                  <c:v>-11.543475061623308</c:v>
                </c:pt>
                <c:pt idx="444">
                  <c:v>-11.602100346984255</c:v>
                </c:pt>
                <c:pt idx="445">
                  <c:v>-11.661779022603689</c:v>
                </c:pt>
                <c:pt idx="446">
                  <c:v>-11.721175634818016</c:v>
                </c:pt>
                <c:pt idx="447">
                  <c:v>-11.780293765781988</c:v>
                </c:pt>
                <c:pt idx="448">
                  <c:v>-11.839136929178879</c:v>
                </c:pt>
                <c:pt idx="449">
                  <c:v>-11.899110582539363</c:v>
                </c:pt>
                <c:pt idx="450">
                  <c:v>-11.958803159773455</c:v>
                </c:pt>
                <c:pt idx="451">
                  <c:v>-12.018218221511173</c:v>
                </c:pt>
                <c:pt idx="452">
                  <c:v>-12.077359260426245</c:v>
                </c:pt>
                <c:pt idx="453">
                  <c:v>-12.137556730393317</c:v>
                </c:pt>
                <c:pt idx="454">
                  <c:v>-12.197474831942809</c:v>
                </c:pt>
                <c:pt idx="455">
                  <c:v>-12.257117090415729</c:v>
                </c:pt>
                <c:pt idx="456">
                  <c:v>-12.316486964086552</c:v>
                </c:pt>
                <c:pt idx="457">
                  <c:v>-12.376987163464987</c:v>
                </c:pt>
                <c:pt idx="458">
                  <c:v>-12.437209023044177</c:v>
                </c:pt>
                <c:pt idx="459">
                  <c:v>-12.49715604568771</c:v>
                </c:pt>
                <c:pt idx="460">
                  <c:v>-12.55683166778824</c:v>
                </c:pt>
                <c:pt idx="461">
                  <c:v>-12.617613263303953</c:v>
                </c:pt>
                <c:pt idx="462">
                  <c:v>-12.678117802133972</c:v>
                </c:pt>
                <c:pt idx="463">
                  <c:v>-12.738348759980685</c:v>
                </c:pt>
                <c:pt idx="464">
                  <c:v>-12.798309546824594</c:v>
                </c:pt>
                <c:pt idx="465">
                  <c:v>-12.859399412362517</c:v>
                </c:pt>
                <c:pt idx="466">
                  <c:v>-12.920213317621979</c:v>
                </c:pt>
                <c:pt idx="467">
                  <c:v>-12.980754714919751</c:v>
                </c:pt>
                <c:pt idx="468">
                  <c:v>-13.041026991545513</c:v>
                </c:pt>
                <c:pt idx="469">
                  <c:v>-13.102404578322872</c:v>
                </c:pt>
                <c:pt idx="470">
                  <c:v>-13.163507545511397</c:v>
                </c:pt>
                <c:pt idx="471">
                  <c:v>-13.224339317942588</c:v>
                </c:pt>
                <c:pt idx="472">
                  <c:v>-13.284903256264379</c:v>
                </c:pt>
                <c:pt idx="473">
                  <c:v>-13.346639437058947</c:v>
                </c:pt>
                <c:pt idx="474">
                  <c:v>-13.408101770064665</c:v>
                </c:pt>
                <c:pt idx="475">
                  <c:v>-13.46929366391949</c:v>
                </c:pt>
                <c:pt idx="476">
                  <c:v>-13.530218463693471</c:v>
                </c:pt>
                <c:pt idx="477">
                  <c:v>-13.592291163867483</c:v>
                </c:pt>
                <c:pt idx="478">
                  <c:v>-13.654091056133675</c:v>
                </c:pt>
                <c:pt idx="479">
                  <c:v>-13.715621528879087</c:v>
                </c:pt>
                <c:pt idx="480">
                  <c:v>-13.776885907700038</c:v>
                </c:pt>
                <c:pt idx="481">
                  <c:v>-13.839274767549213</c:v>
                </c:pt>
                <c:pt idx="482">
                  <c:v>-13.901392108577905</c:v>
                </c:pt>
                <c:pt idx="483">
                  <c:v>-13.963241295552592</c:v>
                </c:pt>
                <c:pt idx="484">
                  <c:v>-14.024825631376054</c:v>
                </c:pt>
                <c:pt idx="485">
                  <c:v>-14.087554536034288</c:v>
                </c:pt>
                <c:pt idx="486">
                  <c:v>-14.150013077822837</c:v>
                </c:pt>
                <c:pt idx="487">
                  <c:v>-14.212204601963601</c:v>
                </c:pt>
                <c:pt idx="488">
                  <c:v>-14.27413239271598</c:v>
                </c:pt>
                <c:pt idx="489">
                  <c:v>-14.337265791921945</c:v>
                </c:pt>
                <c:pt idx="490">
                  <c:v>-14.400129519030131</c:v>
                </c:pt>
                <c:pt idx="491">
                  <c:v>-14.462726910318507</c:v>
                </c:pt>
                <c:pt idx="492">
                  <c:v>-14.525061241831448</c:v>
                </c:pt>
                <c:pt idx="493">
                  <c:v>-14.588577215262486</c:v>
                </c:pt>
                <c:pt idx="494">
                  <c:v>-14.651824497011956</c:v>
                </c:pt>
                <c:pt idx="495">
                  <c:v>-14.714806411505375</c:v>
                </c:pt>
                <c:pt idx="496">
                  <c:v>-14.777526223827564</c:v>
                </c:pt>
                <c:pt idx="497">
                  <c:v>-14.841445142090404</c:v>
                </c:pt>
                <c:pt idx="498">
                  <c:v>-14.90509628827459</c:v>
                </c:pt>
                <c:pt idx="499">
                  <c:v>-14.968482979046724</c:v>
                </c:pt>
                <c:pt idx="500">
                  <c:v>-15.03160847263082</c:v>
                </c:pt>
                <c:pt idx="501">
                  <c:v>-15.095949781612198</c:v>
                </c:pt>
                <c:pt idx="502">
                  <c:v>-15.160024202668136</c:v>
                </c:pt>
                <c:pt idx="503">
                  <c:v>-15.223835048921163</c:v>
                </c:pt>
                <c:pt idx="504">
                  <c:v>-15.287385575963043</c:v>
                </c:pt>
                <c:pt idx="505">
                  <c:v>-15.35212875417178</c:v>
                </c:pt>
                <c:pt idx="506">
                  <c:v>-15.416606239881483</c:v>
                </c:pt>
                <c:pt idx="507">
                  <c:v>-15.480821341096416</c:v>
                </c:pt>
                <c:pt idx="508">
                  <c:v>-15.544777309358439</c:v>
                </c:pt>
                <c:pt idx="509">
                  <c:v>-15.609942270160623</c:v>
                </c:pt>
                <c:pt idx="510">
                  <c:v>-15.674842727612997</c:v>
                </c:pt>
                <c:pt idx="511">
                  <c:v>-15.739481989630379</c:v>
                </c:pt>
                <c:pt idx="512">
                  <c:v>-15.803863308746696</c:v>
                </c:pt>
                <c:pt idx="513">
                  <c:v>-15.869507305640154</c:v>
                </c:pt>
                <c:pt idx="514">
                  <c:v>-15.934887709284267</c:v>
                </c:pt>
                <c:pt idx="515">
                  <c:v>-16.000007838491342</c:v>
                </c:pt>
                <c:pt idx="516">
                  <c:v>-16.06487095766936</c:v>
                </c:pt>
                <c:pt idx="517">
                  <c:v>-16.130973748541784</c:v>
                </c:pt>
                <c:pt idx="518">
                  <c:v>-16.196814231928009</c:v>
                </c:pt>
                <c:pt idx="519">
                  <c:v>-16.26239573716137</c:v>
                </c:pt>
                <c:pt idx="520">
                  <c:v>-16.327721540304026</c:v>
                </c:pt>
                <c:pt idx="521">
                  <c:v>-16.394301801407885</c:v>
                </c:pt>
                <c:pt idx="522">
                  <c:v>-16.460621131407482</c:v>
                </c:pt>
                <c:pt idx="523">
                  <c:v>-16.526682876097134</c:v>
                </c:pt>
                <c:pt idx="524">
                  <c:v>-16.592490329159613</c:v>
                </c:pt>
                <c:pt idx="525">
                  <c:v>-16.659566656725559</c:v>
                </c:pt>
                <c:pt idx="526">
                  <c:v>-16.72638355726809</c:v>
                </c:pt>
                <c:pt idx="527">
                  <c:v>-16.792944399374143</c:v>
                </c:pt>
                <c:pt idx="528">
                  <c:v>-16.859252500706397</c:v>
                </c:pt>
                <c:pt idx="529">
                  <c:v>-16.926843605479352</c:v>
                </c:pt>
                <c:pt idx="530">
                  <c:v>-16.994176954909396</c:v>
                </c:pt>
                <c:pt idx="531">
                  <c:v>-17.061255947137703</c:v>
                </c:pt>
                <c:pt idx="532">
                  <c:v>-17.128083930595224</c:v>
                </c:pt>
                <c:pt idx="533">
                  <c:v>-17.196243950362337</c:v>
                </c:pt>
                <c:pt idx="534">
                  <c:v>-17.264147834599331</c:v>
                </c:pt>
                <c:pt idx="535">
                  <c:v>-17.331799023507969</c:v>
                </c:pt>
                <c:pt idx="536">
                  <c:v>-17.399200908718669</c:v>
                </c:pt>
                <c:pt idx="537">
                  <c:v>-17.46787870105042</c:v>
                </c:pt>
                <c:pt idx="538">
                  <c:v>-17.536302766690646</c:v>
                </c:pt>
                <c:pt idx="539">
                  <c:v>-17.604476584936897</c:v>
                </c:pt>
                <c:pt idx="540">
                  <c:v>-17.672403587871731</c:v>
                </c:pt>
                <c:pt idx="541">
                  <c:v>-17.741689243543711</c:v>
                </c:pt>
                <c:pt idx="542">
                  <c:v>-17.810723372601167</c:v>
                </c:pt>
                <c:pt idx="543">
                  <c:v>-17.879509512204187</c:v>
                </c:pt>
                <c:pt idx="544">
                  <c:v>-17.948051153470878</c:v>
                </c:pt>
                <c:pt idx="545">
                  <c:v>-18.017931036622041</c:v>
                </c:pt>
                <c:pt idx="546">
                  <c:v>-18.087562215349511</c:v>
                </c:pt>
                <c:pt idx="547">
                  <c:v>-18.156948288030915</c:v>
                </c:pt>
                <c:pt idx="548">
                  <c:v>-18.226092808265197</c:v>
                </c:pt>
                <c:pt idx="549">
                  <c:v>-18.296589711729624</c:v>
                </c:pt>
                <c:pt idx="550">
                  <c:v>-18.366841151303916</c:v>
                </c:pt>
                <c:pt idx="551">
                  <c:v>-18.436850795713035</c:v>
                </c:pt>
                <c:pt idx="552">
                  <c:v>-18.506622270141449</c:v>
                </c:pt>
                <c:pt idx="553">
                  <c:v>-18.577793292600976</c:v>
                </c:pt>
                <c:pt idx="554">
                  <c:v>-18.648722350690381</c:v>
                </c:pt>
                <c:pt idx="555">
                  <c:v>-18.719413198148786</c:v>
                </c:pt>
                <c:pt idx="556">
                  <c:v>-18.789869546286944</c:v>
                </c:pt>
                <c:pt idx="557">
                  <c:v>-18.9333720552378</c:v>
                </c:pt>
                <c:pt idx="558">
                  <c:v>-19.07593833549441</c:v>
                </c:pt>
                <c:pt idx="559">
                  <c:v>-19.220835346994321</c:v>
                </c:pt>
                <c:pt idx="560">
                  <c:v>-19.364816172930229</c:v>
                </c:pt>
                <c:pt idx="561">
                  <c:v>-19.511296488438813</c:v>
                </c:pt>
                <c:pt idx="562">
                  <c:v>-19.656881936413498</c:v>
                </c:pt>
                <c:pt idx="563">
                  <c:v>-19.804701005692426</c:v>
                </c:pt>
                <c:pt idx="564">
                  <c:v>-19.951653389220496</c:v>
                </c:pt>
                <c:pt idx="565">
                  <c:v>-20.101445171492841</c:v>
                </c:pt>
                <c:pt idx="566">
                  <c:v>-20.250395430170876</c:v>
                </c:pt>
                <c:pt idx="567">
                  <c:v>-20.402171337295862</c:v>
                </c:pt>
                <c:pt idx="568">
                  <c:v>-20.553135854746923</c:v>
                </c:pt>
                <c:pt idx="569">
                  <c:v>-20.706320585052428</c:v>
                </c:pt>
                <c:pt idx="570">
                  <c:v>-20.858735108714633</c:v>
                </c:pt>
                <c:pt idx="571">
                  <c:v>-21.014569599529654</c:v>
                </c:pt>
                <c:pt idx="572">
                  <c:v>-21.169668238360995</c:v>
                </c:pt>
                <c:pt idx="573">
                  <c:v>-21.327009209002071</c:v>
                </c:pt>
                <c:pt idx="574">
                  <c:v>-21.483665253641753</c:v>
                </c:pt>
                <c:pt idx="575">
                  <c:v>-21.643757173194285</c:v>
                </c:pt>
                <c:pt idx="576">
                  <c:v>-21.803210235216042</c:v>
                </c:pt>
                <c:pt idx="577">
                  <c:v>-22.472111689680997</c:v>
                </c:pt>
                <c:pt idx="578">
                  <c:v>-23.133211344085755</c:v>
                </c:pt>
                <c:pt idx="579">
                  <c:v>-24.567442992640544</c:v>
                </c:pt>
                <c:pt idx="580">
                  <c:v>-26.140987571501284</c:v>
                </c:pt>
                <c:pt idx="581">
                  <c:v>-27.88903836941731</c:v>
                </c:pt>
                <c:pt idx="582">
                  <c:v>-29.847743475645807</c:v>
                </c:pt>
                <c:pt idx="583">
                  <c:v>-32.038176482508398</c:v>
                </c:pt>
                <c:pt idx="584">
                  <c:v>-34.46341068396633</c:v>
                </c:pt>
                <c:pt idx="585">
                  <c:v>-37.100927495874025</c:v>
                </c:pt>
                <c:pt idx="586">
                  <c:v>-39.914017258791091</c:v>
                </c:pt>
                <c:pt idx="587">
                  <c:v>-42.861887272605827</c:v>
                </c:pt>
                <c:pt idx="588">
                  <c:v>-45.902526971919848</c:v>
                </c:pt>
                <c:pt idx="589">
                  <c:v>-49.006594752672534</c:v>
                </c:pt>
                <c:pt idx="590">
                  <c:v>-52.149302318021412</c:v>
                </c:pt>
                <c:pt idx="591">
                  <c:v>-55.31423583169893</c:v>
                </c:pt>
                <c:pt idx="592">
                  <c:v>-58.489530179715416</c:v>
                </c:pt>
                <c:pt idx="593">
                  <c:v>-61.668365458289259</c:v>
                </c:pt>
                <c:pt idx="594">
                  <c:v>-64.844578857082155</c:v>
                </c:pt>
                <c:pt idx="595">
                  <c:v>-68.01503324918356</c:v>
                </c:pt>
                <c:pt idx="596">
                  <c:v>-71.176233806303358</c:v>
                </c:pt>
                <c:pt idx="597">
                  <c:v>-74.326513845897779</c:v>
                </c:pt>
                <c:pt idx="598">
                  <c:v>-77.46298686605833</c:v>
                </c:pt>
                <c:pt idx="599">
                  <c:v>-80.584404084180392</c:v>
                </c:pt>
                <c:pt idx="600">
                  <c:v>-83.688190288897488</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235397888"/>
        <c:axId val="235399808"/>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-57.508267992066386</c:v>
                </c:pt>
                <c:pt idx="1">
                  <c:v>-59.855246653748182</c:v>
                </c:pt>
                <c:pt idx="2">
                  <c:v>-62.098000169467539</c:v>
                </c:pt>
                <c:pt idx="3">
                  <c:v>-64.228272155912265</c:v>
                </c:pt>
                <c:pt idx="4">
                  <c:v>-66.239462140027783</c:v>
                </c:pt>
                <c:pt idx="5">
                  <c:v>-68.132188981167971</c:v>
                </c:pt>
                <c:pt idx="6">
                  <c:v>-69.90330056362329</c:v>
                </c:pt>
                <c:pt idx="7">
                  <c:v>-71.555557822112306</c:v>
                </c:pt>
                <c:pt idx="8">
                  <c:v>-73.0908900652678</c:v>
                </c:pt>
                <c:pt idx="9">
                  <c:v>-74.514751435055771</c:v>
                </c:pt>
                <c:pt idx="10">
                  <c:v>-75.831417514759053</c:v>
                </c:pt>
                <c:pt idx="11">
                  <c:v>-77.046793765862915</c:v>
                </c:pt>
                <c:pt idx="12">
                  <c:v>-78.167464011814815</c:v>
                </c:pt>
                <c:pt idx="13">
                  <c:v>-79.198492327809461</c:v>
                </c:pt>
                <c:pt idx="14">
                  <c:v>-80.146860282770334</c:v>
                </c:pt>
                <c:pt idx="15">
                  <c:v>-81.018195302738278</c:v>
                </c:pt>
                <c:pt idx="16">
                  <c:v>-81.818407105849005</c:v>
                </c:pt>
                <c:pt idx="17">
                  <c:v>-82.552982735167191</c:v>
                </c:pt>
                <c:pt idx="18">
                  <c:v>-83.227445083176676</c:v>
                </c:pt>
                <c:pt idx="19">
                  <c:v>-83.846625040021607</c:v>
                </c:pt>
                <c:pt idx="20">
                  <c:v>-84.415362717995464</c:v>
                </c:pt>
                <c:pt idx="21">
                  <c:v>-84.937957404843289</c:v>
                </c:pt>
                <c:pt idx="22">
                  <c:v>-85.418642478408316</c:v>
                </c:pt>
                <c:pt idx="23">
                  <c:v>-85.861140622071161</c:v>
                </c:pt>
                <c:pt idx="24">
                  <c:v>-86.2691394366407</c:v>
                </c:pt>
                <c:pt idx="25">
                  <c:v>-86.645895620619768</c:v>
                </c:pt>
                <c:pt idx="26">
                  <c:v>-86.99458273718902</c:v>
                </c:pt>
                <c:pt idx="27">
                  <c:v>-87.317966015343515</c:v>
                </c:pt>
                <c:pt idx="28">
                  <c:v>-87.618749416746397</c:v>
                </c:pt>
                <c:pt idx="29">
                  <c:v>-87.899275850026058</c:v>
                </c:pt>
                <c:pt idx="30">
                  <c:v>-88.162358070510862</c:v>
                </c:pt>
                <c:pt idx="31">
                  <c:v>-88.409817749412369</c:v>
                </c:pt>
                <c:pt idx="32">
                  <c:v>-88.643906392046773</c:v>
                </c:pt>
                <c:pt idx="33">
                  <c:v>-88.866430378270763</c:v>
                </c:pt>
                <c:pt idx="34">
                  <c:v>-89.079439880715782</c:v>
                </c:pt>
                <c:pt idx="35">
                  <c:v>-89.284610969322785</c:v>
                </c:pt>
                <c:pt idx="36">
                  <c:v>-89.483711423205179</c:v>
                </c:pt>
                <c:pt idx="37">
                  <c:v>-89.678528770497749</c:v>
                </c:pt>
                <c:pt idx="38">
                  <c:v>-89.870524165333762</c:v>
                </c:pt>
                <c:pt idx="39">
                  <c:v>-90.06147711883338</c:v>
                </c:pt>
                <c:pt idx="40">
                  <c:v>-90.252929518780945</c:v>
                </c:pt>
                <c:pt idx="41">
                  <c:v>-90.446516184934836</c:v>
                </c:pt>
                <c:pt idx="42">
                  <c:v>-90.643845134930388</c:v>
                </c:pt>
                <c:pt idx="43">
                  <c:v>-90.846640364527033</c:v>
                </c:pt>
                <c:pt idx="44">
                  <c:v>-91.056557940423161</c:v>
                </c:pt>
                <c:pt idx="45">
                  <c:v>-91.275407383111201</c:v>
                </c:pt>
                <c:pt idx="46">
                  <c:v>-91.504982712729728</c:v>
                </c:pt>
                <c:pt idx="47">
                  <c:v>-91.747257516330492</c:v>
                </c:pt>
                <c:pt idx="48">
                  <c:v>-92.004195279173203</c:v>
                </c:pt>
                <c:pt idx="49">
                  <c:v>-92.27799976452367</c:v>
                </c:pt>
                <c:pt idx="50">
                  <c:v>-92.57089885878456</c:v>
                </c:pt>
                <c:pt idx="51">
                  <c:v>-92.885378917836547</c:v>
                </c:pt>
                <c:pt idx="52">
                  <c:v>-93.223914927615382</c:v>
                </c:pt>
                <c:pt idx="53">
                  <c:v>-93.589258612128916</c:v>
                </c:pt>
                <c:pt idx="54">
                  <c:v>-93.984080543961568</c:v>
                </c:pt>
                <c:pt idx="55">
                  <c:v>-94.412193114667133</c:v>
                </c:pt>
                <c:pt idx="56">
                  <c:v>-94.876367580020911</c:v>
                </c:pt>
                <c:pt idx="57">
                  <c:v>-95.380470117748274</c:v>
                </c:pt>
                <c:pt idx="58">
                  <c:v>-95.927906009295725</c:v>
                </c:pt>
                <c:pt idx="59">
                  <c:v>-96.523080459728931</c:v>
                </c:pt>
                <c:pt idx="60">
                  <c:v>-97.169856246237345</c:v>
                </c:pt>
                <c:pt idx="61">
                  <c:v>-97.87267554837311</c:v>
                </c:pt>
                <c:pt idx="62">
                  <c:v>-98.636457924714549</c:v>
                </c:pt>
                <c:pt idx="63">
                  <c:v>-99.465060138737513</c:v>
                </c:pt>
                <c:pt idx="64">
                  <c:v>-100.36371932216657</c:v>
                </c:pt>
                <c:pt idx="65">
                  <c:v>-101.33659577005082</c:v>
                </c:pt>
                <c:pt idx="66">
                  <c:v>-102.38798337673764</c:v>
                </c:pt>
                <c:pt idx="67">
                  <c:v>-103.52149295511369</c:v>
                </c:pt>
                <c:pt idx="68">
                  <c:v>-104.74055162458464</c:v>
                </c:pt>
                <c:pt idx="69">
                  <c:v>-106.04696855875534</c:v>
                </c:pt>
                <c:pt idx="70">
                  <c:v>-107.44183669827342</c:v>
                </c:pt>
                <c:pt idx="71">
                  <c:v>-108.92403378888933</c:v>
                </c:pt>
                <c:pt idx="72">
                  <c:v>-110.49096775258117</c:v>
                </c:pt>
                <c:pt idx="73">
                  <c:v>-112.13685976204245</c:v>
                </c:pt>
                <c:pt idx="74">
                  <c:v>-113.85388135926173</c:v>
                </c:pt>
                <c:pt idx="75">
                  <c:v>-115.63036998728727</c:v>
                </c:pt>
                <c:pt idx="76">
                  <c:v>-117.45200273279006</c:v>
                </c:pt>
                <c:pt idx="77">
                  <c:v>-119.30010855780317</c:v>
                </c:pt>
                <c:pt idx="78">
                  <c:v>-121.15352463882837</c:v>
                </c:pt>
                <c:pt idx="79">
                  <c:v>-122.98721705945698</c:v>
                </c:pt>
                <c:pt idx="80">
                  <c:v>-124.77837411413964</c:v>
                </c:pt>
                <c:pt idx="81">
                  <c:v>-126.49743280262605</c:v>
                </c:pt>
                <c:pt idx="82">
                  <c:v>-128.118425425477</c:v>
                </c:pt>
                <c:pt idx="83">
                  <c:v>-129.61403207124064</c:v>
                </c:pt>
                <c:pt idx="84">
                  <c:v>-130.96118044959391</c:v>
                </c:pt>
                <c:pt idx="85">
                  <c:v>-132.13770340812454</c:v>
                </c:pt>
                <c:pt idx="86">
                  <c:v>-133.12607122563452</c:v>
                </c:pt>
                <c:pt idx="87">
                  <c:v>-133.9130692226563</c:v>
                </c:pt>
                <c:pt idx="88">
                  <c:v>-134.48888470715985</c:v>
                </c:pt>
                <c:pt idx="89">
                  <c:v>-134.84977952712907</c:v>
                </c:pt>
                <c:pt idx="90">
                  <c:v>-134.99623814588352</c:v>
                </c:pt>
                <c:pt idx="91">
                  <c:v>-134.9339970054821</c:v>
                </c:pt>
                <c:pt idx="92">
                  <c:v>-134.67377209984005</c:v>
                </c:pt>
                <c:pt idx="93">
                  <c:v>-134.23098226235334</c:v>
                </c:pt>
                <c:pt idx="94">
                  <c:v>-134.09407925561442</c:v>
                </c:pt>
                <c:pt idx="95">
                  <c:v>-134.02147197207785</c:v>
                </c:pt>
                <c:pt idx="96">
                  <c:v>-133.94730106702855</c:v>
                </c:pt>
                <c:pt idx="97">
                  <c:v>-133.86990475345519</c:v>
                </c:pt>
                <c:pt idx="98">
                  <c:v>-133.79109450935616</c:v>
                </c:pt>
                <c:pt idx="99">
                  <c:v>-133.70908281167468</c:v>
                </c:pt>
                <c:pt idx="100">
                  <c:v>-133.62580771498318</c:v>
                </c:pt>
                <c:pt idx="101">
                  <c:v>-133.53942518167699</c:v>
                </c:pt>
                <c:pt idx="102">
                  <c:v>-133.45193230503227</c:v>
                </c:pt>
                <c:pt idx="103">
                  <c:v>-133.36130340689519</c:v>
                </c:pt>
                <c:pt idx="104">
                  <c:v>-133.26971622643214</c:v>
                </c:pt>
                <c:pt idx="105">
                  <c:v>-133.17510151846824</c:v>
                </c:pt>
                <c:pt idx="106">
                  <c:v>-133.07968267589828</c:v>
                </c:pt>
                <c:pt idx="107">
                  <c:v>-132.98135447686263</c:v>
                </c:pt>
                <c:pt idx="108">
                  <c:v>-132.88237748085677</c:v>
                </c:pt>
                <c:pt idx="109">
                  <c:v>-132.78054829845851</c:v>
                </c:pt>
                <c:pt idx="110">
                  <c:v>-132.67822538025428</c:v>
                </c:pt>
                <c:pt idx="111">
                  <c:v>-132.57304315482384</c:v>
                </c:pt>
                <c:pt idx="112">
                  <c:v>-132.46752154083561</c:v>
                </c:pt>
                <c:pt idx="113">
                  <c:v>-132.35927940644686</c:v>
                </c:pt>
                <c:pt idx="114">
                  <c:v>-132.25085253492753</c:v>
                </c:pt>
                <c:pt idx="115">
                  <c:v>-132.13978064601548</c:v>
                </c:pt>
                <c:pt idx="116">
                  <c:v>-132.02867811778609</c:v>
                </c:pt>
                <c:pt idx="117">
                  <c:v>-131.91501240623188</c:v>
                </c:pt>
                <c:pt idx="118">
                  <c:v>-131.8014694391095</c:v>
                </c:pt>
                <c:pt idx="119">
                  <c:v>-131.68552173877521</c:v>
                </c:pt>
                <c:pt idx="120">
                  <c:v>-131.5698488844431</c:v>
                </c:pt>
                <c:pt idx="121">
                  <c:v>-131.45186493700862</c:v>
                </c:pt>
                <c:pt idx="122">
                  <c:v>-131.33430639543226</c:v>
                </c:pt>
                <c:pt idx="123">
                  <c:v>-131.21446686519184</c:v>
                </c:pt>
                <c:pt idx="124">
                  <c:v>-131.09520226222213</c:v>
                </c:pt>
                <c:pt idx="125">
                  <c:v>-130.97383166650141</c:v>
                </c:pt>
                <c:pt idx="126">
                  <c:v>-130.85318307242898</c:v>
                </c:pt>
                <c:pt idx="127">
                  <c:v>-130.73053910224303</c:v>
                </c:pt>
                <c:pt idx="128">
                  <c:v>-130.60876198892302</c:v>
                </c:pt>
                <c:pt idx="129">
                  <c:v>-130.48510535640969</c:v>
                </c:pt>
                <c:pt idx="130">
                  <c:v>-130.36245796472383</c:v>
                </c:pt>
                <c:pt idx="131">
                  <c:v>-130.23805190777151</c:v>
                </c:pt>
                <c:pt idx="132">
                  <c:v>-130.17627707458385</c:v>
                </c:pt>
                <c:pt idx="133">
                  <c:v>-130.11479474158622</c:v>
                </c:pt>
                <c:pt idx="134">
                  <c:v>-130.05215908221115</c:v>
                </c:pt>
                <c:pt idx="135">
                  <c:v>-129.98984033002924</c:v>
                </c:pt>
                <c:pt idx="136">
                  <c:v>-129.92784335637458</c:v>
                </c:pt>
                <c:pt idx="137">
                  <c:v>-129.86617280260708</c:v>
                </c:pt>
                <c:pt idx="138">
                  <c:v>-129.80344431597319</c:v>
                </c:pt>
                <c:pt idx="139">
                  <c:v>-129.74106635393031</c:v>
                </c:pt>
                <c:pt idx="140">
                  <c:v>-129.6790431822121</c:v>
                </c:pt>
                <c:pt idx="141">
                  <c:v>-129.61737884613433</c:v>
                </c:pt>
                <c:pt idx="142">
                  <c:v>-129.55462793771349</c:v>
                </c:pt>
                <c:pt idx="143">
                  <c:v>-129.49226098798928</c:v>
                </c:pt>
                <c:pt idx="144">
                  <c:v>-129.43028166586737</c:v>
                </c:pt>
                <c:pt idx="145">
                  <c:v>-129.3686934289326</c:v>
                </c:pt>
                <c:pt idx="146">
                  <c:v>-129.30608672564591</c:v>
                </c:pt>
                <c:pt idx="147">
                  <c:v>-129.24389611196159</c:v>
                </c:pt>
                <c:pt idx="148">
                  <c:v>-129.18212465044172</c:v>
                </c:pt>
                <c:pt idx="149">
                  <c:v>-129.12077520229749</c:v>
                </c:pt>
                <c:pt idx="150">
                  <c:v>-129.05844681251745</c:v>
                </c:pt>
                <c:pt idx="151">
                  <c:v>-128.99656562079025</c:v>
                </c:pt>
                <c:pt idx="152">
                  <c:v>-128.9351340821365</c:v>
                </c:pt>
                <c:pt idx="153">
                  <c:v>-128.87415446059813</c:v>
                </c:pt>
                <c:pt idx="154">
                  <c:v>-128.81220951854067</c:v>
                </c:pt>
                <c:pt idx="155">
                  <c:v>-128.7507422369178</c:v>
                </c:pt>
                <c:pt idx="156">
                  <c:v>-128.68975446610096</c:v>
                </c:pt>
                <c:pt idx="157">
                  <c:v>-128.62924787591049</c:v>
                </c:pt>
                <c:pt idx="158">
                  <c:v>-128.56782166313249</c:v>
                </c:pt>
                <c:pt idx="159">
                  <c:v>-128.50690246060466</c:v>
                </c:pt>
                <c:pt idx="160">
                  <c:v>-128.44649151421166</c:v>
                </c:pt>
                <c:pt idx="161">
                  <c:v>-128.38658990013451</c:v>
                </c:pt>
                <c:pt idx="162">
                  <c:v>-128.32584318924191</c:v>
                </c:pt>
                <c:pt idx="163">
                  <c:v>-128.26563118980135</c:v>
                </c:pt>
                <c:pt idx="164">
                  <c:v>-128.20595454462148</c:v>
                </c:pt>
                <c:pt idx="165">
                  <c:v>-128.14681373831161</c:v>
                </c:pt>
                <c:pt idx="166">
                  <c:v>-128.08682517306443</c:v>
                </c:pt>
                <c:pt idx="167">
                  <c:v>-128.02739872189582</c:v>
                </c:pt>
                <c:pt idx="168">
                  <c:v>-127.9685344304477</c:v>
                </c:pt>
                <c:pt idx="169">
                  <c:v>-127.9102321974558</c:v>
                </c:pt>
                <c:pt idx="170">
                  <c:v>-127.85125887109589</c:v>
                </c:pt>
                <c:pt idx="171">
                  <c:v>-127.79287132873986</c:v>
                </c:pt>
                <c:pt idx="172">
                  <c:v>-127.73506902711161</c:v>
                </c:pt>
                <c:pt idx="173">
                  <c:v>-127.67785128879092</c:v>
                </c:pt>
                <c:pt idx="174">
                  <c:v>-127.6197970966796</c:v>
                </c:pt>
                <c:pt idx="175">
                  <c:v>-127.56235546414476</c:v>
                </c:pt>
                <c:pt idx="176">
                  <c:v>-127.50552526035699</c:v>
                </c:pt>
                <c:pt idx="177">
                  <c:v>-127.44930523135618</c:v>
                </c:pt>
                <c:pt idx="178">
                  <c:v>-127.3923341736261</c:v>
                </c:pt>
                <c:pt idx="179">
                  <c:v>-127.33600063144814</c:v>
                </c:pt>
                <c:pt idx="180">
                  <c:v>-127.28030289089214</c:v>
                </c:pt>
                <c:pt idx="181">
                  <c:v>-127.22523912657559</c:v>
                </c:pt>
                <c:pt idx="182">
                  <c:v>-127.16972520589893</c:v>
                </c:pt>
                <c:pt idx="183">
                  <c:v>-127.11486670722856</c:v>
                </c:pt>
                <c:pt idx="184">
                  <c:v>-127.06066137015735</c:v>
                </c:pt>
                <c:pt idx="185">
                  <c:v>-127.00710683652296</c:v>
                </c:pt>
                <c:pt idx="186">
                  <c:v>-126.95275744834105</c:v>
                </c:pt>
                <c:pt idx="187">
                  <c:v>-126.89908974259677</c:v>
                </c:pt>
                <c:pt idx="188">
                  <c:v>-126.84610087297158</c:v>
                </c:pt>
                <c:pt idx="189">
                  <c:v>-126.79378790638324</c:v>
                </c:pt>
                <c:pt idx="190">
                  <c:v>-126.74116885347382</c:v>
                </c:pt>
                <c:pt idx="191">
                  <c:v>-126.68924534360934</c:v>
                </c:pt>
                <c:pt idx="192">
                  <c:v>-126.63801402623477</c:v>
                </c:pt>
                <c:pt idx="193">
                  <c:v>-126.58747147790386</c:v>
                </c:pt>
                <c:pt idx="194">
                  <c:v>-126.53631627388104</c:v>
                </c:pt>
                <c:pt idx="195">
                  <c:v>-126.48587890687941</c:v>
                </c:pt>
                <c:pt idx="196">
                  <c:v>-126.4361554678738</c:v>
                </c:pt>
                <c:pt idx="197">
                  <c:v>-126.38714198672943</c:v>
                </c:pt>
                <c:pt idx="198">
                  <c:v>-126.33778447486364</c:v>
                </c:pt>
                <c:pt idx="199">
                  <c:v>-126.28915979548327</c:v>
                </c:pt>
                <c:pt idx="200">
                  <c:v>-126.24126354243445</c:v>
                </c:pt>
                <c:pt idx="201">
                  <c:v>-126.19409126134431</c:v>
                </c:pt>
                <c:pt idx="202">
                  <c:v>-126.14665087689259</c:v>
                </c:pt>
                <c:pt idx="203">
                  <c:v>-126.09995629371645</c:v>
                </c:pt>
                <c:pt idx="204">
                  <c:v>-126.05400263530932</c:v>
                </c:pt>
                <c:pt idx="205">
                  <c:v>-126.00878498969493</c:v>
                </c:pt>
                <c:pt idx="206">
                  <c:v>-125.96321870456377</c:v>
                </c:pt>
                <c:pt idx="207">
                  <c:v>-125.91841436697889</c:v>
                </c:pt>
                <c:pt idx="208">
                  <c:v>-125.87436660392797</c:v>
                </c:pt>
                <c:pt idx="209">
                  <c:v>-125.83107001913916</c:v>
                </c:pt>
                <c:pt idx="210">
                  <c:v>-125.78736780699205</c:v>
                </c:pt>
                <c:pt idx="211">
                  <c:v>-125.74444674740084</c:v>
                </c:pt>
                <c:pt idx="212">
                  <c:v>-125.70230093596501</c:v>
                </c:pt>
                <c:pt idx="213">
                  <c:v>-125.660924457147</c:v>
                </c:pt>
                <c:pt idx="214">
                  <c:v>-125.61950954453067</c:v>
                </c:pt>
                <c:pt idx="215">
                  <c:v>-125.57888248959337</c:v>
                </c:pt>
                <c:pt idx="216">
                  <c:v>-125.53903700065992</c:v>
                </c:pt>
                <c:pt idx="217">
                  <c:v>-125.49996678723775</c:v>
                </c:pt>
                <c:pt idx="218">
                  <c:v>-125.46080116259307</c:v>
                </c:pt>
                <c:pt idx="219">
                  <c:v>-125.42243327592399</c:v>
                </c:pt>
                <c:pt idx="220">
                  <c:v>-125.38485641875046</c:v>
                </c:pt>
                <c:pt idx="221">
                  <c:v>-125.34806389571484</c:v>
                </c:pt>
                <c:pt idx="222">
                  <c:v>-125.31125495808122</c:v>
                </c:pt>
                <c:pt idx="223">
                  <c:v>-125.27525161716632</c:v>
                </c:pt>
                <c:pt idx="224">
                  <c:v>-125.24004677851661</c:v>
                </c:pt>
                <c:pt idx="225">
                  <c:v>-125.20563337242272</c:v>
                </c:pt>
                <c:pt idx="226">
                  <c:v>-125.17117620724107</c:v>
                </c:pt>
                <c:pt idx="227">
                  <c:v>-125.13753546576102</c:v>
                </c:pt>
                <c:pt idx="228">
                  <c:v>-125.10470363154214</c:v>
                </c:pt>
                <c:pt idx="229">
                  <c:v>-125.07267322455073</c:v>
                </c:pt>
                <c:pt idx="230">
                  <c:v>-125.00952605098894</c:v>
                </c:pt>
                <c:pt idx="231">
                  <c:v>-124.97918222757338</c:v>
                </c:pt>
                <c:pt idx="232">
                  <c:v>-124.94964775014043</c:v>
                </c:pt>
                <c:pt idx="233">
                  <c:v>-124.92024239616623</c:v>
                </c:pt>
                <c:pt idx="234">
                  <c:v>-124.89166875936684</c:v>
                </c:pt>
                <c:pt idx="235">
                  <c:v>-124.86391857223144</c:v>
                </c:pt>
                <c:pt idx="236">
                  <c:v>-124.83698362617102</c:v>
                </c:pt>
                <c:pt idx="237">
                  <c:v>-124.81033394000571</c:v>
                </c:pt>
                <c:pt idx="238">
                  <c:v>-124.78451584199733</c:v>
                </c:pt>
                <c:pt idx="239">
                  <c:v>-124.75952081124217</c:v>
                </c:pt>
                <c:pt idx="240">
                  <c:v>-124.73534039560984</c:v>
                </c:pt>
                <c:pt idx="241">
                  <c:v>-124.71137907408817</c:v>
                </c:pt>
                <c:pt idx="242">
                  <c:v>-124.68825677563859</c:v>
                </c:pt>
                <c:pt idx="243">
                  <c:v>-124.66596461435105</c:v>
                </c:pt>
                <c:pt idx="244">
                  <c:v>-124.64449378398676</c:v>
                </c:pt>
                <c:pt idx="245">
                  <c:v>-124.62338689592967</c:v>
                </c:pt>
                <c:pt idx="246">
                  <c:v>-124.6031197963147</c:v>
                </c:pt>
                <c:pt idx="247">
                  <c:v>-124.58368334224978</c:v>
                </c:pt>
                <c:pt idx="248">
                  <c:v>-124.56506848003649</c:v>
                </c:pt>
                <c:pt idx="249">
                  <c:v>-124.54684212145857</c:v>
                </c:pt>
                <c:pt idx="250">
                  <c:v>-124.5294589761708</c:v>
                </c:pt>
                <c:pt idx="251">
                  <c:v>-124.51290960462816</c:v>
                </c:pt>
                <c:pt idx="252">
                  <c:v>-124.49718466639453</c:v>
                </c:pt>
                <c:pt idx="253">
                  <c:v>-124.48196811217555</c:v>
                </c:pt>
                <c:pt idx="254">
                  <c:v>-124.46759188696502</c:v>
                </c:pt>
                <c:pt idx="255">
                  <c:v>-124.45404636435676</c:v>
                </c:pt>
                <c:pt idx="256">
                  <c:v>-124.44132202528925</c:v>
                </c:pt>
                <c:pt idx="257">
                  <c:v>-124.42911154586605</c:v>
                </c:pt>
                <c:pt idx="258">
                  <c:v>-124.4177453980666</c:v>
                </c:pt>
                <c:pt idx="259">
                  <c:v>-124.40721365368283</c:v>
                </c:pt>
                <c:pt idx="260">
                  <c:v>-124.39750650169249</c:v>
                </c:pt>
                <c:pt idx="261">
                  <c:v>-124.38842154636735</c:v>
                </c:pt>
                <c:pt idx="262">
                  <c:v>-124.38017870608168</c:v>
                </c:pt>
                <c:pt idx="263">
                  <c:v>-124.37276786177564</c:v>
                </c:pt>
                <c:pt idx="264">
                  <c:v>-124.3661790196152</c:v>
                </c:pt>
                <c:pt idx="265">
                  <c:v>-124.36028308816</c:v>
                </c:pt>
                <c:pt idx="266">
                  <c:v>-124.35522537676447</c:v>
                </c:pt>
                <c:pt idx="267">
                  <c:v>-124.35099561018423</c:v>
                </c:pt>
                <c:pt idx="268">
                  <c:v>-124.34758364571903</c:v>
                </c:pt>
                <c:pt idx="269">
                  <c:v>-124.3449264781552</c:v>
                </c:pt>
                <c:pt idx="270">
                  <c:v>-124.34310598403616</c:v>
                </c:pt>
                <c:pt idx="271">
                  <c:v>-124.34211169228641</c:v>
                </c:pt>
                <c:pt idx="272">
                  <c:v>-124.34193327225989</c:v>
                </c:pt>
                <c:pt idx="273">
                  <c:v>-124.34258496905865</c:v>
                </c:pt>
                <c:pt idx="274">
                  <c:v>-124.34407001772682</c:v>
                </c:pt>
                <c:pt idx="275">
                  <c:v>-124.34637778685261</c:v>
                </c:pt>
                <c:pt idx="276">
                  <c:v>-124.34949779262399</c:v>
                </c:pt>
                <c:pt idx="277">
                  <c:v>-124.35350944105727</c:v>
                </c:pt>
                <c:pt idx="278">
                  <c:v>-124.35834575246005</c:v>
                </c:pt>
                <c:pt idx="279">
                  <c:v>-124.36399604181599</c:v>
                </c:pt>
                <c:pt idx="280">
                  <c:v>-124.37044977675846</c:v>
                </c:pt>
                <c:pt idx="281">
                  <c:v>-124.37790381289096</c:v>
                </c:pt>
                <c:pt idx="282">
                  <c:v>-124.38618337564905</c:v>
                </c:pt>
                <c:pt idx="283">
                  <c:v>-124.39527754332988</c:v>
                </c:pt>
                <c:pt idx="284">
                  <c:v>-124.40517555533474</c:v>
                </c:pt>
                <c:pt idx="285">
                  <c:v>-124.41608621456741</c:v>
                </c:pt>
                <c:pt idx="286">
                  <c:v>-124.42781073275185</c:v>
                </c:pt>
                <c:pt idx="287">
                  <c:v>-124.4403382012987</c:v>
                </c:pt>
                <c:pt idx="288">
                  <c:v>-124.45365787618972</c:v>
                </c:pt>
                <c:pt idx="289">
                  <c:v>-124.46813413923977</c:v>
                </c:pt>
                <c:pt idx="290">
                  <c:v>-124.48342172953086</c:v>
                </c:pt>
                <c:pt idx="291">
                  <c:v>-124.49950957167306</c:v>
                </c:pt>
                <c:pt idx="292">
                  <c:v>-124.51638676181126</c:v>
                </c:pt>
                <c:pt idx="293">
                  <c:v>-124.53445969712125</c:v>
                </c:pt>
                <c:pt idx="294">
                  <c:v>-124.55333633172661</c:v>
                </c:pt>
                <c:pt idx="295">
                  <c:v>-124.57300552830422</c:v>
                </c:pt>
                <c:pt idx="296">
                  <c:v>-124.59345632581402</c:v>
                </c:pt>
                <c:pt idx="297">
                  <c:v>-124.61516609377895</c:v>
                </c:pt>
                <c:pt idx="298">
                  <c:v>-124.63767053926034</c:v>
                </c:pt>
                <c:pt idx="299">
                  <c:v>-124.6609584947627</c:v>
                </c:pt>
                <c:pt idx="300">
                  <c:v>-124.68501897304186</c:v>
                </c:pt>
                <c:pt idx="301">
                  <c:v>-124.71039796242954</c:v>
                </c:pt>
                <c:pt idx="302">
                  <c:v>-124.73656133245409</c:v>
                </c:pt>
                <c:pt idx="303">
                  <c:v>-124.76349791549637</c:v>
                </c:pt>
                <c:pt idx="304">
                  <c:v>-124.79119672738901</c:v>
                </c:pt>
                <c:pt idx="305">
                  <c:v>-124.8203833375882</c:v>
                </c:pt>
                <c:pt idx="306">
                  <c:v>-124.85034878710141</c:v>
                </c:pt>
                <c:pt idx="307">
                  <c:v>-124.88108180844405</c:v>
                </c:pt>
                <c:pt idx="308">
                  <c:v>-124.91257132288662</c:v>
                </c:pt>
                <c:pt idx="309">
                  <c:v>-124.94549366454818</c:v>
                </c:pt>
                <c:pt idx="310">
                  <c:v>-124.97918196035603</c:v>
                </c:pt>
                <c:pt idx="311">
                  <c:v>-125.01362500331099</c:v>
                </c:pt>
                <c:pt idx="312">
                  <c:v>-125.04881177681564</c:v>
                </c:pt>
                <c:pt idx="313">
                  <c:v>-125.08561660640373</c:v>
                </c:pt>
                <c:pt idx="314">
                  <c:v>-125.12317908254803</c:v>
                </c:pt>
                <c:pt idx="315">
                  <c:v>-125.1614879609603</c:v>
                </c:pt>
                <c:pt idx="316">
                  <c:v>-125.20053219150824</c:v>
                </c:pt>
                <c:pt idx="317">
                  <c:v>-125.24125653096273</c:v>
                </c:pt>
                <c:pt idx="318">
                  <c:v>-125.28272882265659</c:v>
                </c:pt>
                <c:pt idx="319">
                  <c:v>-125.32493781638667</c:v>
                </c:pt>
                <c:pt idx="320">
                  <c:v>-125.36787245907522</c:v>
                </c:pt>
                <c:pt idx="321">
                  <c:v>-125.41254541273632</c:v>
                </c:pt>
                <c:pt idx="322">
                  <c:v>-125.45795535883505</c:v>
                </c:pt>
                <c:pt idx="323">
                  <c:v>-125.50409107078431</c:v>
                </c:pt>
                <c:pt idx="324">
                  <c:v>-125.55094152132713</c:v>
                </c:pt>
                <c:pt idx="325">
                  <c:v>-125.59958475634399</c:v>
                </c:pt>
                <c:pt idx="326">
                  <c:v>-125.64895287767521</c:v>
                </c:pt>
                <c:pt idx="327">
                  <c:v>-125.69903470991613</c:v>
                </c:pt>
                <c:pt idx="328">
                  <c:v>-125.74981927846071</c:v>
                </c:pt>
                <c:pt idx="329">
                  <c:v>-125.80253611235824</c:v>
                </c:pt>
                <c:pt idx="330">
                  <c:v>-125.85596705988092</c:v>
                </c:pt>
                <c:pt idx="331">
                  <c:v>-125.91010096706907</c:v>
                </c:pt>
                <c:pt idx="332">
                  <c:v>-125.9649268828647</c:v>
                </c:pt>
                <c:pt idx="333">
                  <c:v>-126.02164619181612</c:v>
                </c:pt>
                <c:pt idx="334">
                  <c:v>-126.07906539078189</c:v>
                </c:pt>
                <c:pt idx="335">
                  <c:v>-126.13717342895805</c:v>
                </c:pt>
                <c:pt idx="336">
                  <c:v>-126.19595945848862</c:v>
                </c:pt>
                <c:pt idx="337">
                  <c:v>-126.2568783103001</c:v>
                </c:pt>
                <c:pt idx="338">
                  <c:v>-126.31848637874235</c:v>
                </c:pt>
                <c:pt idx="339">
                  <c:v>-126.38077263324246</c:v>
                </c:pt>
                <c:pt idx="340">
                  <c:v>-126.44372624817571</c:v>
                </c:pt>
                <c:pt idx="341">
                  <c:v>-126.50886633419221</c:v>
                </c:pt>
                <c:pt idx="342">
                  <c:v>-126.57468376193373</c:v>
                </c:pt>
                <c:pt idx="343">
                  <c:v>-126.64116754922701</c:v>
                </c:pt>
                <c:pt idx="344">
                  <c:v>-126.70830692010512</c:v>
                </c:pt>
                <c:pt idx="345">
                  <c:v>-126.77757657222533</c:v>
                </c:pt>
                <c:pt idx="346">
                  <c:v>-126.84750860376398</c:v>
                </c:pt>
                <c:pt idx="347">
                  <c:v>-126.91809215633066</c:v>
                </c:pt>
                <c:pt idx="348">
                  <c:v>-126.98931657705134</c:v>
                </c:pt>
                <c:pt idx="349">
                  <c:v>-127.06293175965575</c:v>
                </c:pt>
                <c:pt idx="350">
                  <c:v>-127.13719746458048</c:v>
                </c:pt>
                <c:pt idx="351">
                  <c:v>-127.21210288149656</c:v>
                </c:pt>
                <c:pt idx="352">
                  <c:v>-127.28763740674889</c:v>
                </c:pt>
                <c:pt idx="353">
                  <c:v>-127.365611267519</c:v>
                </c:pt>
                <c:pt idx="354">
                  <c:v>-127.44422270070994</c:v>
                </c:pt>
                <c:pt idx="355">
                  <c:v>-127.52346097023381</c:v>
                </c:pt>
                <c:pt idx="356">
                  <c:v>-127.60331554713211</c:v>
                </c:pt>
                <c:pt idx="357">
                  <c:v>-127.68553700565325</c:v>
                </c:pt>
                <c:pt idx="358">
                  <c:v>-127.76838035383757</c:v>
                </c:pt>
                <c:pt idx="359">
                  <c:v>-127.85183499876919</c:v>
                </c:pt>
                <c:pt idx="360">
                  <c:v>-127.93589055329895</c:v>
                </c:pt>
                <c:pt idx="361">
                  <c:v>-128.02259098542228</c:v>
                </c:pt>
                <c:pt idx="362">
                  <c:v>-128.10990032755896</c:v>
                </c:pt>
                <c:pt idx="363">
                  <c:v>-128.19780806118277</c:v>
                </c:pt>
                <c:pt idx="364">
                  <c:v>-128.28630387390481</c:v>
                </c:pt>
                <c:pt idx="365">
                  <c:v>-128.37736356033767</c:v>
                </c:pt>
                <c:pt idx="366">
                  <c:v>-128.46901660063855</c:v>
                </c:pt>
                <c:pt idx="367">
                  <c:v>-128.56125261665358</c:v>
                </c:pt>
                <c:pt idx="368">
                  <c:v>-128.65406143498521</c:v>
                </c:pt>
                <c:pt idx="369">
                  <c:v>-128.74972359559533</c:v>
                </c:pt>
                <c:pt idx="370">
                  <c:v>-128.8459659414961</c:v>
                </c:pt>
                <c:pt idx="371">
                  <c:v>-128.94277817192682</c:v>
                </c:pt>
                <c:pt idx="372">
                  <c:v>-129.0401501911293</c:v>
                </c:pt>
                <c:pt idx="373">
                  <c:v>-129.14028615505339</c:v>
                </c:pt>
                <c:pt idx="374">
                  <c:v>-129.240986719825</c:v>
                </c:pt>
                <c:pt idx="375">
                  <c:v>-129.34224172511801</c:v>
                </c:pt>
                <c:pt idx="376">
                  <c:v>-129.44404121417321</c:v>
                </c:pt>
                <c:pt idx="377">
                  <c:v>-129.5489039529819</c:v>
                </c:pt>
                <c:pt idx="378">
                  <c:v>-129.65431781178489</c:v>
                </c:pt>
                <c:pt idx="379">
                  <c:v>-129.76027271311835</c:v>
                </c:pt>
                <c:pt idx="380">
                  <c:v>-129.86675878317703</c:v>
                </c:pt>
                <c:pt idx="381">
                  <c:v>-129.97607470252609</c:v>
                </c:pt>
                <c:pt idx="382">
                  <c:v>-130.08592469765586</c:v>
                </c:pt>
                <c:pt idx="383">
                  <c:v>-130.1962988705414</c:v>
                </c:pt>
                <c:pt idx="384">
                  <c:v>-130.30718752431079</c:v>
                </c:pt>
                <c:pt idx="385">
                  <c:v>-130.42134817566128</c:v>
                </c:pt>
                <c:pt idx="386">
                  <c:v>-130.53602913245018</c:v>
                </c:pt>
                <c:pt idx="387">
                  <c:v>-130.65122058492983</c:v>
                </c:pt>
                <c:pt idx="388">
                  <c:v>-130.76691292446748</c:v>
                </c:pt>
                <c:pt idx="389">
                  <c:v>-130.88577171813247</c:v>
                </c:pt>
                <c:pt idx="390">
                  <c:v>-131.0051349606685</c:v>
                </c:pt>
                <c:pt idx="391">
                  <c:v>-131.12499298777129</c:v>
                </c:pt>
                <c:pt idx="392">
                  <c:v>-131.24533633468047</c:v>
                </c:pt>
                <c:pt idx="393">
                  <c:v>-131.36887456443424</c:v>
                </c:pt>
                <c:pt idx="394">
                  <c:v>-131.49290076410372</c:v>
                </c:pt>
                <c:pt idx="395">
                  <c:v>-131.6174054326423</c:v>
                </c:pt>
                <c:pt idx="396">
                  <c:v>-131.74237926650451</c:v>
                </c:pt>
                <c:pt idx="397">
                  <c:v>-131.87086401541364</c:v>
                </c:pt>
                <c:pt idx="398">
                  <c:v>-131.999821842345</c:v>
                </c:pt>
                <c:pt idx="399">
                  <c:v>-132.12924336277948</c:v>
                </c:pt>
                <c:pt idx="400">
                  <c:v>-132.25911938898417</c:v>
                </c:pt>
                <c:pt idx="401">
                  <c:v>-132.39238779351606</c:v>
                </c:pt>
                <c:pt idx="402">
                  <c:v>-132.52611263269071</c:v>
                </c:pt>
                <c:pt idx="403">
                  <c:v>-132.6602846897317</c:v>
                </c:pt>
                <c:pt idx="404">
                  <c:v>-132.79489494255421</c:v>
                </c:pt>
                <c:pt idx="405">
                  <c:v>-132.93306963819884</c:v>
                </c:pt>
                <c:pt idx="406">
                  <c:v>-133.07168457309126</c:v>
                </c:pt>
                <c:pt idx="407">
                  <c:v>-133.21073068512106</c:v>
                </c:pt>
                <c:pt idx="408">
                  <c:v>-133.35019910519358</c:v>
                </c:pt>
                <c:pt idx="409">
                  <c:v>-133.49340585367847</c:v>
                </c:pt>
                <c:pt idx="410">
                  <c:v>-133.63703698145537</c:v>
                </c:pt>
                <c:pt idx="411">
                  <c:v>-133.78108357071068</c:v>
                </c:pt>
                <c:pt idx="412">
                  <c:v>-133.9255368953354</c:v>
                </c:pt>
                <c:pt idx="413">
                  <c:v>-134.07375106252525</c:v>
                </c:pt>
                <c:pt idx="414">
                  <c:v>-134.22237315347317</c:v>
                </c:pt>
                <c:pt idx="415">
                  <c:v>-134.37139441359105</c:v>
                </c:pt>
                <c:pt idx="416">
                  <c:v>-134.52080627822752</c:v>
                </c:pt>
                <c:pt idx="417">
                  <c:v>-134.67415309535286</c:v>
                </c:pt>
                <c:pt idx="418">
                  <c:v>-134.82789166713451</c:v>
                </c:pt>
                <c:pt idx="419">
                  <c:v>-134.98201339382641</c:v>
                </c:pt>
                <c:pt idx="420">
                  <c:v>-135.13650986418997</c:v>
                </c:pt>
                <c:pt idx="421">
                  <c:v>-135.29480448589621</c:v>
                </c:pt>
                <c:pt idx="422">
                  <c:v>-135.45347343570816</c:v>
                </c:pt>
                <c:pt idx="423">
                  <c:v>-135.61250831190418</c:v>
                </c:pt>
                <c:pt idx="424">
                  <c:v>-135.77190089868355</c:v>
                </c:pt>
                <c:pt idx="425">
                  <c:v>-135.93557816820677</c:v>
                </c:pt>
                <c:pt idx="426">
                  <c:v>-136.09961408483943</c:v>
                </c:pt>
                <c:pt idx="427">
                  <c:v>-136.26400038856983</c:v>
                </c:pt>
                <c:pt idx="428">
                  <c:v>-136.4287290044997</c:v>
                </c:pt>
                <c:pt idx="429">
                  <c:v>-136.59760140813287</c:v>
                </c:pt>
                <c:pt idx="430">
                  <c:v>-136.76681556528433</c:v>
                </c:pt>
                <c:pt idx="431">
                  <c:v>-136.93636340128037</c:v>
                </c:pt>
                <c:pt idx="432">
                  <c:v>-137.10623702460165</c:v>
                </c:pt>
                <c:pt idx="433">
                  <c:v>-137.28026763396983</c:v>
                </c:pt>
                <c:pt idx="434">
                  <c:v>-137.45462275762077</c:v>
                </c:pt>
                <c:pt idx="435">
                  <c:v>-137.6292945230133</c:v>
                </c:pt>
                <c:pt idx="436">
                  <c:v>-137.80427523843403</c:v>
                </c:pt>
                <c:pt idx="437">
                  <c:v>-137.98374589332116</c:v>
                </c:pt>
                <c:pt idx="438">
                  <c:v>-138.16352466889887</c:v>
                </c:pt>
                <c:pt idx="439">
                  <c:v>-138.34360386923098</c:v>
                </c:pt>
                <c:pt idx="440">
                  <c:v>-138.5239759778232</c:v>
                </c:pt>
                <c:pt idx="441">
                  <c:v>-138.70884964753373</c:v>
                </c:pt>
                <c:pt idx="442">
                  <c:v>-138.89401467544857</c:v>
                </c:pt>
                <c:pt idx="443">
                  <c:v>-139.07946356145456</c:v>
                </c:pt>
                <c:pt idx="444">
                  <c:v>-139.26518898308552</c:v>
                </c:pt>
                <c:pt idx="445">
                  <c:v>-139.45542514414493</c:v>
                </c:pt>
                <c:pt idx="446">
                  <c:v>-139.64593564251439</c:v>
                </c:pt>
                <c:pt idx="447">
                  <c:v>-139.83671319163457</c:v>
                </c:pt>
                <c:pt idx="448">
                  <c:v>-140.0277506804274</c:v>
                </c:pt>
                <c:pt idx="449">
                  <c:v>-140.22363388074368</c:v>
                </c:pt>
                <c:pt idx="450">
                  <c:v>-140.41977509708281</c:v>
                </c:pt>
                <c:pt idx="451">
                  <c:v>-140.61616723762063</c:v>
                </c:pt>
                <c:pt idx="452">
                  <c:v>-140.81280338466067</c:v>
                </c:pt>
                <c:pt idx="453">
                  <c:v>-141.01412766527122</c:v>
                </c:pt>
                <c:pt idx="454">
                  <c:v>-141.21569301059051</c:v>
                </c:pt>
                <c:pt idx="455">
                  <c:v>-141.41749256000745</c:v>
                </c:pt>
                <c:pt idx="456">
                  <c:v>-141.61951962471687</c:v>
                </c:pt>
                <c:pt idx="457">
                  <c:v>-141.82656998295974</c:v>
                </c:pt>
                <c:pt idx="458">
                  <c:v>-142.03384512978511</c:v>
                </c:pt>
                <c:pt idx="459">
                  <c:v>-142.24133842030429</c:v>
                </c:pt>
                <c:pt idx="460">
                  <c:v>-142.44904337985957</c:v>
                </c:pt>
                <c:pt idx="461">
                  <c:v>-142.66177574936836</c:v>
                </c:pt>
                <c:pt idx="462">
                  <c:v>-142.87471652872014</c:v>
                </c:pt>
                <c:pt idx="463">
                  <c:v>-143.0878593080306</c:v>
                </c:pt>
                <c:pt idx="464">
                  <c:v>-143.30119784566955</c:v>
                </c:pt>
                <c:pt idx="465">
                  <c:v>-143.51973285832437</c:v>
                </c:pt>
                <c:pt idx="466">
                  <c:v>-143.73846020594979</c:v>
                </c:pt>
                <c:pt idx="467">
                  <c:v>-143.95737371750985</c:v>
                </c:pt>
                <c:pt idx="468">
                  <c:v>-144.17646738837109</c:v>
                </c:pt>
                <c:pt idx="469">
                  <c:v>-144.40075877684967</c:v>
                </c:pt>
                <c:pt idx="470">
                  <c:v>-144.6252264760316</c:v>
                </c:pt>
                <c:pt idx="471">
                  <c:v>-144.84986457227876</c:v>
                </c:pt>
                <c:pt idx="472">
                  <c:v>-145.07466731610344</c:v>
                </c:pt>
                <c:pt idx="473">
                  <c:v>-145.30500323951074</c:v>
                </c:pt>
                <c:pt idx="474">
                  <c:v>-145.53550007867057</c:v>
                </c:pt>
                <c:pt idx="475">
                  <c:v>-145.76615216993935</c:v>
                </c:pt>
                <c:pt idx="476">
                  <c:v>-145.99695401212608</c:v>
                </c:pt>
                <c:pt idx="477">
                  <c:v>-146.23328844502254</c:v>
                </c:pt>
                <c:pt idx="478">
                  <c:v>-146.46976854281135</c:v>
                </c:pt>
                <c:pt idx="479">
                  <c:v>-146.70638891160144</c:v>
                </c:pt>
                <c:pt idx="480">
                  <c:v>-146.94314431780151</c:v>
                </c:pt>
                <c:pt idx="481">
                  <c:v>-147.18543025638425</c:v>
                </c:pt>
                <c:pt idx="482">
                  <c:v>-147.42784687899282</c:v>
                </c:pt>
                <c:pt idx="483">
                  <c:v>-147.67038907948509</c:v>
                </c:pt>
                <c:pt idx="484">
                  <c:v>-147.913051909427</c:v>
                </c:pt>
                <c:pt idx="485">
                  <c:v>-148.16141107382586</c:v>
                </c:pt>
                <c:pt idx="486">
                  <c:v>-148.40988648720312</c:v>
                </c:pt>
                <c:pt idx="487">
                  <c:v>-148.65847333767812</c:v>
                </c:pt>
                <c:pt idx="488">
                  <c:v>-148.9071669684752</c:v>
                </c:pt>
                <c:pt idx="489">
                  <c:v>-149.16189182955938</c:v>
                </c:pt>
                <c:pt idx="490">
                  <c:v>-149.41671922131744</c:v>
                </c:pt>
                <c:pt idx="491">
                  <c:v>-149.67164462478945</c:v>
                </c:pt>
                <c:pt idx="492">
                  <c:v>-149.92666367385411</c:v>
                </c:pt>
                <c:pt idx="493">
                  <c:v>-150.18770988281892</c:v>
                </c:pt>
                <c:pt idx="494">
                  <c:v>-150.44884536923604</c:v>
                </c:pt>
                <c:pt idx="495">
                  <c:v>-150.71006592540795</c:v>
                </c:pt>
                <c:pt idx="496">
                  <c:v>-150.97136749365973</c:v>
                </c:pt>
                <c:pt idx="497">
                  <c:v>-151.23886117525885</c:v>
                </c:pt>
                <c:pt idx="498">
                  <c:v>-151.50643156801911</c:v>
                </c:pt>
                <c:pt idx="499">
                  <c:v>-151.7740747842642</c:v>
                </c:pt>
                <c:pt idx="500">
                  <c:v>-152.04178708334319</c:v>
                </c:pt>
                <c:pt idx="501">
                  <c:v>-152.31585627915481</c:v>
                </c:pt>
                <c:pt idx="502">
                  <c:v>-152.58999036682602</c:v>
                </c:pt>
                <c:pt idx="503">
                  <c:v>-152.86418578769201</c:v>
                </c:pt>
                <c:pt idx="504">
                  <c:v>-153.1384391268704</c:v>
                </c:pt>
                <c:pt idx="505">
                  <c:v>-153.41904387647435</c:v>
                </c:pt>
                <c:pt idx="506">
                  <c:v>-153.69970244774839</c:v>
                </c:pt>
                <c:pt idx="507">
                  <c:v>-153.98041162566045</c:v>
                </c:pt>
                <c:pt idx="508">
                  <c:v>-154.26116833506669</c:v>
                </c:pt>
                <c:pt idx="509">
                  <c:v>-154.54844100044028</c:v>
                </c:pt>
                <c:pt idx="510">
                  <c:v>-154.83575733261799</c:v>
                </c:pt>
                <c:pt idx="511">
                  <c:v>-155.12311446681375</c:v>
                </c:pt>
                <c:pt idx="512">
                  <c:v>-155.4105096738881</c:v>
                </c:pt>
                <c:pt idx="513">
                  <c:v>-155.70475595731509</c:v>
                </c:pt>
                <c:pt idx="514">
                  <c:v>-155.9990367702259</c:v>
                </c:pt>
                <c:pt idx="515">
                  <c:v>-156.29334959967252</c:v>
                </c:pt>
                <c:pt idx="516">
                  <c:v>-156.58769206398188</c:v>
                </c:pt>
                <c:pt idx="517">
                  <c:v>-156.88888027814525</c:v>
                </c:pt>
                <c:pt idx="518">
                  <c:v>-157.19009487447266</c:v>
                </c:pt>
                <c:pt idx="519">
                  <c:v>-157.49133370169565</c:v>
                </c:pt>
                <c:pt idx="520">
                  <c:v>-157.79259473460195</c:v>
                </c:pt>
                <c:pt idx="521">
                  <c:v>-158.10086697811104</c:v>
                </c:pt>
                <c:pt idx="522">
                  <c:v>-158.4091585660961</c:v>
                </c:pt>
                <c:pt idx="523">
                  <c:v>-158.71746771172968</c:v>
                </c:pt>
                <c:pt idx="524">
                  <c:v>-159.02579274840664</c:v>
                </c:pt>
                <c:pt idx="525">
                  <c:v>-159.34129503519938</c:v>
                </c:pt>
                <c:pt idx="526">
                  <c:v>-159.65681079678626</c:v>
                </c:pt>
                <c:pt idx="527">
                  <c:v>-159.97233861116669</c:v>
                </c:pt>
                <c:pt idx="528">
                  <c:v>-160.28787717000552</c:v>
                </c:pt>
                <c:pt idx="529">
                  <c:v>-160.61075974022197</c:v>
                </c:pt>
                <c:pt idx="530">
                  <c:v>-160.93365113468093</c:v>
                </c:pt>
                <c:pt idx="531">
                  <c:v>-161.25655029353973</c:v>
                </c:pt>
                <c:pt idx="532">
                  <c:v>-161.57945626322763</c:v>
                </c:pt>
                <c:pt idx="533">
                  <c:v>-161.91004445305242</c:v>
                </c:pt>
                <c:pt idx="534">
                  <c:v>-162.24063808132107</c:v>
                </c:pt>
                <c:pt idx="535">
                  <c:v>-162.57123644285019</c:v>
                </c:pt>
                <c:pt idx="536">
                  <c:v>-162.90183893057062</c:v>
                </c:pt>
                <c:pt idx="537">
                  <c:v>-163.23995109041797</c:v>
                </c:pt>
                <c:pt idx="538">
                  <c:v>-163.57806657682548</c:v>
                </c:pt>
                <c:pt idx="539">
                  <c:v>-163.91618503032726</c:v>
                </c:pt>
                <c:pt idx="540">
                  <c:v>-164.2543061799112</c:v>
                </c:pt>
                <c:pt idx="541">
                  <c:v>-164.60044793654635</c:v>
                </c:pt>
                <c:pt idx="542">
                  <c:v>-164.94659220862488</c:v>
                </c:pt>
                <c:pt idx="543">
                  <c:v>-165.29273896441305</c:v>
                </c:pt>
                <c:pt idx="544">
                  <c:v>-165.63888825008345</c:v>
                </c:pt>
                <c:pt idx="545">
                  <c:v>-165.99305852295547</c:v>
                </c:pt>
                <c:pt idx="546">
                  <c:v>-166.34723177219126</c:v>
                </c:pt>
                <c:pt idx="547">
                  <c:v>-166.70140827088818</c:v>
                </c:pt>
                <c:pt idx="548">
                  <c:v>-167.05558835791774</c:v>
                </c:pt>
                <c:pt idx="549">
                  <c:v>-167.41796171113893</c:v>
                </c:pt>
                <c:pt idx="550">
                  <c:v>-167.78033972901923</c:v>
                </c:pt>
                <c:pt idx="551">
                  <c:v>-168.14272295807461</c:v>
                </c:pt>
                <c:pt idx="552">
                  <c:v>-168.50511199689598</c:v>
                </c:pt>
                <c:pt idx="553">
                  <c:v>-168.87603854205548</c:v>
                </c:pt>
                <c:pt idx="554">
                  <c:v>-169.24697258937934</c:v>
                </c:pt>
                <c:pt idx="555">
                  <c:v>-169.61791491936972</c:v>
                </c:pt>
                <c:pt idx="556">
                  <c:v>-169.9888663492296</c:v>
                </c:pt>
                <c:pt idx="557">
                  <c:v>-170.74820553212425</c:v>
                </c:pt>
                <c:pt idx="558">
                  <c:v>-171.5075940329512</c:v>
                </c:pt>
                <c:pt idx="559">
                  <c:v>-172.28444801997756</c:v>
                </c:pt>
                <c:pt idx="560">
                  <c:v>-173.06137052600334</c:v>
                </c:pt>
                <c:pt idx="561">
                  <c:v>-173.856806154385</c:v>
                </c:pt>
                <c:pt idx="562">
                  <c:v>-174.6523317171899</c:v>
                </c:pt>
                <c:pt idx="563">
                  <c:v>-175.46503056722915</c:v>
                </c:pt>
                <c:pt idx="564">
                  <c:v>-176.27784110193383</c:v>
                </c:pt>
                <c:pt idx="565">
                  <c:v>-177.11126697800435</c:v>
                </c:pt>
                <c:pt idx="566">
                  <c:v>-177.94482629186248</c:v>
                </c:pt>
                <c:pt idx="567">
                  <c:v>-178.79902811602341</c:v>
                </c:pt>
                <c:pt idx="568">
                  <c:v>-179.65338228459834</c:v>
                </c:pt>
                <c:pt idx="569">
                  <c:v>-180.52498443397639</c:v>
                </c:pt>
                <c:pt idx="570">
                  <c:v>-181.39675113522389</c:v>
                </c:pt>
                <c:pt idx="571">
                  <c:v>-182.29261997645239</c:v>
                </c:pt>
                <c:pt idx="572">
                  <c:v>-183.18865978045645</c:v>
                </c:pt>
                <c:pt idx="573">
                  <c:v>-184.10196983388252</c:v>
                </c:pt>
                <c:pt idx="574">
                  <c:v>-185.01544289957835</c:v>
                </c:pt>
                <c:pt idx="575">
                  <c:v>-185.95302132322198</c:v>
                </c:pt>
                <c:pt idx="576">
                  <c:v>-186.89074146884394</c:v>
                </c:pt>
                <c:pt idx="577">
                  <c:v>-190.8616573348184</c:v>
                </c:pt>
                <c:pt idx="578">
                  <c:v>-194.83216336859684</c:v>
                </c:pt>
                <c:pt idx="579">
                  <c:v>-203.51022264315816</c:v>
                </c:pt>
                <c:pt idx="580">
                  <c:v>-212.92916193881925</c:v>
                </c:pt>
                <c:pt idx="581">
                  <c:v>-222.98055202055474</c:v>
                </c:pt>
                <c:pt idx="582">
                  <c:v>-233.46234960479137</c:v>
                </c:pt>
                <c:pt idx="583">
                  <c:v>-244.05146149835028</c:v>
                </c:pt>
                <c:pt idx="584">
                  <c:v>-254.38729211877666</c:v>
                </c:pt>
                <c:pt idx="585">
                  <c:v>-264.12545728768254</c:v>
                </c:pt>
                <c:pt idx="586">
                  <c:v>-273.02761056874488</c:v>
                </c:pt>
                <c:pt idx="587">
                  <c:v>-280.97850187664295</c:v>
                </c:pt>
                <c:pt idx="588">
                  <c:v>-287.95259582434454</c:v>
                </c:pt>
                <c:pt idx="589">
                  <c:v>-294.00299238604964</c:v>
                </c:pt>
                <c:pt idx="590">
                  <c:v>-299.20611817781958</c:v>
                </c:pt>
                <c:pt idx="591">
                  <c:v>-303.65062271365139</c:v>
                </c:pt>
                <c:pt idx="592">
                  <c:v>-307.42061466172566</c:v>
                </c:pt>
                <c:pt idx="593">
                  <c:v>-310.59266294536604</c:v>
                </c:pt>
                <c:pt idx="594">
                  <c:v>-313.23068496730349</c:v>
                </c:pt>
                <c:pt idx="595">
                  <c:v>-315.38981161530307</c:v>
                </c:pt>
                <c:pt idx="596">
                  <c:v>-317.11527186172231</c:v>
                </c:pt>
                <c:pt idx="597">
                  <c:v>-318.4457412355718</c:v>
                </c:pt>
                <c:pt idx="598">
                  <c:v>-319.41341331416174</c:v>
                </c:pt>
                <c:pt idx="599">
                  <c:v>-320.04671253975926</c:v>
                </c:pt>
                <c:pt idx="600">
                  <c:v>-320.37063941739063</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235401984"/>
        <c:axId val="235403520"/>
      </c:scatterChart>
      <c:valAx>
        <c:axId val="23539788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399808"/>
        <c:crossesAt val="-40"/>
        <c:crossBetween val="midCat"/>
        <c:majorUnit val="10"/>
        <c:minorUnit val="10"/>
      </c:valAx>
      <c:valAx>
        <c:axId val="235399808"/>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35397888"/>
        <c:crossesAt val="0.1"/>
        <c:crossBetween val="midCat"/>
        <c:majorUnit val="20"/>
        <c:minorUnit val="4"/>
      </c:valAx>
      <c:valAx>
        <c:axId val="235401984"/>
        <c:scaling>
          <c:logBase val="10"/>
          <c:orientation val="minMax"/>
        </c:scaling>
        <c:delete val="1"/>
        <c:axPos val="t"/>
        <c:numFmt formatCode="General" sourceLinked="1"/>
        <c:majorTickMark val="out"/>
        <c:minorTickMark val="none"/>
        <c:tickLblPos val="none"/>
        <c:crossAx val="235403520"/>
        <c:crossesAt val="0"/>
        <c:crossBetween val="midCat"/>
      </c:valAx>
      <c:valAx>
        <c:axId val="23540352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540198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95.523332401966883</c:v>
                </c:pt>
                <c:pt idx="1">
                  <c:v>94.939683501164353</c:v>
                </c:pt>
                <c:pt idx="2">
                  <c:v>94.328274659372653</c:v>
                </c:pt>
                <c:pt idx="3">
                  <c:v>93.691661518312671</c:v>
                </c:pt>
                <c:pt idx="4">
                  <c:v>93.032863742906329</c:v>
                </c:pt>
                <c:pt idx="5">
                  <c:v>92.353298979748018</c:v>
                </c:pt>
                <c:pt idx="6">
                  <c:v>91.656320104411989</c:v>
                </c:pt>
                <c:pt idx="7">
                  <c:v>90.943715113419074</c:v>
                </c:pt>
                <c:pt idx="8">
                  <c:v>90.218059438388337</c:v>
                </c:pt>
                <c:pt idx="9">
                  <c:v>89.480655715562165</c:v>
                </c:pt>
                <c:pt idx="10">
                  <c:v>88.733571168709886</c:v>
                </c:pt>
                <c:pt idx="11">
                  <c:v>87.978150918972801</c:v>
                </c:pt>
                <c:pt idx="12">
                  <c:v>87.21525278275837</c:v>
                </c:pt>
                <c:pt idx="13">
                  <c:v>86.446701411097493</c:v>
                </c:pt>
                <c:pt idx="14">
                  <c:v>85.672823307883192</c:v>
                </c:pt>
                <c:pt idx="15">
                  <c:v>84.894716369489473</c:v>
                </c:pt>
                <c:pt idx="16">
                  <c:v>84.113000732489169</c:v>
                </c:pt>
                <c:pt idx="17">
                  <c:v>83.328366431747995</c:v>
                </c:pt>
                <c:pt idx="18">
                  <c:v>82.541073905498465</c:v>
                </c:pt>
                <c:pt idx="19">
                  <c:v>81.751745679586037</c:v>
                </c:pt>
                <c:pt idx="20">
                  <c:v>80.960569703780948</c:v>
                </c:pt>
                <c:pt idx="21">
                  <c:v>80.167996611189864</c:v>
                </c:pt>
                <c:pt idx="22">
                  <c:v>79.374098996909979</c:v>
                </c:pt>
                <c:pt idx="23">
                  <c:v>78.579275301476031</c:v>
                </c:pt>
                <c:pt idx="24">
                  <c:v>77.783491702679669</c:v>
                </c:pt>
                <c:pt idx="25">
                  <c:v>76.987011549149372</c:v>
                </c:pt>
                <c:pt idx="26">
                  <c:v>76.189765823555092</c:v>
                </c:pt>
                <c:pt idx="27">
                  <c:v>75.392105223799689</c:v>
                </c:pt>
                <c:pt idx="28">
                  <c:v>74.594079307333317</c:v>
                </c:pt>
                <c:pt idx="29">
                  <c:v>73.796250835559846</c:v>
                </c:pt>
                <c:pt idx="30">
                  <c:v>72.997325690538418</c:v>
                </c:pt>
                <c:pt idx="31">
                  <c:v>72.198465499528709</c:v>
                </c:pt>
                <c:pt idx="32">
                  <c:v>71.399165862002761</c:v>
                </c:pt>
                <c:pt idx="33">
                  <c:v>70.600026962927402</c:v>
                </c:pt>
                <c:pt idx="34">
                  <c:v>69.800457328966957</c:v>
                </c:pt>
                <c:pt idx="35">
                  <c:v>69.000926660712281</c:v>
                </c:pt>
                <c:pt idx="36">
                  <c:v>68.201327864572946</c:v>
                </c:pt>
                <c:pt idx="37">
                  <c:v>67.401241431636336</c:v>
                </c:pt>
                <c:pt idx="38">
                  <c:v>66.601436559440174</c:v>
                </c:pt>
                <c:pt idx="39">
                  <c:v>65.801272329184926</c:v>
                </c:pt>
                <c:pt idx="40">
                  <c:v>65.001050725378505</c:v>
                </c:pt>
                <c:pt idx="41">
                  <c:v>64.2006979813779</c:v>
                </c:pt>
                <c:pt idx="42">
                  <c:v>63.400314725604268</c:v>
                </c:pt>
                <c:pt idx="43">
                  <c:v>62.599650824312022</c:v>
                </c:pt>
                <c:pt idx="44">
                  <c:v>61.798898519789532</c:v>
                </c:pt>
                <c:pt idx="45">
                  <c:v>60.997869268930394</c:v>
                </c:pt>
                <c:pt idx="46">
                  <c:v>60.196690686529337</c:v>
                </c:pt>
                <c:pt idx="47">
                  <c:v>59.395147914119342</c:v>
                </c:pt>
                <c:pt idx="48">
                  <c:v>58.593386348550027</c:v>
                </c:pt>
                <c:pt idx="49">
                  <c:v>57.791138148239597</c:v>
                </c:pt>
                <c:pt idx="50">
                  <c:v>56.988450804408643</c:v>
                </c:pt>
                <c:pt idx="51">
                  <c:v>56.185045265550222</c:v>
                </c:pt>
                <c:pt idx="52">
                  <c:v>55.381067163770005</c:v>
                </c:pt>
                <c:pt idx="53">
                  <c:v>54.576353774836946</c:v>
                </c:pt>
                <c:pt idx="54">
                  <c:v>53.771248767127453</c:v>
                </c:pt>
                <c:pt idx="55">
                  <c:v>52.964202471773859</c:v>
                </c:pt>
                <c:pt idx="56">
                  <c:v>52.156117528361264</c:v>
                </c:pt>
                <c:pt idx="57">
                  <c:v>51.346178813554133</c:v>
                </c:pt>
                <c:pt idx="58">
                  <c:v>50.534645932272397</c:v>
                </c:pt>
                <c:pt idx="59">
                  <c:v>49.720515349286707</c:v>
                </c:pt>
                <c:pt idx="60">
                  <c:v>48.903796613579587</c:v>
                </c:pt>
                <c:pt idx="61">
                  <c:v>48.08383558297281</c:v>
                </c:pt>
                <c:pt idx="62">
                  <c:v>47.259562554430914</c:v>
                </c:pt>
                <c:pt idx="63">
                  <c:v>46.431026866002469</c:v>
                </c:pt>
                <c:pt idx="64">
                  <c:v>45.596700790062592</c:v>
                </c:pt>
                <c:pt idx="65">
                  <c:v>44.755894902144497</c:v>
                </c:pt>
                <c:pt idx="66">
                  <c:v>43.907377096199838</c:v>
                </c:pt>
                <c:pt idx="67">
                  <c:v>43.049934060153845</c:v>
                </c:pt>
                <c:pt idx="68">
                  <c:v>42.18179888227084</c:v>
                </c:pt>
                <c:pt idx="69">
                  <c:v>41.301498931143428</c:v>
                </c:pt>
                <c:pt idx="70">
                  <c:v>40.406968126027571</c:v>
                </c:pt>
                <c:pt idx="71">
                  <c:v>39.496326701648734</c:v>
                </c:pt>
                <c:pt idx="72">
                  <c:v>38.567173366728895</c:v>
                </c:pt>
                <c:pt idx="73">
                  <c:v>37.617434334238467</c:v>
                </c:pt>
                <c:pt idx="74">
                  <c:v>36.644531278294401</c:v>
                </c:pt>
                <c:pt idx="75">
                  <c:v>35.646329007190921</c:v>
                </c:pt>
                <c:pt idx="76">
                  <c:v>34.620465237847583</c:v>
                </c:pt>
                <c:pt idx="77">
                  <c:v>33.565420721994926</c:v>
                </c:pt>
                <c:pt idx="78">
                  <c:v>32.479728879058214</c:v>
                </c:pt>
                <c:pt idx="79">
                  <c:v>31.36319803871411</c:v>
                </c:pt>
                <c:pt idx="80">
                  <c:v>30.213661258107955</c:v>
                </c:pt>
                <c:pt idx="81">
                  <c:v>29.033148848923695</c:v>
                </c:pt>
                <c:pt idx="82">
                  <c:v>27.822078746347469</c:v>
                </c:pt>
                <c:pt idx="83">
                  <c:v>26.583294980855925</c:v>
                </c:pt>
                <c:pt idx="84">
                  <c:v>25.318545813345523</c:v>
                </c:pt>
                <c:pt idx="85">
                  <c:v>24.031891038292308</c:v>
                </c:pt>
                <c:pt idx="86">
                  <c:v>22.72705269579804</c:v>
                </c:pt>
                <c:pt idx="87">
                  <c:v>21.407676223380982</c:v>
                </c:pt>
                <c:pt idx="88">
                  <c:v>20.079704113698615</c:v>
                </c:pt>
                <c:pt idx="89">
                  <c:v>18.74696620575159</c:v>
                </c:pt>
                <c:pt idx="90">
                  <c:v>17.414954746139696</c:v>
                </c:pt>
                <c:pt idx="91">
                  <c:v>16.088521471714564</c:v>
                </c:pt>
                <c:pt idx="92">
                  <c:v>14.772672876224696</c:v>
                </c:pt>
                <c:pt idx="93">
                  <c:v>13.471589575033123</c:v>
                </c:pt>
                <c:pt idx="94">
                  <c:v>13.149291763827723</c:v>
                </c:pt>
                <c:pt idx="95">
                  <c:v>12.987617943200734</c:v>
                </c:pt>
                <c:pt idx="96">
                  <c:v>12.828115874388384</c:v>
                </c:pt>
                <c:pt idx="97">
                  <c:v>12.667116497495725</c:v>
                </c:pt>
                <c:pt idx="98">
                  <c:v>12.508295275264762</c:v>
                </c:pt>
                <c:pt idx="99">
                  <c:v>12.347958726166572</c:v>
                </c:pt>
                <c:pt idx="100">
                  <c:v>12.189806943131829</c:v>
                </c:pt>
                <c:pt idx="101">
                  <c:v>12.030244902281224</c:v>
                </c:pt>
                <c:pt idx="102">
                  <c:v>11.872871063312036</c:v>
                </c:pt>
                <c:pt idx="103">
                  <c:v>11.71395679469863</c:v>
                </c:pt>
                <c:pt idx="104">
                  <c:v>11.557237442968709</c:v>
                </c:pt>
                <c:pt idx="105">
                  <c:v>11.399085078314087</c:v>
                </c:pt>
                <c:pt idx="106">
                  <c:v>11.243131018746521</c:v>
                </c:pt>
                <c:pt idx="107">
                  <c:v>11.085845927234747</c:v>
                </c:pt>
                <c:pt idx="108">
                  <c:v>10.930759342775787</c:v>
                </c:pt>
                <c:pt idx="109">
                  <c:v>10.774332638994494</c:v>
                </c:pt>
                <c:pt idx="110">
                  <c:v>10.620104563438028</c:v>
                </c:pt>
                <c:pt idx="111">
                  <c:v>10.464428157760551</c:v>
                </c:pt>
                <c:pt idx="112">
                  <c:v>10.310953191189638</c:v>
                </c:pt>
                <c:pt idx="113">
                  <c:v>10.156133470403525</c:v>
                </c:pt>
                <c:pt idx="114">
                  <c:v>10.003514656285846</c:v>
                </c:pt>
                <c:pt idx="115">
                  <c:v>9.8495519971696215</c:v>
                </c:pt>
                <c:pt idx="116">
                  <c:v>9.6977892923200031</c:v>
                </c:pt>
                <c:pt idx="117">
                  <c:v>9.54468643910762</c:v>
                </c:pt>
                <c:pt idx="118">
                  <c:v>9.3937820711325752</c:v>
                </c:pt>
                <c:pt idx="119">
                  <c:v>9.2416353663569097</c:v>
                </c:pt>
                <c:pt idx="120">
                  <c:v>9.0916824433393089</c:v>
                </c:pt>
                <c:pt idx="121">
                  <c:v>8.9404904071503299</c:v>
                </c:pt>
                <c:pt idx="122">
                  <c:v>8.7914869579836949</c:v>
                </c:pt>
                <c:pt idx="123">
                  <c:v>8.6411634275707936</c:v>
                </c:pt>
                <c:pt idx="124">
                  <c:v>8.4930252223279616</c:v>
                </c:pt>
                <c:pt idx="125">
                  <c:v>8.3436632494793965</c:v>
                </c:pt>
                <c:pt idx="126">
                  <c:v>8.1964800828459019</c:v>
                </c:pt>
                <c:pt idx="127">
                  <c:v>8.0480822440171575</c:v>
                </c:pt>
                <c:pt idx="128">
                  <c:v>7.9018560044273141</c:v>
                </c:pt>
                <c:pt idx="129">
                  <c:v>7.754425723200252</c:v>
                </c:pt>
                <c:pt idx="130">
                  <c:v>7.6091590971098988</c:v>
                </c:pt>
                <c:pt idx="131">
                  <c:v>7.4627003917602943</c:v>
                </c:pt>
                <c:pt idx="132">
                  <c:v>7.3902825052639978</c:v>
                </c:pt>
                <c:pt idx="133">
                  <c:v>7.3183966197330133</c:v>
                </c:pt>
                <c:pt idx="134">
                  <c:v>7.2453461120370699</c:v>
                </c:pt>
                <c:pt idx="135">
                  <c:v>7.1728393225886453</c:v>
                </c:pt>
                <c:pt idx="136">
                  <c:v>7.100869402503724</c:v>
                </c:pt>
                <c:pt idx="137">
                  <c:v>7.0294296148567366</c:v>
                </c:pt>
                <c:pt idx="138">
                  <c:v>6.956909288544586</c:v>
                </c:pt>
                <c:pt idx="139">
                  <c:v>6.8849295363725691</c:v>
                </c:pt>
                <c:pt idx="140">
                  <c:v>6.8134835011401984</c:v>
                </c:pt>
                <c:pt idx="141">
                  <c:v>6.7425644386744956</c:v>
                </c:pt>
                <c:pt idx="142">
                  <c:v>6.6705025832111575</c:v>
                </c:pt>
                <c:pt idx="143">
                  <c:v>6.5989790394943446</c:v>
                </c:pt>
                <c:pt idx="144">
                  <c:v>6.5279869256314385</c:v>
                </c:pt>
                <c:pt idx="145">
                  <c:v>6.4575194742162054</c:v>
                </c:pt>
                <c:pt idx="146">
                  <c:v>6.3859557987397775</c:v>
                </c:pt>
                <c:pt idx="147">
                  <c:v>6.3149273978555183</c:v>
                </c:pt>
                <c:pt idx="148">
                  <c:v>6.2444273801980499</c:v>
                </c:pt>
                <c:pt idx="149">
                  <c:v>6.1744489700406655</c:v>
                </c:pt>
                <c:pt idx="150">
                  <c:v>6.103385451573188</c:v>
                </c:pt>
                <c:pt idx="151">
                  <c:v>6.0328539513212593</c:v>
                </c:pt>
                <c:pt idx="152">
                  <c:v>5.9628475733424411</c:v>
                </c:pt>
                <c:pt idx="153">
                  <c:v>5.8933595384005786</c:v>
                </c:pt>
                <c:pt idx="154">
                  <c:v>5.822765555254664</c:v>
                </c:pt>
                <c:pt idx="155">
                  <c:v>5.7527005992789597</c:v>
                </c:pt>
                <c:pt idx="156">
                  <c:v>5.683157765575765</c:v>
                </c:pt>
                <c:pt idx="157">
                  <c:v>5.6141302671427873</c:v>
                </c:pt>
                <c:pt idx="158">
                  <c:v>5.5440100979099931</c:v>
                </c:pt>
                <c:pt idx="159">
                  <c:v>5.474415708851545</c:v>
                </c:pt>
                <c:pt idx="160">
                  <c:v>5.4053401919585022</c:v>
                </c:pt>
                <c:pt idx="161">
                  <c:v>5.3367767581951222</c:v>
                </c:pt>
                <c:pt idx="162">
                  <c:v>5.267164626427502</c:v>
                </c:pt>
                <c:pt idx="163">
                  <c:v>5.1980743221763266</c:v>
                </c:pt>
                <c:pt idx="164">
                  <c:v>5.1294989492675338</c:v>
                </c:pt>
                <c:pt idx="165">
                  <c:v>5.0614317312509858</c:v>
                </c:pt>
                <c:pt idx="166">
                  <c:v>4.9922689922403114</c:v>
                </c:pt>
                <c:pt idx="167">
                  <c:v>4.9236248084973635</c:v>
                </c:pt>
                <c:pt idx="168">
                  <c:v>4.8554922834246019</c:v>
                </c:pt>
                <c:pt idx="169">
                  <c:v>4.7878646411948935</c:v>
                </c:pt>
                <c:pt idx="170">
                  <c:v>4.7193000907359899</c:v>
                </c:pt>
                <c:pt idx="171">
                  <c:v>4.6512484076126102</c:v>
                </c:pt>
                <c:pt idx="172">
                  <c:v>4.5837027442949134</c:v>
                </c:pt>
                <c:pt idx="173">
                  <c:v>4.5166563739216699</c:v>
                </c:pt>
                <c:pt idx="174">
                  <c:v>4.4484311736941162</c:v>
                </c:pt>
                <c:pt idx="175">
                  <c:v>4.3807168173354594</c:v>
                </c:pt>
                <c:pt idx="176">
                  <c:v>4.313506434613906</c:v>
                </c:pt>
                <c:pt idx="177">
                  <c:v>4.2467932775531256</c:v>
                </c:pt>
                <c:pt idx="178">
                  <c:v>4.1789484188718253</c:v>
                </c:pt>
                <c:pt idx="179">
                  <c:v>4.1116115803951132</c:v>
                </c:pt>
                <c:pt idx="180">
                  <c:v>4.044775886313972</c:v>
                </c:pt>
                <c:pt idx="181">
                  <c:v>3.9784345842733071</c:v>
                </c:pt>
                <c:pt idx="182">
                  <c:v>3.9112689020897125</c:v>
                </c:pt>
                <c:pt idx="183">
                  <c:v>3.844603775447669</c:v>
                </c:pt>
                <c:pt idx="184">
                  <c:v>3.7784324185898521</c:v>
                </c:pt>
                <c:pt idx="185">
                  <c:v>3.7127481681219137</c:v>
                </c:pt>
                <c:pt idx="186">
                  <c:v>3.6457612906974139</c:v>
                </c:pt>
                <c:pt idx="187">
                  <c:v>3.5792747536920642</c:v>
                </c:pt>
                <c:pt idx="188">
                  <c:v>3.5132817158870084</c:v>
                </c:pt>
                <c:pt idx="189">
                  <c:v>3.4477754608280393</c:v>
                </c:pt>
                <c:pt idx="190">
                  <c:v>3.3815130654244681</c:v>
                </c:pt>
                <c:pt idx="191">
                  <c:v>3.3157425096318294</c:v>
                </c:pt>
                <c:pt idx="192">
                  <c:v>3.2504570675059425</c:v>
                </c:pt>
                <c:pt idx="193">
                  <c:v>3.1856501361297145</c:v>
                </c:pt>
                <c:pt idx="194">
                  <c:v>3.1196348417992064</c:v>
                </c:pt>
                <c:pt idx="195">
                  <c:v>3.0541097739322391</c:v>
                </c:pt>
                <c:pt idx="196">
                  <c:v>2.9890681828551919</c:v>
                </c:pt>
                <c:pt idx="197">
                  <c:v>2.924503443553002</c:v>
                </c:pt>
                <c:pt idx="198">
                  <c:v>2.8590107402863385</c:v>
                </c:pt>
                <c:pt idx="199">
                  <c:v>2.7940023995651888</c:v>
                </c:pt>
                <c:pt idx="200">
                  <c:v>2.7294717370761745</c:v>
                </c:pt>
                <c:pt idx="201">
                  <c:v>2.6654121926024916</c:v>
                </c:pt>
                <c:pt idx="202">
                  <c:v>2.600459618681275</c:v>
                </c:pt>
                <c:pt idx="203">
                  <c:v>2.5359851183858213</c:v>
                </c:pt>
                <c:pt idx="204">
                  <c:v>2.4719820837202651</c:v>
                </c:pt>
                <c:pt idx="205">
                  <c:v>2.4084440299250285</c:v>
                </c:pt>
                <c:pt idx="206">
                  <c:v>2.3438263870869349</c:v>
                </c:pt>
                <c:pt idx="207">
                  <c:v>2.2796833707231228</c:v>
                </c:pt>
                <c:pt idx="208">
                  <c:v>2.2160083924276992</c:v>
                </c:pt>
                <c:pt idx="209">
                  <c:v>2.1527949875557524</c:v>
                </c:pt>
                <c:pt idx="210">
                  <c:v>2.088329603749739</c:v>
                </c:pt>
                <c:pt idx="211">
                  <c:v>2.0243379007145506</c:v>
                </c:pt>
                <c:pt idx="212">
                  <c:v>1.9608132591460334</c:v>
                </c:pt>
                <c:pt idx="213">
                  <c:v>1.8977491852850243</c:v>
                </c:pt>
                <c:pt idx="214">
                  <c:v>1.8338958447143296</c:v>
                </c:pt>
                <c:pt idx="215">
                  <c:v>1.7705083577062273</c:v>
                </c:pt>
                <c:pt idx="216">
                  <c:v>1.7075802194485594</c:v>
                </c:pt>
                <c:pt idx="217">
                  <c:v>1.6451050487765853</c:v>
                </c:pt>
                <c:pt idx="218">
                  <c:v>1.5816674158660669</c:v>
                </c:pt>
                <c:pt idx="219">
                  <c:v>1.5186905230361916</c:v>
                </c:pt>
                <c:pt idx="220">
                  <c:v>1.4561679255025792</c:v>
                </c:pt>
                <c:pt idx="221">
                  <c:v>1.3940933015704318</c:v>
                </c:pt>
                <c:pt idx="222">
                  <c:v>1.3310914560130158</c:v>
                </c:pt>
                <c:pt idx="223">
                  <c:v>1.2685448006649027</c:v>
                </c:pt>
                <c:pt idx="224">
                  <c:v>1.2064469619437612</c:v>
                </c:pt>
                <c:pt idx="225">
                  <c:v>1.1447916884828533</c:v>
                </c:pt>
                <c:pt idx="226">
                  <c:v>1.0820526669259769</c:v>
                </c:pt>
                <c:pt idx="227">
                  <c:v>1.0197656288352046</c:v>
                </c:pt>
                <c:pt idx="228">
                  <c:v>0.95792422468936889</c:v>
                </c:pt>
                <c:pt idx="229">
                  <c:v>0.89652222748278776</c:v>
                </c:pt>
                <c:pt idx="230">
                  <c:v>0.77207867199401781</c:v>
                </c:pt>
                <c:pt idx="231">
                  <c:v>0.7105228703814187</c:v>
                </c:pt>
                <c:pt idx="232">
                  <c:v>0.64940276007184872</c:v>
                </c:pt>
                <c:pt idx="233">
                  <c:v>0.58727671921872526</c:v>
                </c:pt>
                <c:pt idx="234">
                  <c:v>0.52559455479249007</c:v>
                </c:pt>
                <c:pt idx="235">
                  <c:v>0.4643500063401485</c:v>
                </c:pt>
                <c:pt idx="236">
                  <c:v>0.40353693539562641</c:v>
                </c:pt>
                <c:pt idx="237">
                  <c:v>0.3419284290994784</c:v>
                </c:pt>
                <c:pt idx="238">
                  <c:v>0.28075655274545819</c:v>
                </c:pt>
                <c:pt idx="239">
                  <c:v>0.22001516049633996</c:v>
                </c:pt>
                <c:pt idx="240">
                  <c:v>0.15969822637168893</c:v>
                </c:pt>
                <c:pt idx="241">
                  <c:v>9.8273784589186119E-2</c:v>
                </c:pt>
                <c:pt idx="242">
                  <c:v>3.7283319826826977E-2</c:v>
                </c:pt>
                <c:pt idx="243">
                  <c:v>-2.3279294045578641E-2</c:v>
                </c:pt>
                <c:pt idx="244">
                  <c:v>-8.342006300426083E-2</c:v>
                </c:pt>
                <c:pt idx="245">
                  <c:v>-0.14446375058123803</c:v>
                </c:pt>
                <c:pt idx="246">
                  <c:v>-0.20507900705522647</c:v>
                </c:pt>
                <c:pt idx="247">
                  <c:v>-0.26527187615696385</c:v>
                </c:pt>
                <c:pt idx="248">
                  <c:v>-0.32504828283079995</c:v>
                </c:pt>
                <c:pt idx="249">
                  <c:v>-0.38585689947741431</c:v>
                </c:pt>
                <c:pt idx="250">
                  <c:v>-0.44624070770479723</c:v>
                </c:pt>
                <c:pt idx="251">
                  <c:v>-0.50620570770433015</c:v>
                </c:pt>
                <c:pt idx="252">
                  <c:v>-0.56575778126791743</c:v>
                </c:pt>
                <c:pt idx="253">
                  <c:v>-0.62615008050151344</c:v>
                </c:pt>
                <c:pt idx="254">
                  <c:v>-0.68612382155511409</c:v>
                </c:pt>
                <c:pt idx="255">
                  <c:v>-0.74568490401551957</c:v>
                </c:pt>
                <c:pt idx="256">
                  <c:v>-0.80483911098837657</c:v>
                </c:pt>
                <c:pt idx="257">
                  <c:v>-0.86510892896312253</c:v>
                </c:pt>
                <c:pt idx="258">
                  <c:v>-0.9249624837827668</c:v>
                </c:pt>
                <c:pt idx="259">
                  <c:v>-0.98440565626811494</c:v>
                </c:pt>
                <c:pt idx="260">
                  <c:v>-1.043444210561187</c:v>
                </c:pt>
                <c:pt idx="261">
                  <c:v>-1.1034119217526162</c:v>
                </c:pt>
                <c:pt idx="262">
                  <c:v>-1.1629682481177612</c:v>
                </c:pt>
                <c:pt idx="263">
                  <c:v>-1.2221189957431571</c:v>
                </c:pt>
                <c:pt idx="264">
                  <c:v>-1.2808698553443949</c:v>
                </c:pt>
                <c:pt idx="265">
                  <c:v>-1.3405187808534591</c:v>
                </c:pt>
                <c:pt idx="266">
                  <c:v>-1.3997615165222133</c:v>
                </c:pt>
                <c:pt idx="267">
                  <c:v>-1.4586037855898422</c:v>
                </c:pt>
                <c:pt idx="268">
                  <c:v>-1.5170511974820202</c:v>
                </c:pt>
                <c:pt idx="269">
                  <c:v>-1.5765068483119913</c:v>
                </c:pt>
                <c:pt idx="270">
                  <c:v>-1.6355598922003218</c:v>
                </c:pt>
                <c:pt idx="271">
                  <c:v>-1.6942160021340966</c:v>
                </c:pt>
                <c:pt idx="272">
                  <c:v>-1.7524807380157323</c:v>
                </c:pt>
                <c:pt idx="273">
                  <c:v>-1.811720001191772</c:v>
                </c:pt>
                <c:pt idx="274">
                  <c:v>-1.8705606487036026</c:v>
                </c:pt>
                <c:pt idx="275">
                  <c:v>-1.9290082933963282</c:v>
                </c:pt>
                <c:pt idx="276">
                  <c:v>-1.9870684360521151</c:v>
                </c:pt>
                <c:pt idx="277">
                  <c:v>-2.0459385501673903</c:v>
                </c:pt>
                <c:pt idx="278">
                  <c:v>-2.1044161607560135</c:v>
                </c:pt>
                <c:pt idx="279">
                  <c:v>-2.1625067747356175</c:v>
                </c:pt>
                <c:pt idx="280">
                  <c:v>-2.2202157892289174</c:v>
                </c:pt>
                <c:pt idx="281">
                  <c:v>-2.2790963389003824</c:v>
                </c:pt>
                <c:pt idx="282">
                  <c:v>-2.3375855328092712</c:v>
                </c:pt>
                <c:pt idx="283">
                  <c:v>-2.3956888750441765</c:v>
                </c:pt>
                <c:pt idx="284">
                  <c:v>-2.4534117594602769</c:v>
                </c:pt>
                <c:pt idx="285">
                  <c:v>-2.5118900743256312</c:v>
                </c:pt>
                <c:pt idx="286">
                  <c:v>-2.5699837229485678</c:v>
                </c:pt>
                <c:pt idx="287">
                  <c:v>-2.6276980892352464</c:v>
                </c:pt>
                <c:pt idx="288">
                  <c:v>-2.6850384495663921</c:v>
                </c:pt>
                <c:pt idx="289">
                  <c:v>-2.7434785299367315</c:v>
                </c:pt>
                <c:pt idx="290">
                  <c:v>-2.8015359227650576</c:v>
                </c:pt>
                <c:pt idx="291">
                  <c:v>-2.8592159894679288</c:v>
                </c:pt>
                <c:pt idx="292">
                  <c:v>-2.9165239840761266</c:v>
                </c:pt>
                <c:pt idx="293">
                  <c:v>-2.9747766238881419</c:v>
                </c:pt>
                <c:pt idx="294">
                  <c:v>-3.0326505902540291</c:v>
                </c:pt>
                <c:pt idx="295">
                  <c:v>-3.0901511785547369</c:v>
                </c:pt>
                <c:pt idx="296">
                  <c:v>-3.1472835781085418</c:v>
                </c:pt>
                <c:pt idx="297">
                  <c:v>-3.2053309838892918</c:v>
                </c:pt>
                <c:pt idx="298">
                  <c:v>-3.2630040277974528</c:v>
                </c:pt>
                <c:pt idx="299">
                  <c:v>-3.3203079321039777</c:v>
                </c:pt>
                <c:pt idx="300">
                  <c:v>-3.377247814553892</c:v>
                </c:pt>
                <c:pt idx="301">
                  <c:v>-3.4350744545244534</c:v>
                </c:pt>
                <c:pt idx="302">
                  <c:v>-3.4925313018369124</c:v>
                </c:pt>
                <c:pt idx="303">
                  <c:v>-3.5496234995207931</c:v>
                </c:pt>
                <c:pt idx="304">
                  <c:v>-3.6063560878033707</c:v>
                </c:pt>
                <c:pt idx="305">
                  <c:v>-3.6641693124713717</c:v>
                </c:pt>
                <c:pt idx="306">
                  <c:v>-3.7216147410127149</c:v>
                </c:pt>
                <c:pt idx="307">
                  <c:v>-3.7786974899693195</c:v>
                </c:pt>
                <c:pt idx="308">
                  <c:v>-3.8354225734243337</c:v>
                </c:pt>
                <c:pt idx="309">
                  <c:v>-3.8929790683773802</c:v>
                </c:pt>
                <c:pt idx="310">
                  <c:v>-3.950172915074976</c:v>
                </c:pt>
                <c:pt idx="311">
                  <c:v>-4.0070091374265395</c:v>
                </c:pt>
                <c:pt idx="312">
                  <c:v>-4.063492659005429</c:v>
                </c:pt>
                <c:pt idx="313">
                  <c:v>-4.1209931619578279</c:v>
                </c:pt>
                <c:pt idx="314">
                  <c:v>-4.1781336970629841</c:v>
                </c:pt>
                <c:pt idx="315">
                  <c:v>-4.2349192461225753</c:v>
                </c:pt>
                <c:pt idx="316">
                  <c:v>-4.2913546914023195</c:v>
                </c:pt>
                <c:pt idx="317">
                  <c:v>-4.3487761273424388</c:v>
                </c:pt>
                <c:pt idx="318">
                  <c:v>-4.405840637612763</c:v>
                </c:pt>
                <c:pt idx="319">
                  <c:v>-4.4625531538076881</c:v>
                </c:pt>
                <c:pt idx="320">
                  <c:v>-4.5189185090189401</c:v>
                </c:pt>
                <c:pt idx="321">
                  <c:v>-4.5762402624130507</c:v>
                </c:pt>
                <c:pt idx="322">
                  <c:v>-4.6332084537251097</c:v>
                </c:pt>
                <c:pt idx="323">
                  <c:v>-4.6898279571534189</c:v>
                </c:pt>
                <c:pt idx="324">
                  <c:v>-4.7461035496344541</c:v>
                </c:pt>
                <c:pt idx="325">
                  <c:v>-4.8033072879979803</c:v>
                </c:pt>
                <c:pt idx="326">
                  <c:v>-4.8601611113788969</c:v>
                </c:pt>
                <c:pt idx="327">
                  <c:v>-4.9166698302580603</c:v>
                </c:pt>
                <c:pt idx="328">
                  <c:v>-4.9728381592781883</c:v>
                </c:pt>
                <c:pt idx="329">
                  <c:v>-5.0300028072828917</c:v>
                </c:pt>
                <c:pt idx="330">
                  <c:v>-5.086820285287903</c:v>
                </c:pt>
                <c:pt idx="331">
                  <c:v>-5.143295358140457</c:v>
                </c:pt>
                <c:pt idx="332">
                  <c:v>-5.1994326958083503</c:v>
                </c:pt>
                <c:pt idx="333">
                  <c:v>-5.2564443249019934</c:v>
                </c:pt>
                <c:pt idx="334">
                  <c:v>-5.3131129631526308</c:v>
                </c:pt>
                <c:pt idx="335">
                  <c:v>-5.3694432999754316</c:v>
                </c:pt>
                <c:pt idx="336">
                  <c:v>-5.4254399316650792</c:v>
                </c:pt>
                <c:pt idx="337">
                  <c:v>-5.4824676660534335</c:v>
                </c:pt>
                <c:pt idx="338">
                  <c:v>-5.5391546143445982</c:v>
                </c:pt>
                <c:pt idx="339">
                  <c:v>-5.5955054305210092</c:v>
                </c:pt>
                <c:pt idx="340">
                  <c:v>-5.6515246761584361</c:v>
                </c:pt>
                <c:pt idx="341">
                  <c:v>-5.7085452009355233</c:v>
                </c:pt>
                <c:pt idx="342">
                  <c:v>-5.765227493411901</c:v>
                </c:pt>
                <c:pt idx="343">
                  <c:v>-5.8215761646127664</c:v>
                </c:pt>
                <c:pt idx="344">
                  <c:v>-5.8775957340793239</c:v>
                </c:pt>
                <c:pt idx="345">
                  <c:v>-5.9345015782559773</c:v>
                </c:pt>
                <c:pt idx="346">
                  <c:v>-5.991073069242125</c:v>
                </c:pt>
                <c:pt idx="347">
                  <c:v>-6.0473147478008702</c:v>
                </c:pt>
                <c:pt idx="348">
                  <c:v>-6.1032310648618582</c:v>
                </c:pt>
                <c:pt idx="349">
                  <c:v>-6.1601783933656389</c:v>
                </c:pt>
                <c:pt idx="350">
                  <c:v>-6.2167934717592654</c:v>
                </c:pt>
                <c:pt idx="351">
                  <c:v>-6.2730808063146259</c:v>
                </c:pt>
                <c:pt idx="352">
                  <c:v>-6.3290448141869948</c:v>
                </c:pt>
                <c:pt idx="353">
                  <c:v>-6.3860108540132963</c:v>
                </c:pt>
                <c:pt idx="354">
                  <c:v>-6.4426470811981602</c:v>
                </c:pt>
                <c:pt idx="355">
                  <c:v>-6.4989579604057859</c:v>
                </c:pt>
                <c:pt idx="356">
                  <c:v>-6.5549478680944437</c:v>
                </c:pt>
                <c:pt idx="357">
                  <c:v>-6.6118314048699176</c:v>
                </c:pt>
                <c:pt idx="358">
                  <c:v>-6.6683887880428516</c:v>
                </c:pt>
                <c:pt idx="359">
                  <c:v>-6.7246244157028858</c:v>
                </c:pt>
                <c:pt idx="360">
                  <c:v>-6.780542599304499</c:v>
                </c:pt>
                <c:pt idx="361">
                  <c:v>-6.8374883655564105</c:v>
                </c:pt>
                <c:pt idx="362">
                  <c:v>-6.8941100345482624</c:v>
                </c:pt>
                <c:pt idx="363">
                  <c:v>-6.9504119698570292</c:v>
                </c:pt>
                <c:pt idx="364">
                  <c:v>-7.0063984491595015</c:v>
                </c:pt>
                <c:pt idx="365">
                  <c:v>-7.0633073897962992</c:v>
                </c:pt>
                <c:pt idx="366">
                  <c:v>-7.1198954722681371</c:v>
                </c:pt>
                <c:pt idx="367">
                  <c:v>-7.1761670015739565</c:v>
                </c:pt>
                <c:pt idx="368">
                  <c:v>-7.2321261981801532</c:v>
                </c:pt>
                <c:pt idx="369">
                  <c:v>-7.2891344037342787</c:v>
                </c:pt>
                <c:pt idx="370">
                  <c:v>-7.3458235171067994</c:v>
                </c:pt>
                <c:pt idx="371">
                  <c:v>-7.4021978140026743</c:v>
                </c:pt>
                <c:pt idx="372">
                  <c:v>-7.4582614862000574</c:v>
                </c:pt>
                <c:pt idx="373">
                  <c:v>-7.5152722660941436</c:v>
                </c:pt>
                <c:pt idx="374">
                  <c:v>-7.5719668616884706</c:v>
                </c:pt>
                <c:pt idx="375">
                  <c:v>-7.6283494962420928</c:v>
                </c:pt>
                <c:pt idx="376">
                  <c:v>-7.6844243102986534</c:v>
                </c:pt>
                <c:pt idx="377">
                  <c:v>-7.7415659467475937</c:v>
                </c:pt>
                <c:pt idx="378">
                  <c:v>-7.798392948498801</c:v>
                </c:pt>
                <c:pt idx="379">
                  <c:v>-7.854909513201652</c:v>
                </c:pt>
                <c:pt idx="380">
                  <c:v>-7.9111197563041111</c:v>
                </c:pt>
                <c:pt idx="381">
                  <c:v>-7.968227502774945</c:v>
                </c:pt>
                <c:pt idx="382">
                  <c:v>-8.0250240303244631</c:v>
                </c:pt>
                <c:pt idx="383">
                  <c:v>-8.0815134735219338</c:v>
                </c:pt>
                <c:pt idx="384">
                  <c:v>-8.1376998862241354</c:v>
                </c:pt>
                <c:pt idx="385">
                  <c:v>-8.1949685442106706</c:v>
                </c:pt>
                <c:pt idx="386">
                  <c:v>-8.2519273344371094</c:v>
                </c:pt>
                <c:pt idx="387">
                  <c:v>-8.3085803691364397</c:v>
                </c:pt>
                <c:pt idx="388">
                  <c:v>-8.3649316802604119</c:v>
                </c:pt>
                <c:pt idx="389">
                  <c:v>-8.4222695613136942</c:v>
                </c:pt>
                <c:pt idx="390">
                  <c:v>-8.4792999826974107</c:v>
                </c:pt>
                <c:pt idx="391">
                  <c:v>-8.5360270130053646</c:v>
                </c:pt>
                <c:pt idx="392">
                  <c:v>-8.5924546415342622</c:v>
                </c:pt>
                <c:pt idx="393">
                  <c:v>-8.649844068334783</c:v>
                </c:pt>
                <c:pt idx="394">
                  <c:v>-8.7069286835796849</c:v>
                </c:pt>
                <c:pt idx="395">
                  <c:v>-8.7637125071848985</c:v>
                </c:pt>
                <c:pt idx="396">
                  <c:v>-8.8201994808832289</c:v>
                </c:pt>
                <c:pt idx="397">
                  <c:v>-8.8777541065002268</c:v>
                </c:pt>
                <c:pt idx="398">
                  <c:v>-8.9350054220868174</c:v>
                </c:pt>
                <c:pt idx="399">
                  <c:v>-8.9919574211508824</c:v>
                </c:pt>
                <c:pt idx="400">
                  <c:v>-9.0486140195552114</c:v>
                </c:pt>
                <c:pt idx="401">
                  <c:v>-9.1062480703798006</c:v>
                </c:pt>
                <c:pt idx="402">
                  <c:v>-9.1635812752665338</c:v>
                </c:pt>
                <c:pt idx="403">
                  <c:v>-9.220617582010556</c:v>
                </c:pt>
                <c:pt idx="404">
                  <c:v>-9.277360861798762</c:v>
                </c:pt>
                <c:pt idx="405">
                  <c:v>-9.3351200489267132</c:v>
                </c:pt>
                <c:pt idx="406">
                  <c:v>-9.3925804297056992</c:v>
                </c:pt>
                <c:pt idx="407">
                  <c:v>-9.4497459142015856</c:v>
                </c:pt>
                <c:pt idx="408">
                  <c:v>-9.5066203367030475</c:v>
                </c:pt>
                <c:pt idx="409">
                  <c:v>-9.5645469500723763</c:v>
                </c:pt>
                <c:pt idx="410">
                  <c:v>-9.6221764194016188</c:v>
                </c:pt>
                <c:pt idx="411">
                  <c:v>-9.6795126240135154</c:v>
                </c:pt>
                <c:pt idx="412">
                  <c:v>-9.7365593681057341</c:v>
                </c:pt>
                <c:pt idx="413">
                  <c:v>-9.7946328740459379</c:v>
                </c:pt>
                <c:pt idx="414">
                  <c:v>-9.8524111680131874</c:v>
                </c:pt>
                <c:pt idx="415">
                  <c:v>-9.9098980929143963</c:v>
                </c:pt>
                <c:pt idx="416">
                  <c:v>-9.9670974173313294</c:v>
                </c:pt>
                <c:pt idx="417">
                  <c:v>-10.025357576168336</c:v>
                </c:pt>
                <c:pt idx="418">
                  <c:v>-10.083324109818152</c:v>
                </c:pt>
                <c:pt idx="419">
                  <c:v>-10.141000831076749</c:v>
                </c:pt>
                <c:pt idx="420">
                  <c:v>-10.198391479055624</c:v>
                </c:pt>
                <c:pt idx="421">
                  <c:v>-10.256760519318998</c:v>
                </c:pt>
                <c:pt idx="422">
                  <c:v>-10.314838354723154</c:v>
                </c:pt>
                <c:pt idx="423">
                  <c:v>-10.372628751390447</c:v>
                </c:pt>
                <c:pt idx="424">
                  <c:v>-10.430135402828418</c:v>
                </c:pt>
                <c:pt idx="425">
                  <c:v>-10.488766564029586</c:v>
                </c:pt>
                <c:pt idx="426">
                  <c:v>-10.547107468899338</c:v>
                </c:pt>
                <c:pt idx="427">
                  <c:v>-10.605161864946806</c:v>
                </c:pt>
                <c:pt idx="428">
                  <c:v>-10.662933427421939</c:v>
                </c:pt>
                <c:pt idx="429">
                  <c:v>-10.721747968073323</c:v>
                </c:pt>
                <c:pt idx="430">
                  <c:v>-10.780274041721107</c:v>
                </c:pt>
                <c:pt idx="431">
                  <c:v>-10.838515360599636</c:v>
                </c:pt>
                <c:pt idx="432">
                  <c:v>-10.896475565474148</c:v>
                </c:pt>
                <c:pt idx="433">
                  <c:v>-10.955454948032266</c:v>
                </c:pt>
                <c:pt idx="434">
                  <c:v>-11.014147882062641</c:v>
                </c:pt>
                <c:pt idx="435">
                  <c:v>-11.072558039763749</c:v>
                </c:pt>
                <c:pt idx="436">
                  <c:v>-11.130689022785766</c:v>
                </c:pt>
                <c:pt idx="437">
                  <c:v>-11.189922326575761</c:v>
                </c:pt>
                <c:pt idx="438">
                  <c:v>-11.248870388391124</c:v>
                </c:pt>
                <c:pt idx="439">
                  <c:v>-11.307536855605417</c:v>
                </c:pt>
                <c:pt idx="440">
                  <c:v>-11.36592530558813</c:v>
                </c:pt>
                <c:pt idx="441">
                  <c:v>-11.425391123429602</c:v>
                </c:pt>
                <c:pt idx="442">
                  <c:v>-11.484573169721939</c:v>
                </c:pt>
                <c:pt idx="443">
                  <c:v>-11.543475061623308</c:v>
                </c:pt>
                <c:pt idx="444">
                  <c:v>-11.602100346984255</c:v>
                </c:pt>
                <c:pt idx="445">
                  <c:v>-11.661779022603689</c:v>
                </c:pt>
                <c:pt idx="446">
                  <c:v>-11.721175634818016</c:v>
                </c:pt>
                <c:pt idx="447">
                  <c:v>-11.780293765781988</c:v>
                </c:pt>
                <c:pt idx="448">
                  <c:v>-11.839136929178879</c:v>
                </c:pt>
                <c:pt idx="449">
                  <c:v>-11.899110582539363</c:v>
                </c:pt>
                <c:pt idx="450">
                  <c:v>-11.958803159773455</c:v>
                </c:pt>
                <c:pt idx="451">
                  <c:v>-12.018218221511173</c:v>
                </c:pt>
                <c:pt idx="452">
                  <c:v>-12.077359260426245</c:v>
                </c:pt>
                <c:pt idx="453">
                  <c:v>-12.137556730393317</c:v>
                </c:pt>
                <c:pt idx="454">
                  <c:v>-12.197474831942809</c:v>
                </c:pt>
                <c:pt idx="455">
                  <c:v>-12.257117090415729</c:v>
                </c:pt>
                <c:pt idx="456">
                  <c:v>-12.316486964086552</c:v>
                </c:pt>
                <c:pt idx="457">
                  <c:v>-12.376987163464987</c:v>
                </c:pt>
                <c:pt idx="458">
                  <c:v>-12.437209023044177</c:v>
                </c:pt>
                <c:pt idx="459">
                  <c:v>-12.49715604568771</c:v>
                </c:pt>
                <c:pt idx="460">
                  <c:v>-12.55683166778824</c:v>
                </c:pt>
                <c:pt idx="461">
                  <c:v>-12.617613263303953</c:v>
                </c:pt>
                <c:pt idx="462">
                  <c:v>-12.678117802133972</c:v>
                </c:pt>
                <c:pt idx="463">
                  <c:v>-12.738348759980685</c:v>
                </c:pt>
                <c:pt idx="464">
                  <c:v>-12.798309546824594</c:v>
                </c:pt>
                <c:pt idx="465">
                  <c:v>-12.859399412362517</c:v>
                </c:pt>
                <c:pt idx="466">
                  <c:v>-12.920213317621979</c:v>
                </c:pt>
                <c:pt idx="467">
                  <c:v>-12.980754714919751</c:v>
                </c:pt>
                <c:pt idx="468">
                  <c:v>-13.041026991545513</c:v>
                </c:pt>
                <c:pt idx="469">
                  <c:v>-13.102404578322872</c:v>
                </c:pt>
                <c:pt idx="470">
                  <c:v>-13.163507545511397</c:v>
                </c:pt>
                <c:pt idx="471">
                  <c:v>-13.224339317942588</c:v>
                </c:pt>
                <c:pt idx="472">
                  <c:v>-13.284903256264379</c:v>
                </c:pt>
                <c:pt idx="473">
                  <c:v>-13.346639437058947</c:v>
                </c:pt>
                <c:pt idx="474">
                  <c:v>-13.408101770064665</c:v>
                </c:pt>
                <c:pt idx="475">
                  <c:v>-13.46929366391949</c:v>
                </c:pt>
                <c:pt idx="476">
                  <c:v>-13.530218463693471</c:v>
                </c:pt>
                <c:pt idx="477">
                  <c:v>-13.592291163867483</c:v>
                </c:pt>
                <c:pt idx="478">
                  <c:v>-13.654091056133675</c:v>
                </c:pt>
                <c:pt idx="479">
                  <c:v>-13.715621528879087</c:v>
                </c:pt>
                <c:pt idx="480">
                  <c:v>-13.776885907700038</c:v>
                </c:pt>
                <c:pt idx="481">
                  <c:v>-13.839274767549213</c:v>
                </c:pt>
                <c:pt idx="482">
                  <c:v>-13.901392108577905</c:v>
                </c:pt>
                <c:pt idx="483">
                  <c:v>-13.963241295552592</c:v>
                </c:pt>
                <c:pt idx="484">
                  <c:v>-14.024825631376054</c:v>
                </c:pt>
                <c:pt idx="485">
                  <c:v>-14.087554536034288</c:v>
                </c:pt>
                <c:pt idx="486">
                  <c:v>-14.150013077822837</c:v>
                </c:pt>
                <c:pt idx="487">
                  <c:v>-14.212204601963601</c:v>
                </c:pt>
                <c:pt idx="488">
                  <c:v>-14.27413239271598</c:v>
                </c:pt>
                <c:pt idx="489">
                  <c:v>-14.337265791921945</c:v>
                </c:pt>
                <c:pt idx="490">
                  <c:v>-14.400129519030131</c:v>
                </c:pt>
                <c:pt idx="491">
                  <c:v>-14.462726910318507</c:v>
                </c:pt>
                <c:pt idx="492">
                  <c:v>-14.525061241831448</c:v>
                </c:pt>
                <c:pt idx="493">
                  <c:v>-14.588577215262486</c:v>
                </c:pt>
                <c:pt idx="494">
                  <c:v>-14.651824497011956</c:v>
                </c:pt>
                <c:pt idx="495">
                  <c:v>-14.714806411505375</c:v>
                </c:pt>
                <c:pt idx="496">
                  <c:v>-14.777526223827564</c:v>
                </c:pt>
                <c:pt idx="497">
                  <c:v>-14.841445142090404</c:v>
                </c:pt>
                <c:pt idx="498">
                  <c:v>-14.90509628827459</c:v>
                </c:pt>
                <c:pt idx="499">
                  <c:v>-14.968482979046724</c:v>
                </c:pt>
                <c:pt idx="500">
                  <c:v>-15.03160847263082</c:v>
                </c:pt>
                <c:pt idx="501">
                  <c:v>-15.095949781612198</c:v>
                </c:pt>
                <c:pt idx="502">
                  <c:v>-15.160024202668136</c:v>
                </c:pt>
                <c:pt idx="503">
                  <c:v>-15.223835048921163</c:v>
                </c:pt>
                <c:pt idx="504">
                  <c:v>-15.287385575963043</c:v>
                </c:pt>
                <c:pt idx="505">
                  <c:v>-15.35212875417178</c:v>
                </c:pt>
                <c:pt idx="506">
                  <c:v>-15.416606239881483</c:v>
                </c:pt>
                <c:pt idx="507">
                  <c:v>-15.480821341096416</c:v>
                </c:pt>
                <c:pt idx="508">
                  <c:v>-15.544777309358439</c:v>
                </c:pt>
                <c:pt idx="509">
                  <c:v>-15.609942270160623</c:v>
                </c:pt>
                <c:pt idx="510">
                  <c:v>-15.674842727612997</c:v>
                </c:pt>
                <c:pt idx="511">
                  <c:v>-15.739481989630379</c:v>
                </c:pt>
                <c:pt idx="512">
                  <c:v>-15.803863308746696</c:v>
                </c:pt>
                <c:pt idx="513">
                  <c:v>-15.869507305640154</c:v>
                </c:pt>
                <c:pt idx="514">
                  <c:v>-15.934887709284267</c:v>
                </c:pt>
                <c:pt idx="515">
                  <c:v>-16.000007838491342</c:v>
                </c:pt>
                <c:pt idx="516">
                  <c:v>-16.06487095766936</c:v>
                </c:pt>
                <c:pt idx="517">
                  <c:v>-16.130973748541784</c:v>
                </c:pt>
                <c:pt idx="518">
                  <c:v>-16.196814231928009</c:v>
                </c:pt>
                <c:pt idx="519">
                  <c:v>-16.26239573716137</c:v>
                </c:pt>
                <c:pt idx="520">
                  <c:v>-16.327721540304026</c:v>
                </c:pt>
                <c:pt idx="521">
                  <c:v>-16.394301801407885</c:v>
                </c:pt>
                <c:pt idx="522">
                  <c:v>-16.460621131407482</c:v>
                </c:pt>
                <c:pt idx="523">
                  <c:v>-16.526682876097134</c:v>
                </c:pt>
                <c:pt idx="524">
                  <c:v>-16.592490329159613</c:v>
                </c:pt>
                <c:pt idx="525">
                  <c:v>-16.659566656725559</c:v>
                </c:pt>
                <c:pt idx="526">
                  <c:v>-16.72638355726809</c:v>
                </c:pt>
                <c:pt idx="527">
                  <c:v>-16.792944399374143</c:v>
                </c:pt>
                <c:pt idx="528">
                  <c:v>-16.859252500706397</c:v>
                </c:pt>
                <c:pt idx="529">
                  <c:v>-16.926843605479352</c:v>
                </c:pt>
                <c:pt idx="530">
                  <c:v>-16.994176954909396</c:v>
                </c:pt>
                <c:pt idx="531">
                  <c:v>-17.061255947137703</c:v>
                </c:pt>
                <c:pt idx="532">
                  <c:v>-17.128083930595224</c:v>
                </c:pt>
                <c:pt idx="533">
                  <c:v>-17.196243950362337</c:v>
                </c:pt>
                <c:pt idx="534">
                  <c:v>-17.264147834599331</c:v>
                </c:pt>
                <c:pt idx="535">
                  <c:v>-17.331799023507969</c:v>
                </c:pt>
                <c:pt idx="536">
                  <c:v>-17.399200908718669</c:v>
                </c:pt>
                <c:pt idx="537">
                  <c:v>-17.46787870105042</c:v>
                </c:pt>
                <c:pt idx="538">
                  <c:v>-17.536302766690646</c:v>
                </c:pt>
                <c:pt idx="539">
                  <c:v>-17.604476584936897</c:v>
                </c:pt>
                <c:pt idx="540">
                  <c:v>-17.672403587871731</c:v>
                </c:pt>
                <c:pt idx="541">
                  <c:v>-17.741689243543711</c:v>
                </c:pt>
                <c:pt idx="542">
                  <c:v>-17.810723372601167</c:v>
                </c:pt>
                <c:pt idx="543">
                  <c:v>-17.879509512204187</c:v>
                </c:pt>
                <c:pt idx="544">
                  <c:v>-17.948051153470878</c:v>
                </c:pt>
                <c:pt idx="545">
                  <c:v>-18.017931036622041</c:v>
                </c:pt>
                <c:pt idx="546">
                  <c:v>-18.087562215349511</c:v>
                </c:pt>
                <c:pt idx="547">
                  <c:v>-18.156948288030915</c:v>
                </c:pt>
                <c:pt idx="548">
                  <c:v>-18.226092808265197</c:v>
                </c:pt>
                <c:pt idx="549">
                  <c:v>-18.296589711729624</c:v>
                </c:pt>
                <c:pt idx="550">
                  <c:v>-18.366841151303916</c:v>
                </c:pt>
                <c:pt idx="551">
                  <c:v>-18.436850795713035</c:v>
                </c:pt>
                <c:pt idx="552">
                  <c:v>-18.506622270141449</c:v>
                </c:pt>
                <c:pt idx="553">
                  <c:v>-18.577793292600976</c:v>
                </c:pt>
                <c:pt idx="554">
                  <c:v>-18.648722350690381</c:v>
                </c:pt>
                <c:pt idx="555">
                  <c:v>-18.719413198148786</c:v>
                </c:pt>
                <c:pt idx="556">
                  <c:v>-18.789869546286944</c:v>
                </c:pt>
                <c:pt idx="557">
                  <c:v>-18.9333720552378</c:v>
                </c:pt>
                <c:pt idx="558">
                  <c:v>-19.07593833549441</c:v>
                </c:pt>
                <c:pt idx="559">
                  <c:v>-19.220835346994321</c:v>
                </c:pt>
                <c:pt idx="560">
                  <c:v>-19.364816172930229</c:v>
                </c:pt>
                <c:pt idx="561">
                  <c:v>-19.511296488438813</c:v>
                </c:pt>
                <c:pt idx="562">
                  <c:v>-19.656881936413498</c:v>
                </c:pt>
                <c:pt idx="563">
                  <c:v>-19.804701005692426</c:v>
                </c:pt>
                <c:pt idx="564">
                  <c:v>-19.951653389220496</c:v>
                </c:pt>
                <c:pt idx="565">
                  <c:v>-20.101445171492841</c:v>
                </c:pt>
                <c:pt idx="566">
                  <c:v>-20.250395430170876</c:v>
                </c:pt>
                <c:pt idx="567">
                  <c:v>-20.402171337295862</c:v>
                </c:pt>
                <c:pt idx="568">
                  <c:v>-20.553135854746923</c:v>
                </c:pt>
                <c:pt idx="569">
                  <c:v>-20.706320585052428</c:v>
                </c:pt>
                <c:pt idx="570">
                  <c:v>-20.858735108714633</c:v>
                </c:pt>
                <c:pt idx="571">
                  <c:v>-21.014569599529654</c:v>
                </c:pt>
                <c:pt idx="572">
                  <c:v>-21.169668238360995</c:v>
                </c:pt>
                <c:pt idx="573">
                  <c:v>-21.327009209002071</c:v>
                </c:pt>
                <c:pt idx="574">
                  <c:v>-21.483665253641753</c:v>
                </c:pt>
                <c:pt idx="575">
                  <c:v>-21.643757173194285</c:v>
                </c:pt>
                <c:pt idx="576">
                  <c:v>-21.803210235216042</c:v>
                </c:pt>
                <c:pt idx="577">
                  <c:v>-22.472111689680997</c:v>
                </c:pt>
                <c:pt idx="578">
                  <c:v>-23.133211344085755</c:v>
                </c:pt>
                <c:pt idx="579">
                  <c:v>-24.567442992640544</c:v>
                </c:pt>
                <c:pt idx="580">
                  <c:v>-26.140987571501284</c:v>
                </c:pt>
                <c:pt idx="581">
                  <c:v>-27.88903836941731</c:v>
                </c:pt>
                <c:pt idx="582">
                  <c:v>-29.847743475645807</c:v>
                </c:pt>
                <c:pt idx="583">
                  <c:v>-32.038176482508398</c:v>
                </c:pt>
                <c:pt idx="584">
                  <c:v>-34.46341068396633</c:v>
                </c:pt>
                <c:pt idx="585">
                  <c:v>-37.100927495874025</c:v>
                </c:pt>
                <c:pt idx="586">
                  <c:v>-39.914017258791091</c:v>
                </c:pt>
                <c:pt idx="587">
                  <c:v>-42.861887272605827</c:v>
                </c:pt>
                <c:pt idx="588">
                  <c:v>-45.902526971919848</c:v>
                </c:pt>
                <c:pt idx="589">
                  <c:v>-49.006594752672534</c:v>
                </c:pt>
                <c:pt idx="590">
                  <c:v>-52.149302318021412</c:v>
                </c:pt>
                <c:pt idx="591">
                  <c:v>-55.31423583169893</c:v>
                </c:pt>
                <c:pt idx="592">
                  <c:v>-58.489530179715416</c:v>
                </c:pt>
                <c:pt idx="593">
                  <c:v>-61.668365458289259</c:v>
                </c:pt>
                <c:pt idx="594">
                  <c:v>-64.844578857082155</c:v>
                </c:pt>
                <c:pt idx="595">
                  <c:v>-68.01503324918356</c:v>
                </c:pt>
                <c:pt idx="596">
                  <c:v>-71.176233806303358</c:v>
                </c:pt>
                <c:pt idx="597">
                  <c:v>-74.326513845897779</c:v>
                </c:pt>
                <c:pt idx="598">
                  <c:v>-77.46298686605833</c:v>
                </c:pt>
                <c:pt idx="599">
                  <c:v>-80.584404084180392</c:v>
                </c:pt>
                <c:pt idx="600">
                  <c:v>-83.688190288897488</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332788864"/>
        <c:axId val="332790784"/>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-57.508267992066386</c:v>
                </c:pt>
                <c:pt idx="1">
                  <c:v>-59.855246653748182</c:v>
                </c:pt>
                <c:pt idx="2">
                  <c:v>-62.098000169467539</c:v>
                </c:pt>
                <c:pt idx="3">
                  <c:v>-64.228272155912265</c:v>
                </c:pt>
                <c:pt idx="4">
                  <c:v>-66.239462140027783</c:v>
                </c:pt>
                <c:pt idx="5">
                  <c:v>-68.132188981167971</c:v>
                </c:pt>
                <c:pt idx="6">
                  <c:v>-69.90330056362329</c:v>
                </c:pt>
                <c:pt idx="7">
                  <c:v>-71.555557822112306</c:v>
                </c:pt>
                <c:pt idx="8">
                  <c:v>-73.0908900652678</c:v>
                </c:pt>
                <c:pt idx="9">
                  <c:v>-74.514751435055771</c:v>
                </c:pt>
                <c:pt idx="10">
                  <c:v>-75.831417514759053</c:v>
                </c:pt>
                <c:pt idx="11">
                  <c:v>-77.046793765862915</c:v>
                </c:pt>
                <c:pt idx="12">
                  <c:v>-78.167464011814815</c:v>
                </c:pt>
                <c:pt idx="13">
                  <c:v>-79.198492327809461</c:v>
                </c:pt>
                <c:pt idx="14">
                  <c:v>-80.146860282770334</c:v>
                </c:pt>
                <c:pt idx="15">
                  <c:v>-81.018195302738278</c:v>
                </c:pt>
                <c:pt idx="16">
                  <c:v>-81.818407105849005</c:v>
                </c:pt>
                <c:pt idx="17">
                  <c:v>-82.552982735167191</c:v>
                </c:pt>
                <c:pt idx="18">
                  <c:v>-83.227445083176676</c:v>
                </c:pt>
                <c:pt idx="19">
                  <c:v>-83.846625040021607</c:v>
                </c:pt>
                <c:pt idx="20">
                  <c:v>-84.415362717995464</c:v>
                </c:pt>
                <c:pt idx="21">
                  <c:v>-84.937957404843289</c:v>
                </c:pt>
                <c:pt idx="22">
                  <c:v>-85.418642478408316</c:v>
                </c:pt>
                <c:pt idx="23">
                  <c:v>-85.861140622071161</c:v>
                </c:pt>
                <c:pt idx="24">
                  <c:v>-86.2691394366407</c:v>
                </c:pt>
                <c:pt idx="25">
                  <c:v>-86.645895620619768</c:v>
                </c:pt>
                <c:pt idx="26">
                  <c:v>-86.99458273718902</c:v>
                </c:pt>
                <c:pt idx="27">
                  <c:v>-87.317966015343515</c:v>
                </c:pt>
                <c:pt idx="28">
                  <c:v>-87.618749416746397</c:v>
                </c:pt>
                <c:pt idx="29">
                  <c:v>-87.899275850026058</c:v>
                </c:pt>
                <c:pt idx="30">
                  <c:v>-88.162358070510862</c:v>
                </c:pt>
                <c:pt idx="31">
                  <c:v>-88.409817749412369</c:v>
                </c:pt>
                <c:pt idx="32">
                  <c:v>-88.643906392046773</c:v>
                </c:pt>
                <c:pt idx="33">
                  <c:v>-88.866430378270763</c:v>
                </c:pt>
                <c:pt idx="34">
                  <c:v>-89.079439880715782</c:v>
                </c:pt>
                <c:pt idx="35">
                  <c:v>-89.284610969322785</c:v>
                </c:pt>
                <c:pt idx="36">
                  <c:v>-89.483711423205179</c:v>
                </c:pt>
                <c:pt idx="37">
                  <c:v>-89.678528770497749</c:v>
                </c:pt>
                <c:pt idx="38">
                  <c:v>-89.870524165333762</c:v>
                </c:pt>
                <c:pt idx="39">
                  <c:v>-90.06147711883338</c:v>
                </c:pt>
                <c:pt idx="40">
                  <c:v>-90.252929518780945</c:v>
                </c:pt>
                <c:pt idx="41">
                  <c:v>-90.446516184934836</c:v>
                </c:pt>
                <c:pt idx="42">
                  <c:v>-90.643845134930388</c:v>
                </c:pt>
                <c:pt idx="43">
                  <c:v>-90.846640364527033</c:v>
                </c:pt>
                <c:pt idx="44">
                  <c:v>-91.056557940423161</c:v>
                </c:pt>
                <c:pt idx="45">
                  <c:v>-91.275407383111201</c:v>
                </c:pt>
                <c:pt idx="46">
                  <c:v>-91.504982712729728</c:v>
                </c:pt>
                <c:pt idx="47">
                  <c:v>-91.747257516330492</c:v>
                </c:pt>
                <c:pt idx="48">
                  <c:v>-92.004195279173203</c:v>
                </c:pt>
                <c:pt idx="49">
                  <c:v>-92.27799976452367</c:v>
                </c:pt>
                <c:pt idx="50">
                  <c:v>-92.57089885878456</c:v>
                </c:pt>
                <c:pt idx="51">
                  <c:v>-92.885378917836547</c:v>
                </c:pt>
                <c:pt idx="52">
                  <c:v>-93.223914927615382</c:v>
                </c:pt>
                <c:pt idx="53">
                  <c:v>-93.589258612128916</c:v>
                </c:pt>
                <c:pt idx="54">
                  <c:v>-93.984080543961568</c:v>
                </c:pt>
                <c:pt idx="55">
                  <c:v>-94.412193114667133</c:v>
                </c:pt>
                <c:pt idx="56">
                  <c:v>-94.876367580020911</c:v>
                </c:pt>
                <c:pt idx="57">
                  <c:v>-95.380470117748274</c:v>
                </c:pt>
                <c:pt idx="58">
                  <c:v>-95.927906009295725</c:v>
                </c:pt>
                <c:pt idx="59">
                  <c:v>-96.523080459728931</c:v>
                </c:pt>
                <c:pt idx="60">
                  <c:v>-97.169856246237345</c:v>
                </c:pt>
                <c:pt idx="61">
                  <c:v>-97.87267554837311</c:v>
                </c:pt>
                <c:pt idx="62">
                  <c:v>-98.636457924714549</c:v>
                </c:pt>
                <c:pt idx="63">
                  <c:v>-99.465060138737513</c:v>
                </c:pt>
                <c:pt idx="64">
                  <c:v>-100.36371932216657</c:v>
                </c:pt>
                <c:pt idx="65">
                  <c:v>-101.33659577005082</c:v>
                </c:pt>
                <c:pt idx="66">
                  <c:v>-102.38798337673764</c:v>
                </c:pt>
                <c:pt idx="67">
                  <c:v>-103.52149295511369</c:v>
                </c:pt>
                <c:pt idx="68">
                  <c:v>-104.74055162458464</c:v>
                </c:pt>
                <c:pt idx="69">
                  <c:v>-106.04696855875534</c:v>
                </c:pt>
                <c:pt idx="70">
                  <c:v>-107.44183669827342</c:v>
                </c:pt>
                <c:pt idx="71">
                  <c:v>-108.92403378888933</c:v>
                </c:pt>
                <c:pt idx="72">
                  <c:v>-110.49096775258117</c:v>
                </c:pt>
                <c:pt idx="73">
                  <c:v>-112.13685976204245</c:v>
                </c:pt>
                <c:pt idx="74">
                  <c:v>-113.85388135926173</c:v>
                </c:pt>
                <c:pt idx="75">
                  <c:v>-115.63036998728727</c:v>
                </c:pt>
                <c:pt idx="76">
                  <c:v>-117.45200273279006</c:v>
                </c:pt>
                <c:pt idx="77">
                  <c:v>-119.30010855780317</c:v>
                </c:pt>
                <c:pt idx="78">
                  <c:v>-121.15352463882837</c:v>
                </c:pt>
                <c:pt idx="79">
                  <c:v>-122.98721705945698</c:v>
                </c:pt>
                <c:pt idx="80">
                  <c:v>-124.77837411413964</c:v>
                </c:pt>
                <c:pt idx="81">
                  <c:v>-126.49743280262605</c:v>
                </c:pt>
                <c:pt idx="82">
                  <c:v>-128.118425425477</c:v>
                </c:pt>
                <c:pt idx="83">
                  <c:v>-129.61403207124064</c:v>
                </c:pt>
                <c:pt idx="84">
                  <c:v>-130.96118044959391</c:v>
                </c:pt>
                <c:pt idx="85">
                  <c:v>-132.13770340812454</c:v>
                </c:pt>
                <c:pt idx="86">
                  <c:v>-133.12607122563452</c:v>
                </c:pt>
                <c:pt idx="87">
                  <c:v>-133.9130692226563</c:v>
                </c:pt>
                <c:pt idx="88">
                  <c:v>-134.48888470715985</c:v>
                </c:pt>
                <c:pt idx="89">
                  <c:v>-134.84977952712907</c:v>
                </c:pt>
                <c:pt idx="90">
                  <c:v>-134.99623814588352</c:v>
                </c:pt>
                <c:pt idx="91">
                  <c:v>-134.9339970054821</c:v>
                </c:pt>
                <c:pt idx="92">
                  <c:v>-134.67377209984005</c:v>
                </c:pt>
                <c:pt idx="93">
                  <c:v>-134.23098226235334</c:v>
                </c:pt>
                <c:pt idx="94">
                  <c:v>-134.09407925561442</c:v>
                </c:pt>
                <c:pt idx="95">
                  <c:v>-134.02147197207785</c:v>
                </c:pt>
                <c:pt idx="96">
                  <c:v>-133.94730106702855</c:v>
                </c:pt>
                <c:pt idx="97">
                  <c:v>-133.86990475345519</c:v>
                </c:pt>
                <c:pt idx="98">
                  <c:v>-133.79109450935616</c:v>
                </c:pt>
                <c:pt idx="99">
                  <c:v>-133.70908281167468</c:v>
                </c:pt>
                <c:pt idx="100">
                  <c:v>-133.62580771498318</c:v>
                </c:pt>
                <c:pt idx="101">
                  <c:v>-133.53942518167699</c:v>
                </c:pt>
                <c:pt idx="102">
                  <c:v>-133.45193230503227</c:v>
                </c:pt>
                <c:pt idx="103">
                  <c:v>-133.36130340689519</c:v>
                </c:pt>
                <c:pt idx="104">
                  <c:v>-133.26971622643214</c:v>
                </c:pt>
                <c:pt idx="105">
                  <c:v>-133.17510151846824</c:v>
                </c:pt>
                <c:pt idx="106">
                  <c:v>-133.07968267589828</c:v>
                </c:pt>
                <c:pt idx="107">
                  <c:v>-132.98135447686263</c:v>
                </c:pt>
                <c:pt idx="108">
                  <c:v>-132.88237748085677</c:v>
                </c:pt>
                <c:pt idx="109">
                  <c:v>-132.78054829845851</c:v>
                </c:pt>
                <c:pt idx="110">
                  <c:v>-132.67822538025428</c:v>
                </c:pt>
                <c:pt idx="111">
                  <c:v>-132.57304315482384</c:v>
                </c:pt>
                <c:pt idx="112">
                  <c:v>-132.46752154083561</c:v>
                </c:pt>
                <c:pt idx="113">
                  <c:v>-132.35927940644686</c:v>
                </c:pt>
                <c:pt idx="114">
                  <c:v>-132.25085253492753</c:v>
                </c:pt>
                <c:pt idx="115">
                  <c:v>-132.13978064601548</c:v>
                </c:pt>
                <c:pt idx="116">
                  <c:v>-132.02867811778609</c:v>
                </c:pt>
                <c:pt idx="117">
                  <c:v>-131.91501240623188</c:v>
                </c:pt>
                <c:pt idx="118">
                  <c:v>-131.8014694391095</c:v>
                </c:pt>
                <c:pt idx="119">
                  <c:v>-131.68552173877521</c:v>
                </c:pt>
                <c:pt idx="120">
                  <c:v>-131.5698488844431</c:v>
                </c:pt>
                <c:pt idx="121">
                  <c:v>-131.45186493700862</c:v>
                </c:pt>
                <c:pt idx="122">
                  <c:v>-131.33430639543226</c:v>
                </c:pt>
                <c:pt idx="123">
                  <c:v>-131.21446686519184</c:v>
                </c:pt>
                <c:pt idx="124">
                  <c:v>-131.09520226222213</c:v>
                </c:pt>
                <c:pt idx="125">
                  <c:v>-130.97383166650141</c:v>
                </c:pt>
                <c:pt idx="126">
                  <c:v>-130.85318307242898</c:v>
                </c:pt>
                <c:pt idx="127">
                  <c:v>-130.73053910224303</c:v>
                </c:pt>
                <c:pt idx="128">
                  <c:v>-130.60876198892302</c:v>
                </c:pt>
                <c:pt idx="129">
                  <c:v>-130.48510535640969</c:v>
                </c:pt>
                <c:pt idx="130">
                  <c:v>-130.36245796472383</c:v>
                </c:pt>
                <c:pt idx="131">
                  <c:v>-130.23805190777151</c:v>
                </c:pt>
                <c:pt idx="132">
                  <c:v>-130.17627707458385</c:v>
                </c:pt>
                <c:pt idx="133">
                  <c:v>-130.11479474158622</c:v>
                </c:pt>
                <c:pt idx="134">
                  <c:v>-130.05215908221115</c:v>
                </c:pt>
                <c:pt idx="135">
                  <c:v>-129.98984033002924</c:v>
                </c:pt>
                <c:pt idx="136">
                  <c:v>-129.92784335637458</c:v>
                </c:pt>
                <c:pt idx="137">
                  <c:v>-129.86617280260708</c:v>
                </c:pt>
                <c:pt idx="138">
                  <c:v>-129.80344431597319</c:v>
                </c:pt>
                <c:pt idx="139">
                  <c:v>-129.74106635393031</c:v>
                </c:pt>
                <c:pt idx="140">
                  <c:v>-129.6790431822121</c:v>
                </c:pt>
                <c:pt idx="141">
                  <c:v>-129.61737884613433</c:v>
                </c:pt>
                <c:pt idx="142">
                  <c:v>-129.55462793771349</c:v>
                </c:pt>
                <c:pt idx="143">
                  <c:v>-129.49226098798928</c:v>
                </c:pt>
                <c:pt idx="144">
                  <c:v>-129.43028166586737</c:v>
                </c:pt>
                <c:pt idx="145">
                  <c:v>-129.3686934289326</c:v>
                </c:pt>
                <c:pt idx="146">
                  <c:v>-129.30608672564591</c:v>
                </c:pt>
                <c:pt idx="147">
                  <c:v>-129.24389611196159</c:v>
                </c:pt>
                <c:pt idx="148">
                  <c:v>-129.18212465044172</c:v>
                </c:pt>
                <c:pt idx="149">
                  <c:v>-129.12077520229749</c:v>
                </c:pt>
                <c:pt idx="150">
                  <c:v>-129.05844681251745</c:v>
                </c:pt>
                <c:pt idx="151">
                  <c:v>-128.99656562079025</c:v>
                </c:pt>
                <c:pt idx="152">
                  <c:v>-128.9351340821365</c:v>
                </c:pt>
                <c:pt idx="153">
                  <c:v>-128.87415446059813</c:v>
                </c:pt>
                <c:pt idx="154">
                  <c:v>-128.81220951854067</c:v>
                </c:pt>
                <c:pt idx="155">
                  <c:v>-128.7507422369178</c:v>
                </c:pt>
                <c:pt idx="156">
                  <c:v>-128.68975446610096</c:v>
                </c:pt>
                <c:pt idx="157">
                  <c:v>-128.62924787591049</c:v>
                </c:pt>
                <c:pt idx="158">
                  <c:v>-128.56782166313249</c:v>
                </c:pt>
                <c:pt idx="159">
                  <c:v>-128.50690246060466</c:v>
                </c:pt>
                <c:pt idx="160">
                  <c:v>-128.44649151421166</c:v>
                </c:pt>
                <c:pt idx="161">
                  <c:v>-128.38658990013451</c:v>
                </c:pt>
                <c:pt idx="162">
                  <c:v>-128.32584318924191</c:v>
                </c:pt>
                <c:pt idx="163">
                  <c:v>-128.26563118980135</c:v>
                </c:pt>
                <c:pt idx="164">
                  <c:v>-128.20595454462148</c:v>
                </c:pt>
                <c:pt idx="165">
                  <c:v>-128.14681373831161</c:v>
                </c:pt>
                <c:pt idx="166">
                  <c:v>-128.08682517306443</c:v>
                </c:pt>
                <c:pt idx="167">
                  <c:v>-128.02739872189582</c:v>
                </c:pt>
                <c:pt idx="168">
                  <c:v>-127.9685344304477</c:v>
                </c:pt>
                <c:pt idx="169">
                  <c:v>-127.9102321974558</c:v>
                </c:pt>
                <c:pt idx="170">
                  <c:v>-127.85125887109589</c:v>
                </c:pt>
                <c:pt idx="171">
                  <c:v>-127.79287132873986</c:v>
                </c:pt>
                <c:pt idx="172">
                  <c:v>-127.73506902711161</c:v>
                </c:pt>
                <c:pt idx="173">
                  <c:v>-127.67785128879092</c:v>
                </c:pt>
                <c:pt idx="174">
                  <c:v>-127.6197970966796</c:v>
                </c:pt>
                <c:pt idx="175">
                  <c:v>-127.56235546414476</c:v>
                </c:pt>
                <c:pt idx="176">
                  <c:v>-127.50552526035699</c:v>
                </c:pt>
                <c:pt idx="177">
                  <c:v>-127.44930523135618</c:v>
                </c:pt>
                <c:pt idx="178">
                  <c:v>-127.3923341736261</c:v>
                </c:pt>
                <c:pt idx="179">
                  <c:v>-127.33600063144814</c:v>
                </c:pt>
                <c:pt idx="180">
                  <c:v>-127.28030289089214</c:v>
                </c:pt>
                <c:pt idx="181">
                  <c:v>-127.22523912657559</c:v>
                </c:pt>
                <c:pt idx="182">
                  <c:v>-127.16972520589893</c:v>
                </c:pt>
                <c:pt idx="183">
                  <c:v>-127.11486670722856</c:v>
                </c:pt>
                <c:pt idx="184">
                  <c:v>-127.06066137015735</c:v>
                </c:pt>
                <c:pt idx="185">
                  <c:v>-127.00710683652296</c:v>
                </c:pt>
                <c:pt idx="186">
                  <c:v>-126.95275744834105</c:v>
                </c:pt>
                <c:pt idx="187">
                  <c:v>-126.89908974259677</c:v>
                </c:pt>
                <c:pt idx="188">
                  <c:v>-126.84610087297158</c:v>
                </c:pt>
                <c:pt idx="189">
                  <c:v>-126.79378790638324</c:v>
                </c:pt>
                <c:pt idx="190">
                  <c:v>-126.74116885347382</c:v>
                </c:pt>
                <c:pt idx="191">
                  <c:v>-126.68924534360934</c:v>
                </c:pt>
                <c:pt idx="192">
                  <c:v>-126.63801402623477</c:v>
                </c:pt>
                <c:pt idx="193">
                  <c:v>-126.58747147790386</c:v>
                </c:pt>
                <c:pt idx="194">
                  <c:v>-126.53631627388104</c:v>
                </c:pt>
                <c:pt idx="195">
                  <c:v>-126.48587890687941</c:v>
                </c:pt>
                <c:pt idx="196">
                  <c:v>-126.4361554678738</c:v>
                </c:pt>
                <c:pt idx="197">
                  <c:v>-126.38714198672943</c:v>
                </c:pt>
                <c:pt idx="198">
                  <c:v>-126.33778447486364</c:v>
                </c:pt>
                <c:pt idx="199">
                  <c:v>-126.28915979548327</c:v>
                </c:pt>
                <c:pt idx="200">
                  <c:v>-126.24126354243445</c:v>
                </c:pt>
                <c:pt idx="201">
                  <c:v>-126.19409126134431</c:v>
                </c:pt>
                <c:pt idx="202">
                  <c:v>-126.14665087689259</c:v>
                </c:pt>
                <c:pt idx="203">
                  <c:v>-126.09995629371645</c:v>
                </c:pt>
                <c:pt idx="204">
                  <c:v>-126.05400263530932</c:v>
                </c:pt>
                <c:pt idx="205">
                  <c:v>-126.00878498969493</c:v>
                </c:pt>
                <c:pt idx="206">
                  <c:v>-125.96321870456377</c:v>
                </c:pt>
                <c:pt idx="207">
                  <c:v>-125.91841436697889</c:v>
                </c:pt>
                <c:pt idx="208">
                  <c:v>-125.87436660392797</c:v>
                </c:pt>
                <c:pt idx="209">
                  <c:v>-125.83107001913916</c:v>
                </c:pt>
                <c:pt idx="210">
                  <c:v>-125.78736780699205</c:v>
                </c:pt>
                <c:pt idx="211">
                  <c:v>-125.74444674740084</c:v>
                </c:pt>
                <c:pt idx="212">
                  <c:v>-125.70230093596501</c:v>
                </c:pt>
                <c:pt idx="213">
                  <c:v>-125.660924457147</c:v>
                </c:pt>
                <c:pt idx="214">
                  <c:v>-125.61950954453067</c:v>
                </c:pt>
                <c:pt idx="215">
                  <c:v>-125.57888248959337</c:v>
                </c:pt>
                <c:pt idx="216">
                  <c:v>-125.53903700065992</c:v>
                </c:pt>
                <c:pt idx="217">
                  <c:v>-125.49996678723775</c:v>
                </c:pt>
                <c:pt idx="218">
                  <c:v>-125.46080116259307</c:v>
                </c:pt>
                <c:pt idx="219">
                  <c:v>-125.42243327592399</c:v>
                </c:pt>
                <c:pt idx="220">
                  <c:v>-125.38485641875046</c:v>
                </c:pt>
                <c:pt idx="221">
                  <c:v>-125.34806389571484</c:v>
                </c:pt>
                <c:pt idx="222">
                  <c:v>-125.31125495808122</c:v>
                </c:pt>
                <c:pt idx="223">
                  <c:v>-125.27525161716632</c:v>
                </c:pt>
                <c:pt idx="224">
                  <c:v>-125.24004677851661</c:v>
                </c:pt>
                <c:pt idx="225">
                  <c:v>-125.20563337242272</c:v>
                </c:pt>
                <c:pt idx="226">
                  <c:v>-125.17117620724107</c:v>
                </c:pt>
                <c:pt idx="227">
                  <c:v>-125.13753546576102</c:v>
                </c:pt>
                <c:pt idx="228">
                  <c:v>-125.10470363154214</c:v>
                </c:pt>
                <c:pt idx="229">
                  <c:v>-125.07267322455073</c:v>
                </c:pt>
                <c:pt idx="230">
                  <c:v>-125.00952605098894</c:v>
                </c:pt>
                <c:pt idx="231">
                  <c:v>-124.97918222757338</c:v>
                </c:pt>
                <c:pt idx="232">
                  <c:v>-124.94964775014043</c:v>
                </c:pt>
                <c:pt idx="233">
                  <c:v>-124.92024239616623</c:v>
                </c:pt>
                <c:pt idx="234">
                  <c:v>-124.89166875936684</c:v>
                </c:pt>
                <c:pt idx="235">
                  <c:v>-124.86391857223144</c:v>
                </c:pt>
                <c:pt idx="236">
                  <c:v>-124.83698362617102</c:v>
                </c:pt>
                <c:pt idx="237">
                  <c:v>-124.81033394000571</c:v>
                </c:pt>
                <c:pt idx="238">
                  <c:v>-124.78451584199733</c:v>
                </c:pt>
                <c:pt idx="239">
                  <c:v>-124.75952081124217</c:v>
                </c:pt>
                <c:pt idx="240">
                  <c:v>-124.73534039560984</c:v>
                </c:pt>
                <c:pt idx="241">
                  <c:v>-124.71137907408817</c:v>
                </c:pt>
                <c:pt idx="242">
                  <c:v>-124.68825677563859</c:v>
                </c:pt>
                <c:pt idx="243">
                  <c:v>-124.66596461435105</c:v>
                </c:pt>
                <c:pt idx="244">
                  <c:v>-124.64449378398676</c:v>
                </c:pt>
                <c:pt idx="245">
                  <c:v>-124.62338689592967</c:v>
                </c:pt>
                <c:pt idx="246">
                  <c:v>-124.6031197963147</c:v>
                </c:pt>
                <c:pt idx="247">
                  <c:v>-124.58368334224978</c:v>
                </c:pt>
                <c:pt idx="248">
                  <c:v>-124.56506848003649</c:v>
                </c:pt>
                <c:pt idx="249">
                  <c:v>-124.54684212145857</c:v>
                </c:pt>
                <c:pt idx="250">
                  <c:v>-124.5294589761708</c:v>
                </c:pt>
                <c:pt idx="251">
                  <c:v>-124.51290960462816</c:v>
                </c:pt>
                <c:pt idx="252">
                  <c:v>-124.49718466639453</c:v>
                </c:pt>
                <c:pt idx="253">
                  <c:v>-124.48196811217555</c:v>
                </c:pt>
                <c:pt idx="254">
                  <c:v>-124.46759188696502</c:v>
                </c:pt>
                <c:pt idx="255">
                  <c:v>-124.45404636435676</c:v>
                </c:pt>
                <c:pt idx="256">
                  <c:v>-124.44132202528925</c:v>
                </c:pt>
                <c:pt idx="257">
                  <c:v>-124.42911154586605</c:v>
                </c:pt>
                <c:pt idx="258">
                  <c:v>-124.4177453980666</c:v>
                </c:pt>
                <c:pt idx="259">
                  <c:v>-124.40721365368283</c:v>
                </c:pt>
                <c:pt idx="260">
                  <c:v>-124.39750650169249</c:v>
                </c:pt>
                <c:pt idx="261">
                  <c:v>-124.38842154636735</c:v>
                </c:pt>
                <c:pt idx="262">
                  <c:v>-124.38017870608168</c:v>
                </c:pt>
                <c:pt idx="263">
                  <c:v>-124.37276786177564</c:v>
                </c:pt>
                <c:pt idx="264">
                  <c:v>-124.3661790196152</c:v>
                </c:pt>
                <c:pt idx="265">
                  <c:v>-124.36028308816</c:v>
                </c:pt>
                <c:pt idx="266">
                  <c:v>-124.35522537676447</c:v>
                </c:pt>
                <c:pt idx="267">
                  <c:v>-124.35099561018423</c:v>
                </c:pt>
                <c:pt idx="268">
                  <c:v>-124.34758364571903</c:v>
                </c:pt>
                <c:pt idx="269">
                  <c:v>-124.3449264781552</c:v>
                </c:pt>
                <c:pt idx="270">
                  <c:v>-124.34310598403616</c:v>
                </c:pt>
                <c:pt idx="271">
                  <c:v>-124.34211169228641</c:v>
                </c:pt>
                <c:pt idx="272">
                  <c:v>-124.34193327225989</c:v>
                </c:pt>
                <c:pt idx="273">
                  <c:v>-124.34258496905865</c:v>
                </c:pt>
                <c:pt idx="274">
                  <c:v>-124.34407001772682</c:v>
                </c:pt>
                <c:pt idx="275">
                  <c:v>-124.34637778685261</c:v>
                </c:pt>
                <c:pt idx="276">
                  <c:v>-124.34949779262399</c:v>
                </c:pt>
                <c:pt idx="277">
                  <c:v>-124.35350944105727</c:v>
                </c:pt>
                <c:pt idx="278">
                  <c:v>-124.35834575246005</c:v>
                </c:pt>
                <c:pt idx="279">
                  <c:v>-124.36399604181599</c:v>
                </c:pt>
                <c:pt idx="280">
                  <c:v>-124.37044977675846</c:v>
                </c:pt>
                <c:pt idx="281">
                  <c:v>-124.37790381289096</c:v>
                </c:pt>
                <c:pt idx="282">
                  <c:v>-124.38618337564905</c:v>
                </c:pt>
                <c:pt idx="283">
                  <c:v>-124.39527754332988</c:v>
                </c:pt>
                <c:pt idx="284">
                  <c:v>-124.40517555533474</c:v>
                </c:pt>
                <c:pt idx="285">
                  <c:v>-124.41608621456741</c:v>
                </c:pt>
                <c:pt idx="286">
                  <c:v>-124.42781073275185</c:v>
                </c:pt>
                <c:pt idx="287">
                  <c:v>-124.4403382012987</c:v>
                </c:pt>
                <c:pt idx="288">
                  <c:v>-124.45365787618972</c:v>
                </c:pt>
                <c:pt idx="289">
                  <c:v>-124.46813413923977</c:v>
                </c:pt>
                <c:pt idx="290">
                  <c:v>-124.48342172953086</c:v>
                </c:pt>
                <c:pt idx="291">
                  <c:v>-124.49950957167306</c:v>
                </c:pt>
                <c:pt idx="292">
                  <c:v>-124.51638676181126</c:v>
                </c:pt>
                <c:pt idx="293">
                  <c:v>-124.53445969712125</c:v>
                </c:pt>
                <c:pt idx="294">
                  <c:v>-124.55333633172661</c:v>
                </c:pt>
                <c:pt idx="295">
                  <c:v>-124.57300552830422</c:v>
                </c:pt>
                <c:pt idx="296">
                  <c:v>-124.59345632581402</c:v>
                </c:pt>
                <c:pt idx="297">
                  <c:v>-124.61516609377895</c:v>
                </c:pt>
                <c:pt idx="298">
                  <c:v>-124.63767053926034</c:v>
                </c:pt>
                <c:pt idx="299">
                  <c:v>-124.6609584947627</c:v>
                </c:pt>
                <c:pt idx="300">
                  <c:v>-124.68501897304186</c:v>
                </c:pt>
                <c:pt idx="301">
                  <c:v>-124.71039796242954</c:v>
                </c:pt>
                <c:pt idx="302">
                  <c:v>-124.73656133245409</c:v>
                </c:pt>
                <c:pt idx="303">
                  <c:v>-124.76349791549637</c:v>
                </c:pt>
                <c:pt idx="304">
                  <c:v>-124.79119672738901</c:v>
                </c:pt>
                <c:pt idx="305">
                  <c:v>-124.8203833375882</c:v>
                </c:pt>
                <c:pt idx="306">
                  <c:v>-124.85034878710141</c:v>
                </c:pt>
                <c:pt idx="307">
                  <c:v>-124.88108180844405</c:v>
                </c:pt>
                <c:pt idx="308">
                  <c:v>-124.91257132288662</c:v>
                </c:pt>
                <c:pt idx="309">
                  <c:v>-124.94549366454818</c:v>
                </c:pt>
                <c:pt idx="310">
                  <c:v>-124.97918196035603</c:v>
                </c:pt>
                <c:pt idx="311">
                  <c:v>-125.01362500331099</c:v>
                </c:pt>
                <c:pt idx="312">
                  <c:v>-125.04881177681564</c:v>
                </c:pt>
                <c:pt idx="313">
                  <c:v>-125.08561660640373</c:v>
                </c:pt>
                <c:pt idx="314">
                  <c:v>-125.12317908254803</c:v>
                </c:pt>
                <c:pt idx="315">
                  <c:v>-125.1614879609603</c:v>
                </c:pt>
                <c:pt idx="316">
                  <c:v>-125.20053219150824</c:v>
                </c:pt>
                <c:pt idx="317">
                  <c:v>-125.24125653096273</c:v>
                </c:pt>
                <c:pt idx="318">
                  <c:v>-125.28272882265659</c:v>
                </c:pt>
                <c:pt idx="319">
                  <c:v>-125.32493781638667</c:v>
                </c:pt>
                <c:pt idx="320">
                  <c:v>-125.36787245907522</c:v>
                </c:pt>
                <c:pt idx="321">
                  <c:v>-125.41254541273632</c:v>
                </c:pt>
                <c:pt idx="322">
                  <c:v>-125.45795535883505</c:v>
                </c:pt>
                <c:pt idx="323">
                  <c:v>-125.50409107078431</c:v>
                </c:pt>
                <c:pt idx="324">
                  <c:v>-125.55094152132713</c:v>
                </c:pt>
                <c:pt idx="325">
                  <c:v>-125.59958475634399</c:v>
                </c:pt>
                <c:pt idx="326">
                  <c:v>-125.64895287767521</c:v>
                </c:pt>
                <c:pt idx="327">
                  <c:v>-125.69903470991613</c:v>
                </c:pt>
                <c:pt idx="328">
                  <c:v>-125.74981927846071</c:v>
                </c:pt>
                <c:pt idx="329">
                  <c:v>-125.80253611235824</c:v>
                </c:pt>
                <c:pt idx="330">
                  <c:v>-125.85596705988092</c:v>
                </c:pt>
                <c:pt idx="331">
                  <c:v>-125.91010096706907</c:v>
                </c:pt>
                <c:pt idx="332">
                  <c:v>-125.9649268828647</c:v>
                </c:pt>
                <c:pt idx="333">
                  <c:v>-126.02164619181612</c:v>
                </c:pt>
                <c:pt idx="334">
                  <c:v>-126.07906539078189</c:v>
                </c:pt>
                <c:pt idx="335">
                  <c:v>-126.13717342895805</c:v>
                </c:pt>
                <c:pt idx="336">
                  <c:v>-126.19595945848862</c:v>
                </c:pt>
                <c:pt idx="337">
                  <c:v>-126.2568783103001</c:v>
                </c:pt>
                <c:pt idx="338">
                  <c:v>-126.31848637874235</c:v>
                </c:pt>
                <c:pt idx="339">
                  <c:v>-126.38077263324246</c:v>
                </c:pt>
                <c:pt idx="340">
                  <c:v>-126.44372624817571</c:v>
                </c:pt>
                <c:pt idx="341">
                  <c:v>-126.50886633419221</c:v>
                </c:pt>
                <c:pt idx="342">
                  <c:v>-126.57468376193373</c:v>
                </c:pt>
                <c:pt idx="343">
                  <c:v>-126.64116754922701</c:v>
                </c:pt>
                <c:pt idx="344">
                  <c:v>-126.70830692010512</c:v>
                </c:pt>
                <c:pt idx="345">
                  <c:v>-126.77757657222533</c:v>
                </c:pt>
                <c:pt idx="346">
                  <c:v>-126.84750860376398</c:v>
                </c:pt>
                <c:pt idx="347">
                  <c:v>-126.91809215633066</c:v>
                </c:pt>
                <c:pt idx="348">
                  <c:v>-126.98931657705134</c:v>
                </c:pt>
                <c:pt idx="349">
                  <c:v>-127.06293175965575</c:v>
                </c:pt>
                <c:pt idx="350">
                  <c:v>-127.13719746458048</c:v>
                </c:pt>
                <c:pt idx="351">
                  <c:v>-127.21210288149656</c:v>
                </c:pt>
                <c:pt idx="352">
                  <c:v>-127.28763740674889</c:v>
                </c:pt>
                <c:pt idx="353">
                  <c:v>-127.365611267519</c:v>
                </c:pt>
                <c:pt idx="354">
                  <c:v>-127.44422270070994</c:v>
                </c:pt>
                <c:pt idx="355">
                  <c:v>-127.52346097023381</c:v>
                </c:pt>
                <c:pt idx="356">
                  <c:v>-127.60331554713211</c:v>
                </c:pt>
                <c:pt idx="357">
                  <c:v>-127.68553700565325</c:v>
                </c:pt>
                <c:pt idx="358">
                  <c:v>-127.76838035383757</c:v>
                </c:pt>
                <c:pt idx="359">
                  <c:v>-127.85183499876919</c:v>
                </c:pt>
                <c:pt idx="360">
                  <c:v>-127.93589055329895</c:v>
                </c:pt>
                <c:pt idx="361">
                  <c:v>-128.02259098542228</c:v>
                </c:pt>
                <c:pt idx="362">
                  <c:v>-128.10990032755896</c:v>
                </c:pt>
                <c:pt idx="363">
                  <c:v>-128.19780806118277</c:v>
                </c:pt>
                <c:pt idx="364">
                  <c:v>-128.28630387390481</c:v>
                </c:pt>
                <c:pt idx="365">
                  <c:v>-128.37736356033767</c:v>
                </c:pt>
                <c:pt idx="366">
                  <c:v>-128.46901660063855</c:v>
                </c:pt>
                <c:pt idx="367">
                  <c:v>-128.56125261665358</c:v>
                </c:pt>
                <c:pt idx="368">
                  <c:v>-128.65406143498521</c:v>
                </c:pt>
                <c:pt idx="369">
                  <c:v>-128.74972359559533</c:v>
                </c:pt>
                <c:pt idx="370">
                  <c:v>-128.8459659414961</c:v>
                </c:pt>
                <c:pt idx="371">
                  <c:v>-128.94277817192682</c:v>
                </c:pt>
                <c:pt idx="372">
                  <c:v>-129.0401501911293</c:v>
                </c:pt>
                <c:pt idx="373">
                  <c:v>-129.14028615505339</c:v>
                </c:pt>
                <c:pt idx="374">
                  <c:v>-129.240986719825</c:v>
                </c:pt>
                <c:pt idx="375">
                  <c:v>-129.34224172511801</c:v>
                </c:pt>
                <c:pt idx="376">
                  <c:v>-129.44404121417321</c:v>
                </c:pt>
                <c:pt idx="377">
                  <c:v>-129.5489039529819</c:v>
                </c:pt>
                <c:pt idx="378">
                  <c:v>-129.65431781178489</c:v>
                </c:pt>
                <c:pt idx="379">
                  <c:v>-129.76027271311835</c:v>
                </c:pt>
                <c:pt idx="380">
                  <c:v>-129.86675878317703</c:v>
                </c:pt>
                <c:pt idx="381">
                  <c:v>-129.97607470252609</c:v>
                </c:pt>
                <c:pt idx="382">
                  <c:v>-130.08592469765586</c:v>
                </c:pt>
                <c:pt idx="383">
                  <c:v>-130.1962988705414</c:v>
                </c:pt>
                <c:pt idx="384">
                  <c:v>-130.30718752431079</c:v>
                </c:pt>
                <c:pt idx="385">
                  <c:v>-130.42134817566128</c:v>
                </c:pt>
                <c:pt idx="386">
                  <c:v>-130.53602913245018</c:v>
                </c:pt>
                <c:pt idx="387">
                  <c:v>-130.65122058492983</c:v>
                </c:pt>
                <c:pt idx="388">
                  <c:v>-130.76691292446748</c:v>
                </c:pt>
                <c:pt idx="389">
                  <c:v>-130.88577171813247</c:v>
                </c:pt>
                <c:pt idx="390">
                  <c:v>-131.0051349606685</c:v>
                </c:pt>
                <c:pt idx="391">
                  <c:v>-131.12499298777129</c:v>
                </c:pt>
                <c:pt idx="392">
                  <c:v>-131.24533633468047</c:v>
                </c:pt>
                <c:pt idx="393">
                  <c:v>-131.36887456443424</c:v>
                </c:pt>
                <c:pt idx="394">
                  <c:v>-131.49290076410372</c:v>
                </c:pt>
                <c:pt idx="395">
                  <c:v>-131.6174054326423</c:v>
                </c:pt>
                <c:pt idx="396">
                  <c:v>-131.74237926650451</c:v>
                </c:pt>
                <c:pt idx="397">
                  <c:v>-131.87086401541364</c:v>
                </c:pt>
                <c:pt idx="398">
                  <c:v>-131.999821842345</c:v>
                </c:pt>
                <c:pt idx="399">
                  <c:v>-132.12924336277948</c:v>
                </c:pt>
                <c:pt idx="400">
                  <c:v>-132.25911938898417</c:v>
                </c:pt>
                <c:pt idx="401">
                  <c:v>-132.39238779351606</c:v>
                </c:pt>
                <c:pt idx="402">
                  <c:v>-132.52611263269071</c:v>
                </c:pt>
                <c:pt idx="403">
                  <c:v>-132.6602846897317</c:v>
                </c:pt>
                <c:pt idx="404">
                  <c:v>-132.79489494255421</c:v>
                </c:pt>
                <c:pt idx="405">
                  <c:v>-132.93306963819884</c:v>
                </c:pt>
                <c:pt idx="406">
                  <c:v>-133.07168457309126</c:v>
                </c:pt>
                <c:pt idx="407">
                  <c:v>-133.21073068512106</c:v>
                </c:pt>
                <c:pt idx="408">
                  <c:v>-133.35019910519358</c:v>
                </c:pt>
                <c:pt idx="409">
                  <c:v>-133.49340585367847</c:v>
                </c:pt>
                <c:pt idx="410">
                  <c:v>-133.63703698145537</c:v>
                </c:pt>
                <c:pt idx="411">
                  <c:v>-133.78108357071068</c:v>
                </c:pt>
                <c:pt idx="412">
                  <c:v>-133.9255368953354</c:v>
                </c:pt>
                <c:pt idx="413">
                  <c:v>-134.07375106252525</c:v>
                </c:pt>
                <c:pt idx="414">
                  <c:v>-134.22237315347317</c:v>
                </c:pt>
                <c:pt idx="415">
                  <c:v>-134.37139441359105</c:v>
                </c:pt>
                <c:pt idx="416">
                  <c:v>-134.52080627822752</c:v>
                </c:pt>
                <c:pt idx="417">
                  <c:v>-134.67415309535286</c:v>
                </c:pt>
                <c:pt idx="418">
                  <c:v>-134.82789166713451</c:v>
                </c:pt>
                <c:pt idx="419">
                  <c:v>-134.98201339382641</c:v>
                </c:pt>
                <c:pt idx="420">
                  <c:v>-135.13650986418997</c:v>
                </c:pt>
                <c:pt idx="421">
                  <c:v>-135.29480448589621</c:v>
                </c:pt>
                <c:pt idx="422">
                  <c:v>-135.45347343570816</c:v>
                </c:pt>
                <c:pt idx="423">
                  <c:v>-135.61250831190418</c:v>
                </c:pt>
                <c:pt idx="424">
                  <c:v>-135.77190089868355</c:v>
                </c:pt>
                <c:pt idx="425">
                  <c:v>-135.93557816820677</c:v>
                </c:pt>
                <c:pt idx="426">
                  <c:v>-136.09961408483943</c:v>
                </c:pt>
                <c:pt idx="427">
                  <c:v>-136.26400038856983</c:v>
                </c:pt>
                <c:pt idx="428">
                  <c:v>-136.4287290044997</c:v>
                </c:pt>
                <c:pt idx="429">
                  <c:v>-136.59760140813287</c:v>
                </c:pt>
                <c:pt idx="430">
                  <c:v>-136.76681556528433</c:v>
                </c:pt>
                <c:pt idx="431">
                  <c:v>-136.93636340128037</c:v>
                </c:pt>
                <c:pt idx="432">
                  <c:v>-137.10623702460165</c:v>
                </c:pt>
                <c:pt idx="433">
                  <c:v>-137.28026763396983</c:v>
                </c:pt>
                <c:pt idx="434">
                  <c:v>-137.45462275762077</c:v>
                </c:pt>
                <c:pt idx="435">
                  <c:v>-137.6292945230133</c:v>
                </c:pt>
                <c:pt idx="436">
                  <c:v>-137.80427523843403</c:v>
                </c:pt>
                <c:pt idx="437">
                  <c:v>-137.98374589332116</c:v>
                </c:pt>
                <c:pt idx="438">
                  <c:v>-138.16352466889887</c:v>
                </c:pt>
                <c:pt idx="439">
                  <c:v>-138.34360386923098</c:v>
                </c:pt>
                <c:pt idx="440">
                  <c:v>-138.5239759778232</c:v>
                </c:pt>
                <c:pt idx="441">
                  <c:v>-138.70884964753373</c:v>
                </c:pt>
                <c:pt idx="442">
                  <c:v>-138.89401467544857</c:v>
                </c:pt>
                <c:pt idx="443">
                  <c:v>-139.07946356145456</c:v>
                </c:pt>
                <c:pt idx="444">
                  <c:v>-139.26518898308552</c:v>
                </c:pt>
                <c:pt idx="445">
                  <c:v>-139.45542514414493</c:v>
                </c:pt>
                <c:pt idx="446">
                  <c:v>-139.64593564251439</c:v>
                </c:pt>
                <c:pt idx="447">
                  <c:v>-139.83671319163457</c:v>
                </c:pt>
                <c:pt idx="448">
                  <c:v>-140.0277506804274</c:v>
                </c:pt>
                <c:pt idx="449">
                  <c:v>-140.22363388074368</c:v>
                </c:pt>
                <c:pt idx="450">
                  <c:v>-140.41977509708281</c:v>
                </c:pt>
                <c:pt idx="451">
                  <c:v>-140.61616723762063</c:v>
                </c:pt>
                <c:pt idx="452">
                  <c:v>-140.81280338466067</c:v>
                </c:pt>
                <c:pt idx="453">
                  <c:v>-141.01412766527122</c:v>
                </c:pt>
                <c:pt idx="454">
                  <c:v>-141.21569301059051</c:v>
                </c:pt>
                <c:pt idx="455">
                  <c:v>-141.41749256000745</c:v>
                </c:pt>
                <c:pt idx="456">
                  <c:v>-141.61951962471687</c:v>
                </c:pt>
                <c:pt idx="457">
                  <c:v>-141.82656998295974</c:v>
                </c:pt>
                <c:pt idx="458">
                  <c:v>-142.03384512978511</c:v>
                </c:pt>
                <c:pt idx="459">
                  <c:v>-142.24133842030429</c:v>
                </c:pt>
                <c:pt idx="460">
                  <c:v>-142.44904337985957</c:v>
                </c:pt>
                <c:pt idx="461">
                  <c:v>-142.66177574936836</c:v>
                </c:pt>
                <c:pt idx="462">
                  <c:v>-142.87471652872014</c:v>
                </c:pt>
                <c:pt idx="463">
                  <c:v>-143.0878593080306</c:v>
                </c:pt>
                <c:pt idx="464">
                  <c:v>-143.30119784566955</c:v>
                </c:pt>
                <c:pt idx="465">
                  <c:v>-143.51973285832437</c:v>
                </c:pt>
                <c:pt idx="466">
                  <c:v>-143.73846020594979</c:v>
                </c:pt>
                <c:pt idx="467">
                  <c:v>-143.95737371750985</c:v>
                </c:pt>
                <c:pt idx="468">
                  <c:v>-144.17646738837109</c:v>
                </c:pt>
                <c:pt idx="469">
                  <c:v>-144.40075877684967</c:v>
                </c:pt>
                <c:pt idx="470">
                  <c:v>-144.6252264760316</c:v>
                </c:pt>
                <c:pt idx="471">
                  <c:v>-144.84986457227876</c:v>
                </c:pt>
                <c:pt idx="472">
                  <c:v>-145.07466731610344</c:v>
                </c:pt>
                <c:pt idx="473">
                  <c:v>-145.30500323951074</c:v>
                </c:pt>
                <c:pt idx="474">
                  <c:v>-145.53550007867057</c:v>
                </c:pt>
                <c:pt idx="475">
                  <c:v>-145.76615216993935</c:v>
                </c:pt>
                <c:pt idx="476">
                  <c:v>-145.99695401212608</c:v>
                </c:pt>
                <c:pt idx="477">
                  <c:v>-146.23328844502254</c:v>
                </c:pt>
                <c:pt idx="478">
                  <c:v>-146.46976854281135</c:v>
                </c:pt>
                <c:pt idx="479">
                  <c:v>-146.70638891160144</c:v>
                </c:pt>
                <c:pt idx="480">
                  <c:v>-146.94314431780151</c:v>
                </c:pt>
                <c:pt idx="481">
                  <c:v>-147.18543025638425</c:v>
                </c:pt>
                <c:pt idx="482">
                  <c:v>-147.42784687899282</c:v>
                </c:pt>
                <c:pt idx="483">
                  <c:v>-147.67038907948509</c:v>
                </c:pt>
                <c:pt idx="484">
                  <c:v>-147.913051909427</c:v>
                </c:pt>
                <c:pt idx="485">
                  <c:v>-148.16141107382586</c:v>
                </c:pt>
                <c:pt idx="486">
                  <c:v>-148.40988648720312</c:v>
                </c:pt>
                <c:pt idx="487">
                  <c:v>-148.65847333767812</c:v>
                </c:pt>
                <c:pt idx="488">
                  <c:v>-148.9071669684752</c:v>
                </c:pt>
                <c:pt idx="489">
                  <c:v>-149.16189182955938</c:v>
                </c:pt>
                <c:pt idx="490">
                  <c:v>-149.41671922131744</c:v>
                </c:pt>
                <c:pt idx="491">
                  <c:v>-149.67164462478945</c:v>
                </c:pt>
                <c:pt idx="492">
                  <c:v>-149.92666367385411</c:v>
                </c:pt>
                <c:pt idx="493">
                  <c:v>-150.18770988281892</c:v>
                </c:pt>
                <c:pt idx="494">
                  <c:v>-150.44884536923604</c:v>
                </c:pt>
                <c:pt idx="495">
                  <c:v>-150.71006592540795</c:v>
                </c:pt>
                <c:pt idx="496">
                  <c:v>-150.97136749365973</c:v>
                </c:pt>
                <c:pt idx="497">
                  <c:v>-151.23886117525885</c:v>
                </c:pt>
                <c:pt idx="498">
                  <c:v>-151.50643156801911</c:v>
                </c:pt>
                <c:pt idx="499">
                  <c:v>-151.7740747842642</c:v>
                </c:pt>
                <c:pt idx="500">
                  <c:v>-152.04178708334319</c:v>
                </c:pt>
                <c:pt idx="501">
                  <c:v>-152.31585627915481</c:v>
                </c:pt>
                <c:pt idx="502">
                  <c:v>-152.58999036682602</c:v>
                </c:pt>
                <c:pt idx="503">
                  <c:v>-152.86418578769201</c:v>
                </c:pt>
                <c:pt idx="504">
                  <c:v>-153.1384391268704</c:v>
                </c:pt>
                <c:pt idx="505">
                  <c:v>-153.41904387647435</c:v>
                </c:pt>
                <c:pt idx="506">
                  <c:v>-153.69970244774839</c:v>
                </c:pt>
                <c:pt idx="507">
                  <c:v>-153.98041162566045</c:v>
                </c:pt>
                <c:pt idx="508">
                  <c:v>-154.26116833506669</c:v>
                </c:pt>
                <c:pt idx="509">
                  <c:v>-154.54844100044028</c:v>
                </c:pt>
                <c:pt idx="510">
                  <c:v>-154.83575733261799</c:v>
                </c:pt>
                <c:pt idx="511">
                  <c:v>-155.12311446681375</c:v>
                </c:pt>
                <c:pt idx="512">
                  <c:v>-155.4105096738881</c:v>
                </c:pt>
                <c:pt idx="513">
                  <c:v>-155.70475595731509</c:v>
                </c:pt>
                <c:pt idx="514">
                  <c:v>-155.9990367702259</c:v>
                </c:pt>
                <c:pt idx="515">
                  <c:v>-156.29334959967252</c:v>
                </c:pt>
                <c:pt idx="516">
                  <c:v>-156.58769206398188</c:v>
                </c:pt>
                <c:pt idx="517">
                  <c:v>-156.88888027814525</c:v>
                </c:pt>
                <c:pt idx="518">
                  <c:v>-157.19009487447266</c:v>
                </c:pt>
                <c:pt idx="519">
                  <c:v>-157.49133370169565</c:v>
                </c:pt>
                <c:pt idx="520">
                  <c:v>-157.79259473460195</c:v>
                </c:pt>
                <c:pt idx="521">
                  <c:v>-158.10086697811104</c:v>
                </c:pt>
                <c:pt idx="522">
                  <c:v>-158.4091585660961</c:v>
                </c:pt>
                <c:pt idx="523">
                  <c:v>-158.71746771172968</c:v>
                </c:pt>
                <c:pt idx="524">
                  <c:v>-159.02579274840664</c:v>
                </c:pt>
                <c:pt idx="525">
                  <c:v>-159.34129503519938</c:v>
                </c:pt>
                <c:pt idx="526">
                  <c:v>-159.65681079678626</c:v>
                </c:pt>
                <c:pt idx="527">
                  <c:v>-159.97233861116669</c:v>
                </c:pt>
                <c:pt idx="528">
                  <c:v>-160.28787717000552</c:v>
                </c:pt>
                <c:pt idx="529">
                  <c:v>-160.61075974022197</c:v>
                </c:pt>
                <c:pt idx="530">
                  <c:v>-160.93365113468093</c:v>
                </c:pt>
                <c:pt idx="531">
                  <c:v>-161.25655029353973</c:v>
                </c:pt>
                <c:pt idx="532">
                  <c:v>-161.57945626322763</c:v>
                </c:pt>
                <c:pt idx="533">
                  <c:v>-161.91004445305242</c:v>
                </c:pt>
                <c:pt idx="534">
                  <c:v>-162.24063808132107</c:v>
                </c:pt>
                <c:pt idx="535">
                  <c:v>-162.57123644285019</c:v>
                </c:pt>
                <c:pt idx="536">
                  <c:v>-162.90183893057062</c:v>
                </c:pt>
                <c:pt idx="537">
                  <c:v>-163.23995109041797</c:v>
                </c:pt>
                <c:pt idx="538">
                  <c:v>-163.57806657682548</c:v>
                </c:pt>
                <c:pt idx="539">
                  <c:v>-163.91618503032726</c:v>
                </c:pt>
                <c:pt idx="540">
                  <c:v>-164.2543061799112</c:v>
                </c:pt>
                <c:pt idx="541">
                  <c:v>-164.60044793654635</c:v>
                </c:pt>
                <c:pt idx="542">
                  <c:v>-164.94659220862488</c:v>
                </c:pt>
                <c:pt idx="543">
                  <c:v>-165.29273896441305</c:v>
                </c:pt>
                <c:pt idx="544">
                  <c:v>-165.63888825008345</c:v>
                </c:pt>
                <c:pt idx="545">
                  <c:v>-165.99305852295547</c:v>
                </c:pt>
                <c:pt idx="546">
                  <c:v>-166.34723177219126</c:v>
                </c:pt>
                <c:pt idx="547">
                  <c:v>-166.70140827088818</c:v>
                </c:pt>
                <c:pt idx="548">
                  <c:v>-167.05558835791774</c:v>
                </c:pt>
                <c:pt idx="549">
                  <c:v>-167.41796171113893</c:v>
                </c:pt>
                <c:pt idx="550">
                  <c:v>-167.78033972901923</c:v>
                </c:pt>
                <c:pt idx="551">
                  <c:v>-168.14272295807461</c:v>
                </c:pt>
                <c:pt idx="552">
                  <c:v>-168.50511199689598</c:v>
                </c:pt>
                <c:pt idx="553">
                  <c:v>-168.87603854205548</c:v>
                </c:pt>
                <c:pt idx="554">
                  <c:v>-169.24697258937934</c:v>
                </c:pt>
                <c:pt idx="555">
                  <c:v>-169.61791491936972</c:v>
                </c:pt>
                <c:pt idx="556">
                  <c:v>-169.9888663492296</c:v>
                </c:pt>
                <c:pt idx="557">
                  <c:v>-170.74820553212425</c:v>
                </c:pt>
                <c:pt idx="558">
                  <c:v>-171.5075940329512</c:v>
                </c:pt>
                <c:pt idx="559">
                  <c:v>-172.28444801997756</c:v>
                </c:pt>
                <c:pt idx="560">
                  <c:v>-173.06137052600334</c:v>
                </c:pt>
                <c:pt idx="561">
                  <c:v>-173.856806154385</c:v>
                </c:pt>
                <c:pt idx="562">
                  <c:v>-174.6523317171899</c:v>
                </c:pt>
                <c:pt idx="563">
                  <c:v>-175.46503056722915</c:v>
                </c:pt>
                <c:pt idx="564">
                  <c:v>-176.27784110193383</c:v>
                </c:pt>
                <c:pt idx="565">
                  <c:v>-177.11126697800435</c:v>
                </c:pt>
                <c:pt idx="566">
                  <c:v>-177.94482629186248</c:v>
                </c:pt>
                <c:pt idx="567">
                  <c:v>-178.79902811602341</c:v>
                </c:pt>
                <c:pt idx="568">
                  <c:v>-179.65338228459834</c:v>
                </c:pt>
                <c:pt idx="569">
                  <c:v>-180.52498443397639</c:v>
                </c:pt>
                <c:pt idx="570">
                  <c:v>-181.39675113522389</c:v>
                </c:pt>
                <c:pt idx="571">
                  <c:v>-182.29261997645239</c:v>
                </c:pt>
                <c:pt idx="572">
                  <c:v>-183.18865978045645</c:v>
                </c:pt>
                <c:pt idx="573">
                  <c:v>-184.10196983388252</c:v>
                </c:pt>
                <c:pt idx="574">
                  <c:v>-185.01544289957835</c:v>
                </c:pt>
                <c:pt idx="575">
                  <c:v>-185.95302132322198</c:v>
                </c:pt>
                <c:pt idx="576">
                  <c:v>-186.89074146884394</c:v>
                </c:pt>
                <c:pt idx="577">
                  <c:v>-190.8616573348184</c:v>
                </c:pt>
                <c:pt idx="578">
                  <c:v>-194.83216336859684</c:v>
                </c:pt>
                <c:pt idx="579">
                  <c:v>-203.51022264315816</c:v>
                </c:pt>
                <c:pt idx="580">
                  <c:v>-212.92916193881925</c:v>
                </c:pt>
                <c:pt idx="581">
                  <c:v>-222.98055202055474</c:v>
                </c:pt>
                <c:pt idx="582">
                  <c:v>-233.46234960479137</c:v>
                </c:pt>
                <c:pt idx="583">
                  <c:v>-244.05146149835028</c:v>
                </c:pt>
                <c:pt idx="584">
                  <c:v>-254.38729211877666</c:v>
                </c:pt>
                <c:pt idx="585">
                  <c:v>-264.12545728768254</c:v>
                </c:pt>
                <c:pt idx="586">
                  <c:v>-273.02761056874488</c:v>
                </c:pt>
                <c:pt idx="587">
                  <c:v>-280.97850187664295</c:v>
                </c:pt>
                <c:pt idx="588">
                  <c:v>-287.95259582434454</c:v>
                </c:pt>
                <c:pt idx="589">
                  <c:v>-294.00299238604964</c:v>
                </c:pt>
                <c:pt idx="590">
                  <c:v>-299.20611817781958</c:v>
                </c:pt>
                <c:pt idx="591">
                  <c:v>-303.65062271365139</c:v>
                </c:pt>
                <c:pt idx="592">
                  <c:v>-307.42061466172566</c:v>
                </c:pt>
                <c:pt idx="593">
                  <c:v>-310.59266294536604</c:v>
                </c:pt>
                <c:pt idx="594">
                  <c:v>-313.23068496730349</c:v>
                </c:pt>
                <c:pt idx="595">
                  <c:v>-315.38981161530307</c:v>
                </c:pt>
                <c:pt idx="596">
                  <c:v>-317.11527186172231</c:v>
                </c:pt>
                <c:pt idx="597">
                  <c:v>-318.4457412355718</c:v>
                </c:pt>
                <c:pt idx="598">
                  <c:v>-319.41341331416174</c:v>
                </c:pt>
                <c:pt idx="599">
                  <c:v>-320.04671253975926</c:v>
                </c:pt>
                <c:pt idx="600">
                  <c:v>-320.37063941739063</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333321344"/>
        <c:axId val="333322880"/>
      </c:scatterChart>
      <c:valAx>
        <c:axId val="332788864"/>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2790784"/>
        <c:crossesAt val="-40"/>
        <c:crossBetween val="midCat"/>
        <c:majorUnit val="10"/>
        <c:minorUnit val="10"/>
      </c:valAx>
      <c:valAx>
        <c:axId val="332790784"/>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332788864"/>
        <c:crossesAt val="0.1"/>
        <c:crossBetween val="midCat"/>
        <c:majorUnit val="20"/>
        <c:minorUnit val="4"/>
      </c:valAx>
      <c:valAx>
        <c:axId val="333321344"/>
        <c:scaling>
          <c:logBase val="10"/>
          <c:orientation val="minMax"/>
        </c:scaling>
        <c:delete val="1"/>
        <c:axPos val="t"/>
        <c:numFmt formatCode="General" sourceLinked="1"/>
        <c:majorTickMark val="out"/>
        <c:minorTickMark val="none"/>
        <c:tickLblPos val="none"/>
        <c:crossAx val="333322880"/>
        <c:crossesAt val="0"/>
        <c:crossBetween val="midCat"/>
      </c:valAx>
      <c:valAx>
        <c:axId val="33332288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33332134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A7-4FA6-AB73-85DC72E7447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171289.73280628308</c:v>
                </c:pt>
              </c:numCache>
            </c:numRef>
          </c:xVal>
          <c:yVal>
            <c:numRef>
              <c:f>'Stability Calculations'!$U$627</c:f>
              <c:numCache>
                <c:formatCode>0.00</c:formatCode>
                <c:ptCount val="1"/>
                <c:pt idx="0">
                  <c:v>-27.602002537943594</c:v>
                </c:pt>
              </c:numCache>
            </c:numRef>
          </c:yVal>
          <c:smooth val="0"/>
          <c:extLst>
            <c:ext xmlns:c16="http://schemas.microsoft.com/office/drawing/2014/chart" uri="{C3380CC4-5D6E-409C-BE32-E72D297353CC}">
              <c16:uniqueId val="{00000001-4BA7-4FA6-AB73-85DC72E7447B}"/>
            </c:ext>
          </c:extLst>
        </c:ser>
        <c:dLbls>
          <c:showLegendKey val="0"/>
          <c:showVal val="0"/>
          <c:showCatName val="0"/>
          <c:showSerName val="0"/>
          <c:showPercent val="0"/>
          <c:showBubbleSize val="0"/>
        </c:dLbls>
        <c:axId val="333063296"/>
        <c:axId val="33306521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95.523332401966883</c:v>
                </c:pt>
                <c:pt idx="1">
                  <c:v>94.939683501164353</c:v>
                </c:pt>
                <c:pt idx="2">
                  <c:v>94.328274659372653</c:v>
                </c:pt>
                <c:pt idx="3">
                  <c:v>93.691661518312671</c:v>
                </c:pt>
                <c:pt idx="4">
                  <c:v>93.032863742906329</c:v>
                </c:pt>
                <c:pt idx="5">
                  <c:v>92.353298979748018</c:v>
                </c:pt>
                <c:pt idx="6">
                  <c:v>91.656320104411989</c:v>
                </c:pt>
                <c:pt idx="7">
                  <c:v>90.943715113419074</c:v>
                </c:pt>
                <c:pt idx="8">
                  <c:v>90.218059438388337</c:v>
                </c:pt>
                <c:pt idx="9">
                  <c:v>89.480655715562165</c:v>
                </c:pt>
                <c:pt idx="10">
                  <c:v>88.733571168709886</c:v>
                </c:pt>
                <c:pt idx="11">
                  <c:v>87.978150918972801</c:v>
                </c:pt>
                <c:pt idx="12">
                  <c:v>87.21525278275837</c:v>
                </c:pt>
                <c:pt idx="13">
                  <c:v>86.446701411097493</c:v>
                </c:pt>
                <c:pt idx="14">
                  <c:v>85.672823307883192</c:v>
                </c:pt>
                <c:pt idx="15">
                  <c:v>84.894716369489473</c:v>
                </c:pt>
                <c:pt idx="16">
                  <c:v>84.113000732489169</c:v>
                </c:pt>
                <c:pt idx="17">
                  <c:v>83.328366431747995</c:v>
                </c:pt>
                <c:pt idx="18">
                  <c:v>82.541073905498465</c:v>
                </c:pt>
                <c:pt idx="19">
                  <c:v>81.751745679586037</c:v>
                </c:pt>
                <c:pt idx="20">
                  <c:v>80.960569703780948</c:v>
                </c:pt>
                <c:pt idx="21">
                  <c:v>80.167996611189864</c:v>
                </c:pt>
                <c:pt idx="22">
                  <c:v>79.374098996909979</c:v>
                </c:pt>
                <c:pt idx="23">
                  <c:v>78.579275301476031</c:v>
                </c:pt>
                <c:pt idx="24">
                  <c:v>77.783491702679669</c:v>
                </c:pt>
                <c:pt idx="25">
                  <c:v>76.987011549149372</c:v>
                </c:pt>
                <c:pt idx="26">
                  <c:v>76.189765823555092</c:v>
                </c:pt>
                <c:pt idx="27">
                  <c:v>75.392105223799689</c:v>
                </c:pt>
                <c:pt idx="28">
                  <c:v>74.594079307333317</c:v>
                </c:pt>
                <c:pt idx="29">
                  <c:v>73.796250835559846</c:v>
                </c:pt>
                <c:pt idx="30">
                  <c:v>72.997325690538418</c:v>
                </c:pt>
                <c:pt idx="31">
                  <c:v>72.198465499528709</c:v>
                </c:pt>
                <c:pt idx="32">
                  <c:v>71.399165862002761</c:v>
                </c:pt>
                <c:pt idx="33">
                  <c:v>70.600026962927402</c:v>
                </c:pt>
                <c:pt idx="34">
                  <c:v>69.800457328966957</c:v>
                </c:pt>
                <c:pt idx="35">
                  <c:v>69.000926660712281</c:v>
                </c:pt>
                <c:pt idx="36">
                  <c:v>68.201327864572946</c:v>
                </c:pt>
                <c:pt idx="37">
                  <c:v>67.401241431636336</c:v>
                </c:pt>
                <c:pt idx="38">
                  <c:v>66.601436559440174</c:v>
                </c:pt>
                <c:pt idx="39">
                  <c:v>65.801272329184926</c:v>
                </c:pt>
                <c:pt idx="40">
                  <c:v>65.001050725378505</c:v>
                </c:pt>
                <c:pt idx="41">
                  <c:v>64.2006979813779</c:v>
                </c:pt>
                <c:pt idx="42">
                  <c:v>63.400314725604268</c:v>
                </c:pt>
                <c:pt idx="43">
                  <c:v>62.599650824312022</c:v>
                </c:pt>
                <c:pt idx="44">
                  <c:v>61.798898519789532</c:v>
                </c:pt>
                <c:pt idx="45">
                  <c:v>60.997869268930394</c:v>
                </c:pt>
                <c:pt idx="46">
                  <c:v>60.196690686529337</c:v>
                </c:pt>
                <c:pt idx="47">
                  <c:v>59.395147914119342</c:v>
                </c:pt>
                <c:pt idx="48">
                  <c:v>58.593386348550027</c:v>
                </c:pt>
                <c:pt idx="49">
                  <c:v>57.791138148239597</c:v>
                </c:pt>
                <c:pt idx="50">
                  <c:v>56.988450804408643</c:v>
                </c:pt>
                <c:pt idx="51">
                  <c:v>56.185045265550222</c:v>
                </c:pt>
                <c:pt idx="52">
                  <c:v>55.381067163770005</c:v>
                </c:pt>
                <c:pt idx="53">
                  <c:v>54.576353774836946</c:v>
                </c:pt>
                <c:pt idx="54">
                  <c:v>53.771248767127453</c:v>
                </c:pt>
                <c:pt idx="55">
                  <c:v>52.964202471773859</c:v>
                </c:pt>
                <c:pt idx="56">
                  <c:v>52.156117528361264</c:v>
                </c:pt>
                <c:pt idx="57">
                  <c:v>51.346178813554133</c:v>
                </c:pt>
                <c:pt idx="58">
                  <c:v>50.534645932272397</c:v>
                </c:pt>
                <c:pt idx="59">
                  <c:v>49.720515349286707</c:v>
                </c:pt>
                <c:pt idx="60">
                  <c:v>48.903796613579587</c:v>
                </c:pt>
                <c:pt idx="61">
                  <c:v>48.08383558297281</c:v>
                </c:pt>
                <c:pt idx="62">
                  <c:v>47.259562554430914</c:v>
                </c:pt>
                <c:pt idx="63">
                  <c:v>46.431026866002469</c:v>
                </c:pt>
                <c:pt idx="64">
                  <c:v>45.596700790062592</c:v>
                </c:pt>
                <c:pt idx="65">
                  <c:v>44.755894902144497</c:v>
                </c:pt>
                <c:pt idx="66">
                  <c:v>43.907377096199838</c:v>
                </c:pt>
                <c:pt idx="67">
                  <c:v>43.049934060153845</c:v>
                </c:pt>
                <c:pt idx="68">
                  <c:v>42.18179888227084</c:v>
                </c:pt>
                <c:pt idx="69">
                  <c:v>41.301498931143428</c:v>
                </c:pt>
                <c:pt idx="70">
                  <c:v>40.406968126027571</c:v>
                </c:pt>
                <c:pt idx="71">
                  <c:v>39.496326701648734</c:v>
                </c:pt>
                <c:pt idx="72">
                  <c:v>38.567173366728895</c:v>
                </c:pt>
                <c:pt idx="73">
                  <c:v>37.617434334238467</c:v>
                </c:pt>
                <c:pt idx="74">
                  <c:v>36.644531278294401</c:v>
                </c:pt>
                <c:pt idx="75">
                  <c:v>35.646329007190921</c:v>
                </c:pt>
                <c:pt idx="76">
                  <c:v>34.620465237847583</c:v>
                </c:pt>
                <c:pt idx="77">
                  <c:v>33.565420721994926</c:v>
                </c:pt>
                <c:pt idx="78">
                  <c:v>32.479728879058214</c:v>
                </c:pt>
                <c:pt idx="79">
                  <c:v>31.36319803871411</c:v>
                </c:pt>
                <c:pt idx="80">
                  <c:v>30.213661258107955</c:v>
                </c:pt>
                <c:pt idx="81">
                  <c:v>29.033148848923695</c:v>
                </c:pt>
                <c:pt idx="82">
                  <c:v>27.822078746347469</c:v>
                </c:pt>
                <c:pt idx="83">
                  <c:v>26.583294980855925</c:v>
                </c:pt>
                <c:pt idx="84">
                  <c:v>25.318545813345523</c:v>
                </c:pt>
                <c:pt idx="85">
                  <c:v>24.031891038292308</c:v>
                </c:pt>
                <c:pt idx="86">
                  <c:v>22.72705269579804</c:v>
                </c:pt>
                <c:pt idx="87">
                  <c:v>21.407676223380982</c:v>
                </c:pt>
                <c:pt idx="88">
                  <c:v>20.079704113698615</c:v>
                </c:pt>
                <c:pt idx="89">
                  <c:v>18.74696620575159</c:v>
                </c:pt>
                <c:pt idx="90">
                  <c:v>17.414954746139696</c:v>
                </c:pt>
                <c:pt idx="91">
                  <c:v>16.088521471714564</c:v>
                </c:pt>
                <c:pt idx="92">
                  <c:v>14.772672876224696</c:v>
                </c:pt>
                <c:pt idx="93">
                  <c:v>13.471589575033123</c:v>
                </c:pt>
                <c:pt idx="94">
                  <c:v>13.149291763827723</c:v>
                </c:pt>
                <c:pt idx="95">
                  <c:v>12.987617943200734</c:v>
                </c:pt>
                <c:pt idx="96">
                  <c:v>12.828115874388384</c:v>
                </c:pt>
                <c:pt idx="97">
                  <c:v>12.667116497495725</c:v>
                </c:pt>
                <c:pt idx="98">
                  <c:v>12.508295275264762</c:v>
                </c:pt>
                <c:pt idx="99">
                  <c:v>12.347958726166572</c:v>
                </c:pt>
                <c:pt idx="100">
                  <c:v>12.189806943131829</c:v>
                </c:pt>
                <c:pt idx="101">
                  <c:v>12.030244902281224</c:v>
                </c:pt>
                <c:pt idx="102">
                  <c:v>11.872871063312036</c:v>
                </c:pt>
                <c:pt idx="103">
                  <c:v>11.71395679469863</c:v>
                </c:pt>
                <c:pt idx="104">
                  <c:v>11.557237442968709</c:v>
                </c:pt>
                <c:pt idx="105">
                  <c:v>11.399085078314087</c:v>
                </c:pt>
                <c:pt idx="106">
                  <c:v>11.243131018746521</c:v>
                </c:pt>
                <c:pt idx="107">
                  <c:v>11.085845927234747</c:v>
                </c:pt>
                <c:pt idx="108">
                  <c:v>10.930759342775787</c:v>
                </c:pt>
                <c:pt idx="109">
                  <c:v>10.774332638994494</c:v>
                </c:pt>
                <c:pt idx="110">
                  <c:v>10.620104563438028</c:v>
                </c:pt>
                <c:pt idx="111">
                  <c:v>10.464428157760551</c:v>
                </c:pt>
                <c:pt idx="112">
                  <c:v>10.310953191189638</c:v>
                </c:pt>
                <c:pt idx="113">
                  <c:v>10.156133470403525</c:v>
                </c:pt>
                <c:pt idx="114">
                  <c:v>10.003514656285846</c:v>
                </c:pt>
                <c:pt idx="115">
                  <c:v>9.8495519971696215</c:v>
                </c:pt>
                <c:pt idx="116">
                  <c:v>9.6977892923200031</c:v>
                </c:pt>
                <c:pt idx="117">
                  <c:v>9.54468643910762</c:v>
                </c:pt>
                <c:pt idx="118">
                  <c:v>9.3937820711325752</c:v>
                </c:pt>
                <c:pt idx="119">
                  <c:v>9.2416353663569097</c:v>
                </c:pt>
                <c:pt idx="120">
                  <c:v>9.0916824433393089</c:v>
                </c:pt>
                <c:pt idx="121">
                  <c:v>8.9404904071503299</c:v>
                </c:pt>
                <c:pt idx="122">
                  <c:v>8.7914869579836949</c:v>
                </c:pt>
                <c:pt idx="123">
                  <c:v>8.6411634275707936</c:v>
                </c:pt>
                <c:pt idx="124">
                  <c:v>8.4930252223279616</c:v>
                </c:pt>
                <c:pt idx="125">
                  <c:v>8.3436632494793965</c:v>
                </c:pt>
                <c:pt idx="126">
                  <c:v>8.1964800828459019</c:v>
                </c:pt>
                <c:pt idx="127">
                  <c:v>8.0480822440171575</c:v>
                </c:pt>
                <c:pt idx="128">
                  <c:v>7.9018560044273141</c:v>
                </c:pt>
                <c:pt idx="129">
                  <c:v>7.754425723200252</c:v>
                </c:pt>
                <c:pt idx="130">
                  <c:v>7.6091590971098988</c:v>
                </c:pt>
                <c:pt idx="131">
                  <c:v>7.4627003917602943</c:v>
                </c:pt>
                <c:pt idx="132">
                  <c:v>7.3902825052639978</c:v>
                </c:pt>
                <c:pt idx="133">
                  <c:v>7.3183966197330133</c:v>
                </c:pt>
                <c:pt idx="134">
                  <c:v>7.2453461120370699</c:v>
                </c:pt>
                <c:pt idx="135">
                  <c:v>7.1728393225886453</c:v>
                </c:pt>
                <c:pt idx="136">
                  <c:v>7.100869402503724</c:v>
                </c:pt>
                <c:pt idx="137">
                  <c:v>7.0294296148567366</c:v>
                </c:pt>
                <c:pt idx="138">
                  <c:v>6.956909288544586</c:v>
                </c:pt>
                <c:pt idx="139">
                  <c:v>6.8849295363725691</c:v>
                </c:pt>
                <c:pt idx="140">
                  <c:v>6.8134835011401984</c:v>
                </c:pt>
                <c:pt idx="141">
                  <c:v>6.7425644386744956</c:v>
                </c:pt>
                <c:pt idx="142">
                  <c:v>6.6705025832111575</c:v>
                </c:pt>
                <c:pt idx="143">
                  <c:v>6.5989790394943446</c:v>
                </c:pt>
                <c:pt idx="144">
                  <c:v>6.5279869256314385</c:v>
                </c:pt>
                <c:pt idx="145">
                  <c:v>6.4575194742162054</c:v>
                </c:pt>
                <c:pt idx="146">
                  <c:v>6.3859557987397775</c:v>
                </c:pt>
                <c:pt idx="147">
                  <c:v>6.3149273978555183</c:v>
                </c:pt>
                <c:pt idx="148">
                  <c:v>6.2444273801980499</c:v>
                </c:pt>
                <c:pt idx="149">
                  <c:v>6.1744489700406655</c:v>
                </c:pt>
                <c:pt idx="150">
                  <c:v>6.103385451573188</c:v>
                </c:pt>
                <c:pt idx="151">
                  <c:v>6.0328539513212593</c:v>
                </c:pt>
                <c:pt idx="152">
                  <c:v>5.9628475733424411</c:v>
                </c:pt>
                <c:pt idx="153">
                  <c:v>5.8933595384005786</c:v>
                </c:pt>
                <c:pt idx="154">
                  <c:v>5.822765555254664</c:v>
                </c:pt>
                <c:pt idx="155">
                  <c:v>5.7527005992789597</c:v>
                </c:pt>
                <c:pt idx="156">
                  <c:v>5.683157765575765</c:v>
                </c:pt>
                <c:pt idx="157">
                  <c:v>5.6141302671427873</c:v>
                </c:pt>
                <c:pt idx="158">
                  <c:v>5.5440100979099931</c:v>
                </c:pt>
                <c:pt idx="159">
                  <c:v>5.474415708851545</c:v>
                </c:pt>
                <c:pt idx="160">
                  <c:v>5.4053401919585022</c:v>
                </c:pt>
                <c:pt idx="161">
                  <c:v>5.3367767581951222</c:v>
                </c:pt>
                <c:pt idx="162">
                  <c:v>5.267164626427502</c:v>
                </c:pt>
                <c:pt idx="163">
                  <c:v>5.1980743221763266</c:v>
                </c:pt>
                <c:pt idx="164">
                  <c:v>5.1294989492675338</c:v>
                </c:pt>
                <c:pt idx="165">
                  <c:v>5.0614317312509858</c:v>
                </c:pt>
                <c:pt idx="166">
                  <c:v>4.9922689922403114</c:v>
                </c:pt>
                <c:pt idx="167">
                  <c:v>4.9236248084973635</c:v>
                </c:pt>
                <c:pt idx="168">
                  <c:v>4.8554922834246019</c:v>
                </c:pt>
                <c:pt idx="169">
                  <c:v>4.7878646411948935</c:v>
                </c:pt>
                <c:pt idx="170">
                  <c:v>4.7193000907359899</c:v>
                </c:pt>
                <c:pt idx="171">
                  <c:v>4.6512484076126102</c:v>
                </c:pt>
                <c:pt idx="172">
                  <c:v>4.5837027442949134</c:v>
                </c:pt>
                <c:pt idx="173">
                  <c:v>4.5166563739216699</c:v>
                </c:pt>
                <c:pt idx="174">
                  <c:v>4.4484311736941162</c:v>
                </c:pt>
                <c:pt idx="175">
                  <c:v>4.3807168173354594</c:v>
                </c:pt>
                <c:pt idx="176">
                  <c:v>4.313506434613906</c:v>
                </c:pt>
                <c:pt idx="177">
                  <c:v>4.2467932775531256</c:v>
                </c:pt>
                <c:pt idx="178">
                  <c:v>4.1789484188718253</c:v>
                </c:pt>
                <c:pt idx="179">
                  <c:v>4.1116115803951132</c:v>
                </c:pt>
                <c:pt idx="180">
                  <c:v>4.044775886313972</c:v>
                </c:pt>
                <c:pt idx="181">
                  <c:v>3.9784345842733071</c:v>
                </c:pt>
                <c:pt idx="182">
                  <c:v>3.9112689020897125</c:v>
                </c:pt>
                <c:pt idx="183">
                  <c:v>3.844603775447669</c:v>
                </c:pt>
                <c:pt idx="184">
                  <c:v>3.7784324185898521</c:v>
                </c:pt>
                <c:pt idx="185">
                  <c:v>3.7127481681219137</c:v>
                </c:pt>
                <c:pt idx="186">
                  <c:v>3.6457612906974139</c:v>
                </c:pt>
                <c:pt idx="187">
                  <c:v>3.5792747536920642</c:v>
                </c:pt>
                <c:pt idx="188">
                  <c:v>3.5132817158870084</c:v>
                </c:pt>
                <c:pt idx="189">
                  <c:v>3.4477754608280393</c:v>
                </c:pt>
                <c:pt idx="190">
                  <c:v>3.3815130654244681</c:v>
                </c:pt>
                <c:pt idx="191">
                  <c:v>3.3157425096318294</c:v>
                </c:pt>
                <c:pt idx="192">
                  <c:v>3.2504570675059425</c:v>
                </c:pt>
                <c:pt idx="193">
                  <c:v>3.1856501361297145</c:v>
                </c:pt>
                <c:pt idx="194">
                  <c:v>3.1196348417992064</c:v>
                </c:pt>
                <c:pt idx="195">
                  <c:v>3.0541097739322391</c:v>
                </c:pt>
                <c:pt idx="196">
                  <c:v>2.9890681828551919</c:v>
                </c:pt>
                <c:pt idx="197">
                  <c:v>2.924503443553002</c:v>
                </c:pt>
                <c:pt idx="198">
                  <c:v>2.8590107402863385</c:v>
                </c:pt>
                <c:pt idx="199">
                  <c:v>2.7940023995651888</c:v>
                </c:pt>
                <c:pt idx="200">
                  <c:v>2.7294717370761745</c:v>
                </c:pt>
                <c:pt idx="201">
                  <c:v>2.6654121926024916</c:v>
                </c:pt>
                <c:pt idx="202">
                  <c:v>2.600459618681275</c:v>
                </c:pt>
                <c:pt idx="203">
                  <c:v>2.5359851183858213</c:v>
                </c:pt>
                <c:pt idx="204">
                  <c:v>2.4719820837202651</c:v>
                </c:pt>
                <c:pt idx="205">
                  <c:v>2.4084440299250285</c:v>
                </c:pt>
                <c:pt idx="206">
                  <c:v>2.3438263870869349</c:v>
                </c:pt>
                <c:pt idx="207">
                  <c:v>2.2796833707231228</c:v>
                </c:pt>
                <c:pt idx="208">
                  <c:v>2.2160083924276992</c:v>
                </c:pt>
                <c:pt idx="209">
                  <c:v>2.1527949875557524</c:v>
                </c:pt>
                <c:pt idx="210">
                  <c:v>2.088329603749739</c:v>
                </c:pt>
                <c:pt idx="211">
                  <c:v>2.0243379007145506</c:v>
                </c:pt>
                <c:pt idx="212">
                  <c:v>1.9608132591460334</c:v>
                </c:pt>
                <c:pt idx="213">
                  <c:v>1.8977491852850243</c:v>
                </c:pt>
                <c:pt idx="214">
                  <c:v>1.8338958447143296</c:v>
                </c:pt>
                <c:pt idx="215">
                  <c:v>1.7705083577062273</c:v>
                </c:pt>
                <c:pt idx="216">
                  <c:v>1.7075802194485594</c:v>
                </c:pt>
                <c:pt idx="217">
                  <c:v>1.6451050487765853</c:v>
                </c:pt>
                <c:pt idx="218">
                  <c:v>1.5816674158660669</c:v>
                </c:pt>
                <c:pt idx="219">
                  <c:v>1.5186905230361916</c:v>
                </c:pt>
                <c:pt idx="220">
                  <c:v>1.4561679255025792</c:v>
                </c:pt>
                <c:pt idx="221">
                  <c:v>1.3940933015704318</c:v>
                </c:pt>
                <c:pt idx="222">
                  <c:v>1.3310914560130158</c:v>
                </c:pt>
                <c:pt idx="223">
                  <c:v>1.2685448006649027</c:v>
                </c:pt>
                <c:pt idx="224">
                  <c:v>1.2064469619437612</c:v>
                </c:pt>
                <c:pt idx="225">
                  <c:v>1.1447916884828533</c:v>
                </c:pt>
                <c:pt idx="226">
                  <c:v>1.0820526669259769</c:v>
                </c:pt>
                <c:pt idx="227">
                  <c:v>1.0197656288352046</c:v>
                </c:pt>
                <c:pt idx="228">
                  <c:v>0.95792422468936889</c:v>
                </c:pt>
                <c:pt idx="229">
                  <c:v>0.89652222748278776</c:v>
                </c:pt>
                <c:pt idx="230">
                  <c:v>0.77207867199401781</c:v>
                </c:pt>
                <c:pt idx="231">
                  <c:v>0.7105228703814187</c:v>
                </c:pt>
                <c:pt idx="232">
                  <c:v>0.64940276007184872</c:v>
                </c:pt>
                <c:pt idx="233">
                  <c:v>0.58727671921872526</c:v>
                </c:pt>
                <c:pt idx="234">
                  <c:v>0.52559455479249007</c:v>
                </c:pt>
                <c:pt idx="235">
                  <c:v>0.4643500063401485</c:v>
                </c:pt>
                <c:pt idx="236">
                  <c:v>0.40353693539562641</c:v>
                </c:pt>
                <c:pt idx="237">
                  <c:v>0.3419284290994784</c:v>
                </c:pt>
                <c:pt idx="238">
                  <c:v>0.28075655274545819</c:v>
                </c:pt>
                <c:pt idx="239">
                  <c:v>0.22001516049633996</c:v>
                </c:pt>
                <c:pt idx="240">
                  <c:v>0.15969822637168893</c:v>
                </c:pt>
                <c:pt idx="241">
                  <c:v>9.8273784589186119E-2</c:v>
                </c:pt>
                <c:pt idx="242">
                  <c:v>3.7283319826826977E-2</c:v>
                </c:pt>
                <c:pt idx="243">
                  <c:v>-2.3279294045578641E-2</c:v>
                </c:pt>
                <c:pt idx="244">
                  <c:v>-8.342006300426083E-2</c:v>
                </c:pt>
                <c:pt idx="245">
                  <c:v>-0.14446375058123803</c:v>
                </c:pt>
                <c:pt idx="246">
                  <c:v>-0.20507900705522647</c:v>
                </c:pt>
                <c:pt idx="247">
                  <c:v>-0.26527187615696385</c:v>
                </c:pt>
                <c:pt idx="248">
                  <c:v>-0.32504828283079995</c:v>
                </c:pt>
                <c:pt idx="249">
                  <c:v>-0.38585689947741431</c:v>
                </c:pt>
                <c:pt idx="250">
                  <c:v>-0.44624070770479723</c:v>
                </c:pt>
                <c:pt idx="251">
                  <c:v>-0.50620570770433015</c:v>
                </c:pt>
                <c:pt idx="252">
                  <c:v>-0.56575778126791743</c:v>
                </c:pt>
                <c:pt idx="253">
                  <c:v>-0.62615008050151344</c:v>
                </c:pt>
                <c:pt idx="254">
                  <c:v>-0.68612382155511409</c:v>
                </c:pt>
                <c:pt idx="255">
                  <c:v>-0.74568490401551957</c:v>
                </c:pt>
                <c:pt idx="256">
                  <c:v>-0.80483911098837657</c:v>
                </c:pt>
                <c:pt idx="257">
                  <c:v>-0.86510892896312253</c:v>
                </c:pt>
                <c:pt idx="258">
                  <c:v>-0.9249624837827668</c:v>
                </c:pt>
                <c:pt idx="259">
                  <c:v>-0.98440565626811494</c:v>
                </c:pt>
                <c:pt idx="260">
                  <c:v>-1.043444210561187</c:v>
                </c:pt>
                <c:pt idx="261">
                  <c:v>-1.1034119217526162</c:v>
                </c:pt>
                <c:pt idx="262">
                  <c:v>-1.1629682481177612</c:v>
                </c:pt>
                <c:pt idx="263">
                  <c:v>-1.2221189957431571</c:v>
                </c:pt>
                <c:pt idx="264">
                  <c:v>-1.2808698553443949</c:v>
                </c:pt>
                <c:pt idx="265">
                  <c:v>-1.3405187808534591</c:v>
                </c:pt>
                <c:pt idx="266">
                  <c:v>-1.3997615165222133</c:v>
                </c:pt>
                <c:pt idx="267">
                  <c:v>-1.4586037855898422</c:v>
                </c:pt>
                <c:pt idx="268">
                  <c:v>-1.5170511974820202</c:v>
                </c:pt>
                <c:pt idx="269">
                  <c:v>-1.5765068483119913</c:v>
                </c:pt>
                <c:pt idx="270">
                  <c:v>-1.6355598922003218</c:v>
                </c:pt>
                <c:pt idx="271">
                  <c:v>-1.6942160021340966</c:v>
                </c:pt>
                <c:pt idx="272">
                  <c:v>-1.7524807380157323</c:v>
                </c:pt>
                <c:pt idx="273">
                  <c:v>-1.811720001191772</c:v>
                </c:pt>
                <c:pt idx="274">
                  <c:v>-1.8705606487036026</c:v>
                </c:pt>
                <c:pt idx="275">
                  <c:v>-1.9290082933963282</c:v>
                </c:pt>
                <c:pt idx="276">
                  <c:v>-1.9870684360521151</c:v>
                </c:pt>
                <c:pt idx="277">
                  <c:v>-2.0459385501673903</c:v>
                </c:pt>
                <c:pt idx="278">
                  <c:v>-2.1044161607560135</c:v>
                </c:pt>
                <c:pt idx="279">
                  <c:v>-2.1625067747356175</c:v>
                </c:pt>
                <c:pt idx="280">
                  <c:v>-2.2202157892289174</c:v>
                </c:pt>
                <c:pt idx="281">
                  <c:v>-2.2790963389003824</c:v>
                </c:pt>
                <c:pt idx="282">
                  <c:v>-2.3375855328092712</c:v>
                </c:pt>
                <c:pt idx="283">
                  <c:v>-2.3956888750441765</c:v>
                </c:pt>
                <c:pt idx="284">
                  <c:v>-2.4534117594602769</c:v>
                </c:pt>
                <c:pt idx="285">
                  <c:v>-2.5118900743256312</c:v>
                </c:pt>
                <c:pt idx="286">
                  <c:v>-2.5699837229485678</c:v>
                </c:pt>
                <c:pt idx="287">
                  <c:v>-2.6276980892352464</c:v>
                </c:pt>
                <c:pt idx="288">
                  <c:v>-2.6850384495663921</c:v>
                </c:pt>
                <c:pt idx="289">
                  <c:v>-2.7434785299367315</c:v>
                </c:pt>
                <c:pt idx="290">
                  <c:v>-2.8015359227650576</c:v>
                </c:pt>
                <c:pt idx="291">
                  <c:v>-2.8592159894679288</c:v>
                </c:pt>
                <c:pt idx="292">
                  <c:v>-2.9165239840761266</c:v>
                </c:pt>
                <c:pt idx="293">
                  <c:v>-2.9747766238881419</c:v>
                </c:pt>
                <c:pt idx="294">
                  <c:v>-3.0326505902540291</c:v>
                </c:pt>
                <c:pt idx="295">
                  <c:v>-3.0901511785547369</c:v>
                </c:pt>
                <c:pt idx="296">
                  <c:v>-3.1472835781085418</c:v>
                </c:pt>
                <c:pt idx="297">
                  <c:v>-3.2053309838892918</c:v>
                </c:pt>
                <c:pt idx="298">
                  <c:v>-3.2630040277974528</c:v>
                </c:pt>
                <c:pt idx="299">
                  <c:v>-3.3203079321039777</c:v>
                </c:pt>
                <c:pt idx="300">
                  <c:v>-3.377247814553892</c:v>
                </c:pt>
                <c:pt idx="301">
                  <c:v>-3.4350744545244534</c:v>
                </c:pt>
                <c:pt idx="302">
                  <c:v>-3.4925313018369124</c:v>
                </c:pt>
                <c:pt idx="303">
                  <c:v>-3.5496234995207931</c:v>
                </c:pt>
                <c:pt idx="304">
                  <c:v>-3.6063560878033707</c:v>
                </c:pt>
                <c:pt idx="305">
                  <c:v>-3.6641693124713717</c:v>
                </c:pt>
                <c:pt idx="306">
                  <c:v>-3.7216147410127149</c:v>
                </c:pt>
                <c:pt idx="307">
                  <c:v>-3.7786974899693195</c:v>
                </c:pt>
                <c:pt idx="308">
                  <c:v>-3.8354225734243337</c:v>
                </c:pt>
                <c:pt idx="309">
                  <c:v>-3.8929790683773802</c:v>
                </c:pt>
                <c:pt idx="310">
                  <c:v>-3.950172915074976</c:v>
                </c:pt>
                <c:pt idx="311">
                  <c:v>-4.0070091374265395</c:v>
                </c:pt>
                <c:pt idx="312">
                  <c:v>-4.063492659005429</c:v>
                </c:pt>
                <c:pt idx="313">
                  <c:v>-4.1209931619578279</c:v>
                </c:pt>
                <c:pt idx="314">
                  <c:v>-4.1781336970629841</c:v>
                </c:pt>
                <c:pt idx="315">
                  <c:v>-4.2349192461225753</c:v>
                </c:pt>
                <c:pt idx="316">
                  <c:v>-4.2913546914023195</c:v>
                </c:pt>
                <c:pt idx="317">
                  <c:v>-4.3487761273424388</c:v>
                </c:pt>
                <c:pt idx="318">
                  <c:v>-4.405840637612763</c:v>
                </c:pt>
                <c:pt idx="319">
                  <c:v>-4.4625531538076881</c:v>
                </c:pt>
                <c:pt idx="320">
                  <c:v>-4.5189185090189401</c:v>
                </c:pt>
                <c:pt idx="321">
                  <c:v>-4.5762402624130507</c:v>
                </c:pt>
                <c:pt idx="322">
                  <c:v>-4.6332084537251097</c:v>
                </c:pt>
                <c:pt idx="323">
                  <c:v>-4.6898279571534189</c:v>
                </c:pt>
                <c:pt idx="324">
                  <c:v>-4.7461035496344541</c:v>
                </c:pt>
                <c:pt idx="325">
                  <c:v>-4.8033072879979803</c:v>
                </c:pt>
                <c:pt idx="326">
                  <c:v>-4.8601611113788969</c:v>
                </c:pt>
                <c:pt idx="327">
                  <c:v>-4.9166698302580603</c:v>
                </c:pt>
                <c:pt idx="328">
                  <c:v>-4.9728381592781883</c:v>
                </c:pt>
                <c:pt idx="329">
                  <c:v>-5.0300028072828917</c:v>
                </c:pt>
                <c:pt idx="330">
                  <c:v>-5.086820285287903</c:v>
                </c:pt>
                <c:pt idx="331">
                  <c:v>-5.143295358140457</c:v>
                </c:pt>
                <c:pt idx="332">
                  <c:v>-5.1994326958083503</c:v>
                </c:pt>
                <c:pt idx="333">
                  <c:v>-5.2564443249019934</c:v>
                </c:pt>
                <c:pt idx="334">
                  <c:v>-5.3131129631526308</c:v>
                </c:pt>
                <c:pt idx="335">
                  <c:v>-5.3694432999754316</c:v>
                </c:pt>
                <c:pt idx="336">
                  <c:v>-5.4254399316650792</c:v>
                </c:pt>
                <c:pt idx="337">
                  <c:v>-5.4824676660534335</c:v>
                </c:pt>
                <c:pt idx="338">
                  <c:v>-5.5391546143445982</c:v>
                </c:pt>
                <c:pt idx="339">
                  <c:v>-5.5955054305210092</c:v>
                </c:pt>
                <c:pt idx="340">
                  <c:v>-5.6515246761584361</c:v>
                </c:pt>
                <c:pt idx="341">
                  <c:v>-5.7085452009355233</c:v>
                </c:pt>
                <c:pt idx="342">
                  <c:v>-5.765227493411901</c:v>
                </c:pt>
                <c:pt idx="343">
                  <c:v>-5.8215761646127664</c:v>
                </c:pt>
                <c:pt idx="344">
                  <c:v>-5.8775957340793239</c:v>
                </c:pt>
                <c:pt idx="345">
                  <c:v>-5.9345015782559773</c:v>
                </c:pt>
                <c:pt idx="346">
                  <c:v>-5.991073069242125</c:v>
                </c:pt>
                <c:pt idx="347">
                  <c:v>-6.0473147478008702</c:v>
                </c:pt>
                <c:pt idx="348">
                  <c:v>-6.1032310648618582</c:v>
                </c:pt>
                <c:pt idx="349">
                  <c:v>-6.1601783933656389</c:v>
                </c:pt>
                <c:pt idx="350">
                  <c:v>-6.2167934717592654</c:v>
                </c:pt>
                <c:pt idx="351">
                  <c:v>-6.2730808063146259</c:v>
                </c:pt>
                <c:pt idx="352">
                  <c:v>-6.3290448141869948</c:v>
                </c:pt>
                <c:pt idx="353">
                  <c:v>-6.3860108540132963</c:v>
                </c:pt>
                <c:pt idx="354">
                  <c:v>-6.4426470811981602</c:v>
                </c:pt>
                <c:pt idx="355">
                  <c:v>-6.4989579604057859</c:v>
                </c:pt>
                <c:pt idx="356">
                  <c:v>-6.5549478680944437</c:v>
                </c:pt>
                <c:pt idx="357">
                  <c:v>-6.6118314048699176</c:v>
                </c:pt>
                <c:pt idx="358">
                  <c:v>-6.6683887880428516</c:v>
                </c:pt>
                <c:pt idx="359">
                  <c:v>-6.7246244157028858</c:v>
                </c:pt>
                <c:pt idx="360">
                  <c:v>-6.780542599304499</c:v>
                </c:pt>
                <c:pt idx="361">
                  <c:v>-6.8374883655564105</c:v>
                </c:pt>
                <c:pt idx="362">
                  <c:v>-6.8941100345482624</c:v>
                </c:pt>
                <c:pt idx="363">
                  <c:v>-6.9504119698570292</c:v>
                </c:pt>
                <c:pt idx="364">
                  <c:v>-7.0063984491595015</c:v>
                </c:pt>
                <c:pt idx="365">
                  <c:v>-7.0633073897962992</c:v>
                </c:pt>
                <c:pt idx="366">
                  <c:v>-7.1198954722681371</c:v>
                </c:pt>
                <c:pt idx="367">
                  <c:v>-7.1761670015739565</c:v>
                </c:pt>
                <c:pt idx="368">
                  <c:v>-7.2321261981801532</c:v>
                </c:pt>
                <c:pt idx="369">
                  <c:v>-7.2891344037342787</c:v>
                </c:pt>
                <c:pt idx="370">
                  <c:v>-7.3458235171067994</c:v>
                </c:pt>
                <c:pt idx="371">
                  <c:v>-7.4021978140026743</c:v>
                </c:pt>
                <c:pt idx="372">
                  <c:v>-7.4582614862000574</c:v>
                </c:pt>
                <c:pt idx="373">
                  <c:v>-7.5152722660941436</c:v>
                </c:pt>
                <c:pt idx="374">
                  <c:v>-7.5719668616884706</c:v>
                </c:pt>
                <c:pt idx="375">
                  <c:v>-7.6283494962420928</c:v>
                </c:pt>
                <c:pt idx="376">
                  <c:v>-7.6844243102986534</c:v>
                </c:pt>
                <c:pt idx="377">
                  <c:v>-7.7415659467475937</c:v>
                </c:pt>
                <c:pt idx="378">
                  <c:v>-7.798392948498801</c:v>
                </c:pt>
                <c:pt idx="379">
                  <c:v>-7.854909513201652</c:v>
                </c:pt>
                <c:pt idx="380">
                  <c:v>-7.9111197563041111</c:v>
                </c:pt>
                <c:pt idx="381">
                  <c:v>-7.968227502774945</c:v>
                </c:pt>
                <c:pt idx="382">
                  <c:v>-8.0250240303244631</c:v>
                </c:pt>
                <c:pt idx="383">
                  <c:v>-8.0815134735219338</c:v>
                </c:pt>
                <c:pt idx="384">
                  <c:v>-8.1376998862241354</c:v>
                </c:pt>
                <c:pt idx="385">
                  <c:v>-8.1949685442106706</c:v>
                </c:pt>
                <c:pt idx="386">
                  <c:v>-8.2519273344371094</c:v>
                </c:pt>
                <c:pt idx="387">
                  <c:v>-8.3085803691364397</c:v>
                </c:pt>
                <c:pt idx="388">
                  <c:v>-8.3649316802604119</c:v>
                </c:pt>
                <c:pt idx="389">
                  <c:v>-8.4222695613136942</c:v>
                </c:pt>
                <c:pt idx="390">
                  <c:v>-8.4792999826974107</c:v>
                </c:pt>
                <c:pt idx="391">
                  <c:v>-8.5360270130053646</c:v>
                </c:pt>
                <c:pt idx="392">
                  <c:v>-8.5924546415342622</c:v>
                </c:pt>
                <c:pt idx="393">
                  <c:v>-8.649844068334783</c:v>
                </c:pt>
                <c:pt idx="394">
                  <c:v>-8.7069286835796849</c:v>
                </c:pt>
                <c:pt idx="395">
                  <c:v>-8.7637125071848985</c:v>
                </c:pt>
                <c:pt idx="396">
                  <c:v>-8.8201994808832289</c:v>
                </c:pt>
                <c:pt idx="397">
                  <c:v>-8.8777541065002268</c:v>
                </c:pt>
                <c:pt idx="398">
                  <c:v>-8.9350054220868174</c:v>
                </c:pt>
                <c:pt idx="399">
                  <c:v>-8.9919574211508824</c:v>
                </c:pt>
                <c:pt idx="400">
                  <c:v>-9.0486140195552114</c:v>
                </c:pt>
                <c:pt idx="401">
                  <c:v>-9.1062480703798006</c:v>
                </c:pt>
                <c:pt idx="402">
                  <c:v>-9.1635812752665338</c:v>
                </c:pt>
                <c:pt idx="403">
                  <c:v>-9.220617582010556</c:v>
                </c:pt>
                <c:pt idx="404">
                  <c:v>-9.277360861798762</c:v>
                </c:pt>
                <c:pt idx="405">
                  <c:v>-9.3351200489267132</c:v>
                </c:pt>
                <c:pt idx="406">
                  <c:v>-9.3925804297056992</c:v>
                </c:pt>
                <c:pt idx="407">
                  <c:v>-9.4497459142015856</c:v>
                </c:pt>
                <c:pt idx="408">
                  <c:v>-9.5066203367030475</c:v>
                </c:pt>
                <c:pt idx="409">
                  <c:v>-9.5645469500723763</c:v>
                </c:pt>
                <c:pt idx="410">
                  <c:v>-9.6221764194016188</c:v>
                </c:pt>
                <c:pt idx="411">
                  <c:v>-9.6795126240135154</c:v>
                </c:pt>
                <c:pt idx="412">
                  <c:v>-9.7365593681057341</c:v>
                </c:pt>
                <c:pt idx="413">
                  <c:v>-9.7946328740459379</c:v>
                </c:pt>
                <c:pt idx="414">
                  <c:v>-9.8524111680131874</c:v>
                </c:pt>
                <c:pt idx="415">
                  <c:v>-9.9098980929143963</c:v>
                </c:pt>
                <c:pt idx="416">
                  <c:v>-9.9670974173313294</c:v>
                </c:pt>
                <c:pt idx="417">
                  <c:v>-10.025357576168336</c:v>
                </c:pt>
                <c:pt idx="418">
                  <c:v>-10.083324109818152</c:v>
                </c:pt>
                <c:pt idx="419">
                  <c:v>-10.141000831076749</c:v>
                </c:pt>
                <c:pt idx="420">
                  <c:v>-10.198391479055624</c:v>
                </c:pt>
                <c:pt idx="421">
                  <c:v>-10.256760519318998</c:v>
                </c:pt>
                <c:pt idx="422">
                  <c:v>-10.314838354723154</c:v>
                </c:pt>
                <c:pt idx="423">
                  <c:v>-10.372628751390447</c:v>
                </c:pt>
                <c:pt idx="424">
                  <c:v>-10.430135402828418</c:v>
                </c:pt>
                <c:pt idx="425">
                  <c:v>-10.488766564029586</c:v>
                </c:pt>
                <c:pt idx="426">
                  <c:v>-10.547107468899338</c:v>
                </c:pt>
                <c:pt idx="427">
                  <c:v>-10.605161864946806</c:v>
                </c:pt>
                <c:pt idx="428">
                  <c:v>-10.662933427421939</c:v>
                </c:pt>
                <c:pt idx="429">
                  <c:v>-10.721747968073323</c:v>
                </c:pt>
                <c:pt idx="430">
                  <c:v>-10.780274041721107</c:v>
                </c:pt>
                <c:pt idx="431">
                  <c:v>-10.838515360599636</c:v>
                </c:pt>
                <c:pt idx="432">
                  <c:v>-10.896475565474148</c:v>
                </c:pt>
                <c:pt idx="433">
                  <c:v>-10.955454948032266</c:v>
                </c:pt>
                <c:pt idx="434">
                  <c:v>-11.014147882062641</c:v>
                </c:pt>
                <c:pt idx="435">
                  <c:v>-11.072558039763749</c:v>
                </c:pt>
                <c:pt idx="436">
                  <c:v>-11.130689022785766</c:v>
                </c:pt>
                <c:pt idx="437">
                  <c:v>-11.189922326575761</c:v>
                </c:pt>
                <c:pt idx="438">
                  <c:v>-11.248870388391124</c:v>
                </c:pt>
                <c:pt idx="439">
                  <c:v>-11.307536855605417</c:v>
                </c:pt>
                <c:pt idx="440">
                  <c:v>-11.36592530558813</c:v>
                </c:pt>
                <c:pt idx="441">
                  <c:v>-11.425391123429602</c:v>
                </c:pt>
                <c:pt idx="442">
                  <c:v>-11.484573169721939</c:v>
                </c:pt>
                <c:pt idx="443">
                  <c:v>-11.543475061623308</c:v>
                </c:pt>
                <c:pt idx="444">
                  <c:v>-11.602100346984255</c:v>
                </c:pt>
                <c:pt idx="445">
                  <c:v>-11.661779022603689</c:v>
                </c:pt>
                <c:pt idx="446">
                  <c:v>-11.721175634818016</c:v>
                </c:pt>
                <c:pt idx="447">
                  <c:v>-11.780293765781988</c:v>
                </c:pt>
                <c:pt idx="448">
                  <c:v>-11.839136929178879</c:v>
                </c:pt>
                <c:pt idx="449">
                  <c:v>-11.899110582539363</c:v>
                </c:pt>
                <c:pt idx="450">
                  <c:v>-11.958803159773455</c:v>
                </c:pt>
                <c:pt idx="451">
                  <c:v>-12.018218221511173</c:v>
                </c:pt>
                <c:pt idx="452">
                  <c:v>-12.077359260426245</c:v>
                </c:pt>
                <c:pt idx="453">
                  <c:v>-12.137556730393317</c:v>
                </c:pt>
                <c:pt idx="454">
                  <c:v>-12.197474831942809</c:v>
                </c:pt>
                <c:pt idx="455">
                  <c:v>-12.257117090415729</c:v>
                </c:pt>
                <c:pt idx="456">
                  <c:v>-12.316486964086552</c:v>
                </c:pt>
                <c:pt idx="457">
                  <c:v>-12.376987163464987</c:v>
                </c:pt>
                <c:pt idx="458">
                  <c:v>-12.437209023044177</c:v>
                </c:pt>
                <c:pt idx="459">
                  <c:v>-12.49715604568771</c:v>
                </c:pt>
                <c:pt idx="460">
                  <c:v>-12.55683166778824</c:v>
                </c:pt>
                <c:pt idx="461">
                  <c:v>-12.617613263303953</c:v>
                </c:pt>
                <c:pt idx="462">
                  <c:v>-12.678117802133972</c:v>
                </c:pt>
                <c:pt idx="463">
                  <c:v>-12.738348759980685</c:v>
                </c:pt>
                <c:pt idx="464">
                  <c:v>-12.798309546824594</c:v>
                </c:pt>
                <c:pt idx="465">
                  <c:v>-12.859399412362517</c:v>
                </c:pt>
                <c:pt idx="466">
                  <c:v>-12.920213317621979</c:v>
                </c:pt>
                <c:pt idx="467">
                  <c:v>-12.980754714919751</c:v>
                </c:pt>
                <c:pt idx="468">
                  <c:v>-13.041026991545513</c:v>
                </c:pt>
                <c:pt idx="469">
                  <c:v>-13.102404578322872</c:v>
                </c:pt>
                <c:pt idx="470">
                  <c:v>-13.163507545511397</c:v>
                </c:pt>
                <c:pt idx="471">
                  <c:v>-13.224339317942588</c:v>
                </c:pt>
                <c:pt idx="472">
                  <c:v>-13.284903256264379</c:v>
                </c:pt>
                <c:pt idx="473">
                  <c:v>-13.346639437058947</c:v>
                </c:pt>
                <c:pt idx="474">
                  <c:v>-13.408101770064665</c:v>
                </c:pt>
                <c:pt idx="475">
                  <c:v>-13.46929366391949</c:v>
                </c:pt>
                <c:pt idx="476">
                  <c:v>-13.530218463693471</c:v>
                </c:pt>
                <c:pt idx="477">
                  <c:v>-13.592291163867483</c:v>
                </c:pt>
                <c:pt idx="478">
                  <c:v>-13.654091056133675</c:v>
                </c:pt>
                <c:pt idx="479">
                  <c:v>-13.715621528879087</c:v>
                </c:pt>
                <c:pt idx="480">
                  <c:v>-13.776885907700038</c:v>
                </c:pt>
                <c:pt idx="481">
                  <c:v>-13.839274767549213</c:v>
                </c:pt>
                <c:pt idx="482">
                  <c:v>-13.901392108577905</c:v>
                </c:pt>
                <c:pt idx="483">
                  <c:v>-13.963241295552592</c:v>
                </c:pt>
                <c:pt idx="484">
                  <c:v>-14.024825631376054</c:v>
                </c:pt>
                <c:pt idx="485">
                  <c:v>-14.087554536034288</c:v>
                </c:pt>
                <c:pt idx="486">
                  <c:v>-14.150013077822837</c:v>
                </c:pt>
                <c:pt idx="487">
                  <c:v>-14.212204601963601</c:v>
                </c:pt>
                <c:pt idx="488">
                  <c:v>-14.27413239271598</c:v>
                </c:pt>
                <c:pt idx="489">
                  <c:v>-14.337265791921945</c:v>
                </c:pt>
                <c:pt idx="490">
                  <c:v>-14.400129519030131</c:v>
                </c:pt>
                <c:pt idx="491">
                  <c:v>-14.462726910318507</c:v>
                </c:pt>
                <c:pt idx="492">
                  <c:v>-14.525061241831448</c:v>
                </c:pt>
                <c:pt idx="493">
                  <c:v>-14.588577215262486</c:v>
                </c:pt>
                <c:pt idx="494">
                  <c:v>-14.651824497011956</c:v>
                </c:pt>
                <c:pt idx="495">
                  <c:v>-14.714806411505375</c:v>
                </c:pt>
                <c:pt idx="496">
                  <c:v>-14.777526223827564</c:v>
                </c:pt>
                <c:pt idx="497">
                  <c:v>-14.841445142090404</c:v>
                </c:pt>
                <c:pt idx="498">
                  <c:v>-14.90509628827459</c:v>
                </c:pt>
                <c:pt idx="499">
                  <c:v>-14.968482979046724</c:v>
                </c:pt>
                <c:pt idx="500">
                  <c:v>-15.03160847263082</c:v>
                </c:pt>
                <c:pt idx="501">
                  <c:v>-15.095949781612198</c:v>
                </c:pt>
                <c:pt idx="502">
                  <c:v>-15.160024202668136</c:v>
                </c:pt>
                <c:pt idx="503">
                  <c:v>-15.223835048921163</c:v>
                </c:pt>
                <c:pt idx="504">
                  <c:v>-15.287385575963043</c:v>
                </c:pt>
                <c:pt idx="505">
                  <c:v>-15.35212875417178</c:v>
                </c:pt>
                <c:pt idx="506">
                  <c:v>-15.416606239881483</c:v>
                </c:pt>
                <c:pt idx="507">
                  <c:v>-15.480821341096416</c:v>
                </c:pt>
                <c:pt idx="508">
                  <c:v>-15.544777309358439</c:v>
                </c:pt>
                <c:pt idx="509">
                  <c:v>-15.609942270160623</c:v>
                </c:pt>
                <c:pt idx="510">
                  <c:v>-15.674842727612997</c:v>
                </c:pt>
                <c:pt idx="511">
                  <c:v>-15.739481989630379</c:v>
                </c:pt>
                <c:pt idx="512">
                  <c:v>-15.803863308746696</c:v>
                </c:pt>
                <c:pt idx="513">
                  <c:v>-15.869507305640154</c:v>
                </c:pt>
                <c:pt idx="514">
                  <c:v>-15.934887709284267</c:v>
                </c:pt>
                <c:pt idx="515">
                  <c:v>-16.000007838491342</c:v>
                </c:pt>
                <c:pt idx="516">
                  <c:v>-16.06487095766936</c:v>
                </c:pt>
                <c:pt idx="517">
                  <c:v>-16.130973748541784</c:v>
                </c:pt>
                <c:pt idx="518">
                  <c:v>-16.196814231928009</c:v>
                </c:pt>
                <c:pt idx="519">
                  <c:v>-16.26239573716137</c:v>
                </c:pt>
                <c:pt idx="520">
                  <c:v>-16.327721540304026</c:v>
                </c:pt>
                <c:pt idx="521">
                  <c:v>-16.394301801407885</c:v>
                </c:pt>
                <c:pt idx="522">
                  <c:v>-16.460621131407482</c:v>
                </c:pt>
                <c:pt idx="523">
                  <c:v>-16.526682876097134</c:v>
                </c:pt>
                <c:pt idx="524">
                  <c:v>-16.592490329159613</c:v>
                </c:pt>
                <c:pt idx="525">
                  <c:v>-16.659566656725559</c:v>
                </c:pt>
                <c:pt idx="526">
                  <c:v>-16.72638355726809</c:v>
                </c:pt>
                <c:pt idx="527">
                  <c:v>-16.792944399374143</c:v>
                </c:pt>
                <c:pt idx="528">
                  <c:v>-16.859252500706397</c:v>
                </c:pt>
                <c:pt idx="529">
                  <c:v>-16.926843605479352</c:v>
                </c:pt>
                <c:pt idx="530">
                  <c:v>-16.994176954909396</c:v>
                </c:pt>
                <c:pt idx="531">
                  <c:v>-17.061255947137703</c:v>
                </c:pt>
                <c:pt idx="532">
                  <c:v>-17.128083930595224</c:v>
                </c:pt>
                <c:pt idx="533">
                  <c:v>-17.196243950362337</c:v>
                </c:pt>
                <c:pt idx="534">
                  <c:v>-17.264147834599331</c:v>
                </c:pt>
                <c:pt idx="535">
                  <c:v>-17.331799023507969</c:v>
                </c:pt>
                <c:pt idx="536">
                  <c:v>-17.399200908718669</c:v>
                </c:pt>
                <c:pt idx="537">
                  <c:v>-17.46787870105042</c:v>
                </c:pt>
                <c:pt idx="538">
                  <c:v>-17.536302766690646</c:v>
                </c:pt>
                <c:pt idx="539">
                  <c:v>-17.604476584936897</c:v>
                </c:pt>
                <c:pt idx="540">
                  <c:v>-17.672403587871731</c:v>
                </c:pt>
                <c:pt idx="541">
                  <c:v>-17.741689243543711</c:v>
                </c:pt>
                <c:pt idx="542">
                  <c:v>-17.810723372601167</c:v>
                </c:pt>
                <c:pt idx="543">
                  <c:v>-17.879509512204187</c:v>
                </c:pt>
                <c:pt idx="544">
                  <c:v>-17.948051153470878</c:v>
                </c:pt>
                <c:pt idx="545">
                  <c:v>-18.017931036622041</c:v>
                </c:pt>
                <c:pt idx="546">
                  <c:v>-18.087562215349511</c:v>
                </c:pt>
                <c:pt idx="547">
                  <c:v>-18.156948288030915</c:v>
                </c:pt>
                <c:pt idx="548">
                  <c:v>-18.226092808265197</c:v>
                </c:pt>
                <c:pt idx="549">
                  <c:v>-18.296589711729624</c:v>
                </c:pt>
                <c:pt idx="550">
                  <c:v>-18.366841151303916</c:v>
                </c:pt>
                <c:pt idx="551">
                  <c:v>-18.436850795713035</c:v>
                </c:pt>
                <c:pt idx="552">
                  <c:v>-18.506622270141449</c:v>
                </c:pt>
                <c:pt idx="553">
                  <c:v>-18.577793292600976</c:v>
                </c:pt>
                <c:pt idx="554">
                  <c:v>-18.648722350690381</c:v>
                </c:pt>
                <c:pt idx="555">
                  <c:v>-18.719413198148786</c:v>
                </c:pt>
                <c:pt idx="556">
                  <c:v>-18.789869546286944</c:v>
                </c:pt>
                <c:pt idx="557">
                  <c:v>-18.9333720552378</c:v>
                </c:pt>
                <c:pt idx="558">
                  <c:v>-19.07593833549441</c:v>
                </c:pt>
                <c:pt idx="559">
                  <c:v>-19.220835346994321</c:v>
                </c:pt>
                <c:pt idx="560">
                  <c:v>-19.364816172930229</c:v>
                </c:pt>
                <c:pt idx="561">
                  <c:v>-19.511296488438813</c:v>
                </c:pt>
                <c:pt idx="562">
                  <c:v>-19.656881936413498</c:v>
                </c:pt>
                <c:pt idx="563">
                  <c:v>-19.804701005692426</c:v>
                </c:pt>
                <c:pt idx="564">
                  <c:v>-19.951653389220496</c:v>
                </c:pt>
                <c:pt idx="565">
                  <c:v>-20.101445171492841</c:v>
                </c:pt>
                <c:pt idx="566">
                  <c:v>-20.250395430170876</c:v>
                </c:pt>
                <c:pt idx="567">
                  <c:v>-20.402171337295862</c:v>
                </c:pt>
                <c:pt idx="568">
                  <c:v>-20.553135854746923</c:v>
                </c:pt>
                <c:pt idx="569">
                  <c:v>-20.706320585052428</c:v>
                </c:pt>
                <c:pt idx="570">
                  <c:v>-20.858735108714633</c:v>
                </c:pt>
                <c:pt idx="571">
                  <c:v>-21.014569599529654</c:v>
                </c:pt>
                <c:pt idx="572">
                  <c:v>-21.169668238360995</c:v>
                </c:pt>
                <c:pt idx="573">
                  <c:v>-21.327009209002071</c:v>
                </c:pt>
                <c:pt idx="574">
                  <c:v>-21.483665253641753</c:v>
                </c:pt>
                <c:pt idx="575">
                  <c:v>-21.643757173194285</c:v>
                </c:pt>
                <c:pt idx="576">
                  <c:v>-21.803210235216042</c:v>
                </c:pt>
                <c:pt idx="577">
                  <c:v>-22.472111689680997</c:v>
                </c:pt>
                <c:pt idx="578">
                  <c:v>-23.133211344085755</c:v>
                </c:pt>
                <c:pt idx="579">
                  <c:v>-24.567442992640544</c:v>
                </c:pt>
                <c:pt idx="580">
                  <c:v>-26.140987571501284</c:v>
                </c:pt>
                <c:pt idx="581">
                  <c:v>-27.88903836941731</c:v>
                </c:pt>
                <c:pt idx="582">
                  <c:v>-29.847743475645807</c:v>
                </c:pt>
                <c:pt idx="583">
                  <c:v>-32.038176482508398</c:v>
                </c:pt>
                <c:pt idx="584">
                  <c:v>-34.46341068396633</c:v>
                </c:pt>
                <c:pt idx="585">
                  <c:v>-37.100927495874025</c:v>
                </c:pt>
                <c:pt idx="586">
                  <c:v>-39.914017258791091</c:v>
                </c:pt>
                <c:pt idx="587">
                  <c:v>-42.861887272605827</c:v>
                </c:pt>
                <c:pt idx="588">
                  <c:v>-45.902526971919848</c:v>
                </c:pt>
                <c:pt idx="589">
                  <c:v>-49.006594752672534</c:v>
                </c:pt>
                <c:pt idx="590">
                  <c:v>-52.149302318021412</c:v>
                </c:pt>
                <c:pt idx="591">
                  <c:v>-55.31423583169893</c:v>
                </c:pt>
                <c:pt idx="592">
                  <c:v>-58.489530179715416</c:v>
                </c:pt>
                <c:pt idx="593">
                  <c:v>-61.668365458289259</c:v>
                </c:pt>
                <c:pt idx="594">
                  <c:v>-64.844578857082155</c:v>
                </c:pt>
                <c:pt idx="595">
                  <c:v>-68.01503324918356</c:v>
                </c:pt>
                <c:pt idx="596">
                  <c:v>-71.176233806303358</c:v>
                </c:pt>
                <c:pt idx="597">
                  <c:v>-74.326513845897779</c:v>
                </c:pt>
                <c:pt idx="598">
                  <c:v>-77.46298686605833</c:v>
                </c:pt>
                <c:pt idx="599">
                  <c:v>-80.584404084180392</c:v>
                </c:pt>
                <c:pt idx="600">
                  <c:v>-83.688190288897488</c:v>
                </c:pt>
              </c:numCache>
            </c:numRef>
          </c:yVal>
          <c:smooth val="1"/>
          <c:extLst>
            <c:ext xmlns:c16="http://schemas.microsoft.com/office/drawing/2014/chart" uri="{C3380CC4-5D6E-409C-BE32-E72D297353CC}">
              <c16:uniqueId val="{00000002-4BA7-4FA6-AB73-85DC72E7447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7986.0978109165717</c:v>
                </c:pt>
              </c:numCache>
            </c:numRef>
          </c:xVal>
          <c:yVal>
            <c:numRef>
              <c:f>'Stability Calculations'!$D$635</c:f>
              <c:numCache>
                <c:formatCode>0.00</c:formatCode>
                <c:ptCount val="1"/>
                <c:pt idx="0">
                  <c:v>7.8333707075781582</c:v>
                </c:pt>
              </c:numCache>
            </c:numRef>
          </c:yVal>
          <c:smooth val="1"/>
          <c:extLst>
            <c:ext xmlns:c16="http://schemas.microsoft.com/office/drawing/2014/chart" uri="{C3380CC4-5D6E-409C-BE32-E72D297353CC}">
              <c16:uniqueId val="{00000004-4BA7-4FA6-AB73-85DC72E7447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0.6375890895864984</c:v>
                </c:pt>
              </c:numCache>
            </c:numRef>
          </c:xVal>
          <c:yVal>
            <c:numRef>
              <c:f>'Stability Calculations'!$U$624</c:f>
              <c:numCache>
                <c:formatCode>0.00</c:formatCode>
                <c:ptCount val="1"/>
                <c:pt idx="0">
                  <c:v>97.903674518397125</c:v>
                </c:pt>
              </c:numCache>
            </c:numRef>
          </c:yVal>
          <c:smooth val="1"/>
          <c:extLst>
            <c:ext xmlns:c16="http://schemas.microsoft.com/office/drawing/2014/chart" uri="{C3380CC4-5D6E-409C-BE32-E72D297353CC}">
              <c16:uniqueId val="{00000006-4BA7-4FA6-AB73-85DC72E7447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1604.2202951050137</c:v>
                </c:pt>
              </c:numCache>
            </c:numRef>
          </c:xVal>
          <c:yVal>
            <c:numRef>
              <c:f>'Stability Calculations'!$D$632</c:f>
              <c:numCache>
                <c:formatCode>0.00</c:formatCode>
                <c:ptCount val="1"/>
                <c:pt idx="0">
                  <c:v>30.060129489290471</c:v>
                </c:pt>
              </c:numCache>
            </c:numRef>
          </c:yVal>
          <c:smooth val="1"/>
          <c:extLst>
            <c:ext xmlns:c16="http://schemas.microsoft.com/office/drawing/2014/chart" uri="{C3380CC4-5D6E-409C-BE32-E72D297353CC}">
              <c16:uniqueId val="{00000008-4BA7-4FA6-AB73-85DC72E7447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A7-4FA6-AB73-85DC72E7447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2411438.5344508542</c:v>
                </c:pt>
              </c:numCache>
            </c:numRef>
          </c:xVal>
          <c:yVal>
            <c:numRef>
              <c:f>'Stability Calculations'!$U$623</c:f>
              <c:numCache>
                <c:formatCode>0.00</c:formatCode>
                <c:ptCount val="1"/>
                <c:pt idx="0">
                  <c:v>-112.03250325732617</c:v>
                </c:pt>
              </c:numCache>
            </c:numRef>
          </c:yVal>
          <c:smooth val="1"/>
          <c:extLst>
            <c:ext xmlns:c16="http://schemas.microsoft.com/office/drawing/2014/chart" uri="{C3380CC4-5D6E-409C-BE32-E72D297353CC}">
              <c16:uniqueId val="{0000000A-4BA7-4FA6-AB73-85DC72E7447B}"/>
            </c:ext>
          </c:extLst>
        </c:ser>
        <c:dLbls>
          <c:showLegendKey val="0"/>
          <c:showVal val="0"/>
          <c:showCatName val="0"/>
          <c:showSerName val="0"/>
          <c:showPercent val="0"/>
          <c:showBubbleSize val="0"/>
        </c:dLbls>
        <c:axId val="333063296"/>
        <c:axId val="33306521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-57.508267992066386</c:v>
                </c:pt>
                <c:pt idx="1">
                  <c:v>-59.855246653748182</c:v>
                </c:pt>
                <c:pt idx="2">
                  <c:v>-62.098000169467539</c:v>
                </c:pt>
                <c:pt idx="3">
                  <c:v>-64.228272155912265</c:v>
                </c:pt>
                <c:pt idx="4">
                  <c:v>-66.239462140027783</c:v>
                </c:pt>
                <c:pt idx="5">
                  <c:v>-68.132188981167971</c:v>
                </c:pt>
                <c:pt idx="6">
                  <c:v>-69.90330056362329</c:v>
                </c:pt>
                <c:pt idx="7">
                  <c:v>-71.555557822112306</c:v>
                </c:pt>
                <c:pt idx="8">
                  <c:v>-73.0908900652678</c:v>
                </c:pt>
                <c:pt idx="9">
                  <c:v>-74.514751435055771</c:v>
                </c:pt>
                <c:pt idx="10">
                  <c:v>-75.831417514759053</c:v>
                </c:pt>
                <c:pt idx="11">
                  <c:v>-77.046793765862915</c:v>
                </c:pt>
                <c:pt idx="12">
                  <c:v>-78.167464011814815</c:v>
                </c:pt>
                <c:pt idx="13">
                  <c:v>-79.198492327809461</c:v>
                </c:pt>
                <c:pt idx="14">
                  <c:v>-80.146860282770334</c:v>
                </c:pt>
                <c:pt idx="15">
                  <c:v>-81.018195302738278</c:v>
                </c:pt>
                <c:pt idx="16">
                  <c:v>-81.818407105849005</c:v>
                </c:pt>
                <c:pt idx="17">
                  <c:v>-82.552982735167191</c:v>
                </c:pt>
                <c:pt idx="18">
                  <c:v>-83.227445083176676</c:v>
                </c:pt>
                <c:pt idx="19">
                  <c:v>-83.846625040021607</c:v>
                </c:pt>
                <c:pt idx="20">
                  <c:v>-84.415362717995464</c:v>
                </c:pt>
                <c:pt idx="21">
                  <c:v>-84.937957404843289</c:v>
                </c:pt>
                <c:pt idx="22">
                  <c:v>-85.418642478408316</c:v>
                </c:pt>
                <c:pt idx="23">
                  <c:v>-85.861140622071161</c:v>
                </c:pt>
                <c:pt idx="24">
                  <c:v>-86.2691394366407</c:v>
                </c:pt>
                <c:pt idx="25">
                  <c:v>-86.645895620619768</c:v>
                </c:pt>
                <c:pt idx="26">
                  <c:v>-86.99458273718902</c:v>
                </c:pt>
                <c:pt idx="27">
                  <c:v>-87.317966015343515</c:v>
                </c:pt>
                <c:pt idx="28">
                  <c:v>-87.618749416746397</c:v>
                </c:pt>
                <c:pt idx="29">
                  <c:v>-87.899275850026058</c:v>
                </c:pt>
                <c:pt idx="30">
                  <c:v>-88.162358070510862</c:v>
                </c:pt>
                <c:pt idx="31">
                  <c:v>-88.409817749412369</c:v>
                </c:pt>
                <c:pt idx="32">
                  <c:v>-88.643906392046773</c:v>
                </c:pt>
                <c:pt idx="33">
                  <c:v>-88.866430378270763</c:v>
                </c:pt>
                <c:pt idx="34">
                  <c:v>-89.079439880715782</c:v>
                </c:pt>
                <c:pt idx="35">
                  <c:v>-89.284610969322785</c:v>
                </c:pt>
                <c:pt idx="36">
                  <c:v>-89.483711423205179</c:v>
                </c:pt>
                <c:pt idx="37">
                  <c:v>-89.678528770497749</c:v>
                </c:pt>
                <c:pt idx="38">
                  <c:v>-89.870524165333762</c:v>
                </c:pt>
                <c:pt idx="39">
                  <c:v>-90.06147711883338</c:v>
                </c:pt>
                <c:pt idx="40">
                  <c:v>-90.252929518780945</c:v>
                </c:pt>
                <c:pt idx="41">
                  <c:v>-90.446516184934836</c:v>
                </c:pt>
                <c:pt idx="42">
                  <c:v>-90.643845134930388</c:v>
                </c:pt>
                <c:pt idx="43">
                  <c:v>-90.846640364527033</c:v>
                </c:pt>
                <c:pt idx="44">
                  <c:v>-91.056557940423161</c:v>
                </c:pt>
                <c:pt idx="45">
                  <c:v>-91.275407383111201</c:v>
                </c:pt>
                <c:pt idx="46">
                  <c:v>-91.504982712729728</c:v>
                </c:pt>
                <c:pt idx="47">
                  <c:v>-91.747257516330492</c:v>
                </c:pt>
                <c:pt idx="48">
                  <c:v>-92.004195279173203</c:v>
                </c:pt>
                <c:pt idx="49">
                  <c:v>-92.27799976452367</c:v>
                </c:pt>
                <c:pt idx="50">
                  <c:v>-92.57089885878456</c:v>
                </c:pt>
                <c:pt idx="51">
                  <c:v>-92.885378917836547</c:v>
                </c:pt>
                <c:pt idx="52">
                  <c:v>-93.223914927615382</c:v>
                </c:pt>
                <c:pt idx="53">
                  <c:v>-93.589258612128916</c:v>
                </c:pt>
                <c:pt idx="54">
                  <c:v>-93.984080543961568</c:v>
                </c:pt>
                <c:pt idx="55">
                  <c:v>-94.412193114667133</c:v>
                </c:pt>
                <c:pt idx="56">
                  <c:v>-94.876367580020911</c:v>
                </c:pt>
                <c:pt idx="57">
                  <c:v>-95.380470117748274</c:v>
                </c:pt>
                <c:pt idx="58">
                  <c:v>-95.927906009295725</c:v>
                </c:pt>
                <c:pt idx="59">
                  <c:v>-96.523080459728931</c:v>
                </c:pt>
                <c:pt idx="60">
                  <c:v>-97.169856246237345</c:v>
                </c:pt>
                <c:pt idx="61">
                  <c:v>-97.87267554837311</c:v>
                </c:pt>
                <c:pt idx="62">
                  <c:v>-98.636457924714549</c:v>
                </c:pt>
                <c:pt idx="63">
                  <c:v>-99.465060138737513</c:v>
                </c:pt>
                <c:pt idx="64">
                  <c:v>-100.36371932216657</c:v>
                </c:pt>
                <c:pt idx="65">
                  <c:v>-101.33659577005082</c:v>
                </c:pt>
                <c:pt idx="66">
                  <c:v>-102.38798337673764</c:v>
                </c:pt>
                <c:pt idx="67">
                  <c:v>-103.52149295511369</c:v>
                </c:pt>
                <c:pt idx="68">
                  <c:v>-104.74055162458464</c:v>
                </c:pt>
                <c:pt idx="69">
                  <c:v>-106.04696855875534</c:v>
                </c:pt>
                <c:pt idx="70">
                  <c:v>-107.44183669827342</c:v>
                </c:pt>
                <c:pt idx="71">
                  <c:v>-108.92403378888933</c:v>
                </c:pt>
                <c:pt idx="72">
                  <c:v>-110.49096775258117</c:v>
                </c:pt>
                <c:pt idx="73">
                  <c:v>-112.13685976204245</c:v>
                </c:pt>
                <c:pt idx="74">
                  <c:v>-113.85388135926173</c:v>
                </c:pt>
                <c:pt idx="75">
                  <c:v>-115.63036998728727</c:v>
                </c:pt>
                <c:pt idx="76">
                  <c:v>-117.45200273279006</c:v>
                </c:pt>
                <c:pt idx="77">
                  <c:v>-119.30010855780317</c:v>
                </c:pt>
                <c:pt idx="78">
                  <c:v>-121.15352463882837</c:v>
                </c:pt>
                <c:pt idx="79">
                  <c:v>-122.98721705945698</c:v>
                </c:pt>
                <c:pt idx="80">
                  <c:v>-124.77837411413964</c:v>
                </c:pt>
                <c:pt idx="81">
                  <c:v>-126.49743280262605</c:v>
                </c:pt>
                <c:pt idx="82">
                  <c:v>-128.118425425477</c:v>
                </c:pt>
                <c:pt idx="83">
                  <c:v>-129.61403207124064</c:v>
                </c:pt>
                <c:pt idx="84">
                  <c:v>-130.96118044959391</c:v>
                </c:pt>
                <c:pt idx="85">
                  <c:v>-132.13770340812454</c:v>
                </c:pt>
                <c:pt idx="86">
                  <c:v>-133.12607122563452</c:v>
                </c:pt>
                <c:pt idx="87">
                  <c:v>-133.9130692226563</c:v>
                </c:pt>
                <c:pt idx="88">
                  <c:v>-134.48888470715985</c:v>
                </c:pt>
                <c:pt idx="89">
                  <c:v>-134.84977952712907</c:v>
                </c:pt>
                <c:pt idx="90">
                  <c:v>-134.99623814588352</c:v>
                </c:pt>
                <c:pt idx="91">
                  <c:v>-134.9339970054821</c:v>
                </c:pt>
                <c:pt idx="92">
                  <c:v>-134.67377209984005</c:v>
                </c:pt>
                <c:pt idx="93">
                  <c:v>-134.23098226235334</c:v>
                </c:pt>
                <c:pt idx="94">
                  <c:v>-134.09407925561442</c:v>
                </c:pt>
                <c:pt idx="95">
                  <c:v>-134.02147197207785</c:v>
                </c:pt>
                <c:pt idx="96">
                  <c:v>-133.94730106702855</c:v>
                </c:pt>
                <c:pt idx="97">
                  <c:v>-133.86990475345519</c:v>
                </c:pt>
                <c:pt idx="98">
                  <c:v>-133.79109450935616</c:v>
                </c:pt>
                <c:pt idx="99">
                  <c:v>-133.70908281167468</c:v>
                </c:pt>
                <c:pt idx="100">
                  <c:v>-133.62580771498318</c:v>
                </c:pt>
                <c:pt idx="101">
                  <c:v>-133.53942518167699</c:v>
                </c:pt>
                <c:pt idx="102">
                  <c:v>-133.45193230503227</c:v>
                </c:pt>
                <c:pt idx="103">
                  <c:v>-133.36130340689519</c:v>
                </c:pt>
                <c:pt idx="104">
                  <c:v>-133.26971622643214</c:v>
                </c:pt>
                <c:pt idx="105">
                  <c:v>-133.17510151846824</c:v>
                </c:pt>
                <c:pt idx="106">
                  <c:v>-133.07968267589828</c:v>
                </c:pt>
                <c:pt idx="107">
                  <c:v>-132.98135447686263</c:v>
                </c:pt>
                <c:pt idx="108">
                  <c:v>-132.88237748085677</c:v>
                </c:pt>
                <c:pt idx="109">
                  <c:v>-132.78054829845851</c:v>
                </c:pt>
                <c:pt idx="110">
                  <c:v>-132.67822538025428</c:v>
                </c:pt>
                <c:pt idx="111">
                  <c:v>-132.57304315482384</c:v>
                </c:pt>
                <c:pt idx="112">
                  <c:v>-132.46752154083561</c:v>
                </c:pt>
                <c:pt idx="113">
                  <c:v>-132.35927940644686</c:v>
                </c:pt>
                <c:pt idx="114">
                  <c:v>-132.25085253492753</c:v>
                </c:pt>
                <c:pt idx="115">
                  <c:v>-132.13978064601548</c:v>
                </c:pt>
                <c:pt idx="116">
                  <c:v>-132.02867811778609</c:v>
                </c:pt>
                <c:pt idx="117">
                  <c:v>-131.91501240623188</c:v>
                </c:pt>
                <c:pt idx="118">
                  <c:v>-131.8014694391095</c:v>
                </c:pt>
                <c:pt idx="119">
                  <c:v>-131.68552173877521</c:v>
                </c:pt>
                <c:pt idx="120">
                  <c:v>-131.5698488844431</c:v>
                </c:pt>
                <c:pt idx="121">
                  <c:v>-131.45186493700862</c:v>
                </c:pt>
                <c:pt idx="122">
                  <c:v>-131.33430639543226</c:v>
                </c:pt>
                <c:pt idx="123">
                  <c:v>-131.21446686519184</c:v>
                </c:pt>
                <c:pt idx="124">
                  <c:v>-131.09520226222213</c:v>
                </c:pt>
                <c:pt idx="125">
                  <c:v>-130.97383166650141</c:v>
                </c:pt>
                <c:pt idx="126">
                  <c:v>-130.85318307242898</c:v>
                </c:pt>
                <c:pt idx="127">
                  <c:v>-130.73053910224303</c:v>
                </c:pt>
                <c:pt idx="128">
                  <c:v>-130.60876198892302</c:v>
                </c:pt>
                <c:pt idx="129">
                  <c:v>-130.48510535640969</c:v>
                </c:pt>
                <c:pt idx="130">
                  <c:v>-130.36245796472383</c:v>
                </c:pt>
                <c:pt idx="131">
                  <c:v>-130.23805190777151</c:v>
                </c:pt>
                <c:pt idx="132">
                  <c:v>-130.17627707458385</c:v>
                </c:pt>
                <c:pt idx="133">
                  <c:v>-130.11479474158622</c:v>
                </c:pt>
                <c:pt idx="134">
                  <c:v>-130.05215908221115</c:v>
                </c:pt>
                <c:pt idx="135">
                  <c:v>-129.98984033002924</c:v>
                </c:pt>
                <c:pt idx="136">
                  <c:v>-129.92784335637458</c:v>
                </c:pt>
                <c:pt idx="137">
                  <c:v>-129.86617280260708</c:v>
                </c:pt>
                <c:pt idx="138">
                  <c:v>-129.80344431597319</c:v>
                </c:pt>
                <c:pt idx="139">
                  <c:v>-129.74106635393031</c:v>
                </c:pt>
                <c:pt idx="140">
                  <c:v>-129.6790431822121</c:v>
                </c:pt>
                <c:pt idx="141">
                  <c:v>-129.61737884613433</c:v>
                </c:pt>
                <c:pt idx="142">
                  <c:v>-129.55462793771349</c:v>
                </c:pt>
                <c:pt idx="143">
                  <c:v>-129.49226098798928</c:v>
                </c:pt>
                <c:pt idx="144">
                  <c:v>-129.43028166586737</c:v>
                </c:pt>
                <c:pt idx="145">
                  <c:v>-129.3686934289326</c:v>
                </c:pt>
                <c:pt idx="146">
                  <c:v>-129.30608672564591</c:v>
                </c:pt>
                <c:pt idx="147">
                  <c:v>-129.24389611196159</c:v>
                </c:pt>
                <c:pt idx="148">
                  <c:v>-129.18212465044172</c:v>
                </c:pt>
                <c:pt idx="149">
                  <c:v>-129.12077520229749</c:v>
                </c:pt>
                <c:pt idx="150">
                  <c:v>-129.05844681251745</c:v>
                </c:pt>
                <c:pt idx="151">
                  <c:v>-128.99656562079025</c:v>
                </c:pt>
                <c:pt idx="152">
                  <c:v>-128.9351340821365</c:v>
                </c:pt>
                <c:pt idx="153">
                  <c:v>-128.87415446059813</c:v>
                </c:pt>
                <c:pt idx="154">
                  <c:v>-128.81220951854067</c:v>
                </c:pt>
                <c:pt idx="155">
                  <c:v>-128.7507422369178</c:v>
                </c:pt>
                <c:pt idx="156">
                  <c:v>-128.68975446610096</c:v>
                </c:pt>
                <c:pt idx="157">
                  <c:v>-128.62924787591049</c:v>
                </c:pt>
                <c:pt idx="158">
                  <c:v>-128.56782166313249</c:v>
                </c:pt>
                <c:pt idx="159">
                  <c:v>-128.50690246060466</c:v>
                </c:pt>
                <c:pt idx="160">
                  <c:v>-128.44649151421166</c:v>
                </c:pt>
                <c:pt idx="161">
                  <c:v>-128.38658990013451</c:v>
                </c:pt>
                <c:pt idx="162">
                  <c:v>-128.32584318924191</c:v>
                </c:pt>
                <c:pt idx="163">
                  <c:v>-128.26563118980135</c:v>
                </c:pt>
                <c:pt idx="164">
                  <c:v>-128.20595454462148</c:v>
                </c:pt>
                <c:pt idx="165">
                  <c:v>-128.14681373831161</c:v>
                </c:pt>
                <c:pt idx="166">
                  <c:v>-128.08682517306443</c:v>
                </c:pt>
                <c:pt idx="167">
                  <c:v>-128.02739872189582</c:v>
                </c:pt>
                <c:pt idx="168">
                  <c:v>-127.9685344304477</c:v>
                </c:pt>
                <c:pt idx="169">
                  <c:v>-127.9102321974558</c:v>
                </c:pt>
                <c:pt idx="170">
                  <c:v>-127.85125887109589</c:v>
                </c:pt>
                <c:pt idx="171">
                  <c:v>-127.79287132873986</c:v>
                </c:pt>
                <c:pt idx="172">
                  <c:v>-127.73506902711161</c:v>
                </c:pt>
                <c:pt idx="173">
                  <c:v>-127.67785128879092</c:v>
                </c:pt>
                <c:pt idx="174">
                  <c:v>-127.6197970966796</c:v>
                </c:pt>
                <c:pt idx="175">
                  <c:v>-127.56235546414476</c:v>
                </c:pt>
                <c:pt idx="176">
                  <c:v>-127.50552526035699</c:v>
                </c:pt>
                <c:pt idx="177">
                  <c:v>-127.44930523135618</c:v>
                </c:pt>
                <c:pt idx="178">
                  <c:v>-127.3923341736261</c:v>
                </c:pt>
                <c:pt idx="179">
                  <c:v>-127.33600063144814</c:v>
                </c:pt>
                <c:pt idx="180">
                  <c:v>-127.28030289089214</c:v>
                </c:pt>
                <c:pt idx="181">
                  <c:v>-127.22523912657559</c:v>
                </c:pt>
                <c:pt idx="182">
                  <c:v>-127.16972520589893</c:v>
                </c:pt>
                <c:pt idx="183">
                  <c:v>-127.11486670722856</c:v>
                </c:pt>
                <c:pt idx="184">
                  <c:v>-127.06066137015735</c:v>
                </c:pt>
                <c:pt idx="185">
                  <c:v>-127.00710683652296</c:v>
                </c:pt>
                <c:pt idx="186">
                  <c:v>-126.95275744834105</c:v>
                </c:pt>
                <c:pt idx="187">
                  <c:v>-126.89908974259677</c:v>
                </c:pt>
                <c:pt idx="188">
                  <c:v>-126.84610087297158</c:v>
                </c:pt>
                <c:pt idx="189">
                  <c:v>-126.79378790638324</c:v>
                </c:pt>
                <c:pt idx="190">
                  <c:v>-126.74116885347382</c:v>
                </c:pt>
                <c:pt idx="191">
                  <c:v>-126.68924534360934</c:v>
                </c:pt>
                <c:pt idx="192">
                  <c:v>-126.63801402623477</c:v>
                </c:pt>
                <c:pt idx="193">
                  <c:v>-126.58747147790386</c:v>
                </c:pt>
                <c:pt idx="194">
                  <c:v>-126.53631627388104</c:v>
                </c:pt>
                <c:pt idx="195">
                  <c:v>-126.48587890687941</c:v>
                </c:pt>
                <c:pt idx="196">
                  <c:v>-126.4361554678738</c:v>
                </c:pt>
                <c:pt idx="197">
                  <c:v>-126.38714198672943</c:v>
                </c:pt>
                <c:pt idx="198">
                  <c:v>-126.33778447486364</c:v>
                </c:pt>
                <c:pt idx="199">
                  <c:v>-126.28915979548327</c:v>
                </c:pt>
                <c:pt idx="200">
                  <c:v>-126.24126354243445</c:v>
                </c:pt>
                <c:pt idx="201">
                  <c:v>-126.19409126134431</c:v>
                </c:pt>
                <c:pt idx="202">
                  <c:v>-126.14665087689259</c:v>
                </c:pt>
                <c:pt idx="203">
                  <c:v>-126.09995629371645</c:v>
                </c:pt>
                <c:pt idx="204">
                  <c:v>-126.05400263530932</c:v>
                </c:pt>
                <c:pt idx="205">
                  <c:v>-126.00878498969493</c:v>
                </c:pt>
                <c:pt idx="206">
                  <c:v>-125.96321870456377</c:v>
                </c:pt>
                <c:pt idx="207">
                  <c:v>-125.91841436697889</c:v>
                </c:pt>
                <c:pt idx="208">
                  <c:v>-125.87436660392797</c:v>
                </c:pt>
                <c:pt idx="209">
                  <c:v>-125.83107001913916</c:v>
                </c:pt>
                <c:pt idx="210">
                  <c:v>-125.78736780699205</c:v>
                </c:pt>
                <c:pt idx="211">
                  <c:v>-125.74444674740084</c:v>
                </c:pt>
                <c:pt idx="212">
                  <c:v>-125.70230093596501</c:v>
                </c:pt>
                <c:pt idx="213">
                  <c:v>-125.660924457147</c:v>
                </c:pt>
                <c:pt idx="214">
                  <c:v>-125.61950954453067</c:v>
                </c:pt>
                <c:pt idx="215">
                  <c:v>-125.57888248959337</c:v>
                </c:pt>
                <c:pt idx="216">
                  <c:v>-125.53903700065992</c:v>
                </c:pt>
                <c:pt idx="217">
                  <c:v>-125.49996678723775</c:v>
                </c:pt>
                <c:pt idx="218">
                  <c:v>-125.46080116259307</c:v>
                </c:pt>
                <c:pt idx="219">
                  <c:v>-125.42243327592399</c:v>
                </c:pt>
                <c:pt idx="220">
                  <c:v>-125.38485641875046</c:v>
                </c:pt>
                <c:pt idx="221">
                  <c:v>-125.34806389571484</c:v>
                </c:pt>
                <c:pt idx="222">
                  <c:v>-125.31125495808122</c:v>
                </c:pt>
                <c:pt idx="223">
                  <c:v>-125.27525161716632</c:v>
                </c:pt>
                <c:pt idx="224">
                  <c:v>-125.24004677851661</c:v>
                </c:pt>
                <c:pt idx="225">
                  <c:v>-125.20563337242272</c:v>
                </c:pt>
                <c:pt idx="226">
                  <c:v>-125.17117620724107</c:v>
                </c:pt>
                <c:pt idx="227">
                  <c:v>-125.13753546576102</c:v>
                </c:pt>
                <c:pt idx="228">
                  <c:v>-125.10470363154214</c:v>
                </c:pt>
                <c:pt idx="229">
                  <c:v>-125.07267322455073</c:v>
                </c:pt>
                <c:pt idx="230">
                  <c:v>-125.00952605098894</c:v>
                </c:pt>
                <c:pt idx="231">
                  <c:v>-124.97918222757338</c:v>
                </c:pt>
                <c:pt idx="232">
                  <c:v>-124.94964775014043</c:v>
                </c:pt>
                <c:pt idx="233">
                  <c:v>-124.92024239616623</c:v>
                </c:pt>
                <c:pt idx="234">
                  <c:v>-124.89166875936684</c:v>
                </c:pt>
                <c:pt idx="235">
                  <c:v>-124.86391857223144</c:v>
                </c:pt>
                <c:pt idx="236">
                  <c:v>-124.83698362617102</c:v>
                </c:pt>
                <c:pt idx="237">
                  <c:v>-124.81033394000571</c:v>
                </c:pt>
                <c:pt idx="238">
                  <c:v>-124.78451584199733</c:v>
                </c:pt>
                <c:pt idx="239">
                  <c:v>-124.75952081124217</c:v>
                </c:pt>
                <c:pt idx="240">
                  <c:v>-124.73534039560984</c:v>
                </c:pt>
                <c:pt idx="241">
                  <c:v>-124.71137907408817</c:v>
                </c:pt>
                <c:pt idx="242">
                  <c:v>-124.68825677563859</c:v>
                </c:pt>
                <c:pt idx="243">
                  <c:v>-124.66596461435105</c:v>
                </c:pt>
                <c:pt idx="244">
                  <c:v>-124.64449378398676</c:v>
                </c:pt>
                <c:pt idx="245">
                  <c:v>-124.62338689592967</c:v>
                </c:pt>
                <c:pt idx="246">
                  <c:v>-124.6031197963147</c:v>
                </c:pt>
                <c:pt idx="247">
                  <c:v>-124.58368334224978</c:v>
                </c:pt>
                <c:pt idx="248">
                  <c:v>-124.56506848003649</c:v>
                </c:pt>
                <c:pt idx="249">
                  <c:v>-124.54684212145857</c:v>
                </c:pt>
                <c:pt idx="250">
                  <c:v>-124.5294589761708</c:v>
                </c:pt>
                <c:pt idx="251">
                  <c:v>-124.51290960462816</c:v>
                </c:pt>
                <c:pt idx="252">
                  <c:v>-124.49718466639453</c:v>
                </c:pt>
                <c:pt idx="253">
                  <c:v>-124.48196811217555</c:v>
                </c:pt>
                <c:pt idx="254">
                  <c:v>-124.46759188696502</c:v>
                </c:pt>
                <c:pt idx="255">
                  <c:v>-124.45404636435676</c:v>
                </c:pt>
                <c:pt idx="256">
                  <c:v>-124.44132202528925</c:v>
                </c:pt>
                <c:pt idx="257">
                  <c:v>-124.42911154586605</c:v>
                </c:pt>
                <c:pt idx="258">
                  <c:v>-124.4177453980666</c:v>
                </c:pt>
                <c:pt idx="259">
                  <c:v>-124.40721365368283</c:v>
                </c:pt>
                <c:pt idx="260">
                  <c:v>-124.39750650169249</c:v>
                </c:pt>
                <c:pt idx="261">
                  <c:v>-124.38842154636735</c:v>
                </c:pt>
                <c:pt idx="262">
                  <c:v>-124.38017870608168</c:v>
                </c:pt>
                <c:pt idx="263">
                  <c:v>-124.37276786177564</c:v>
                </c:pt>
                <c:pt idx="264">
                  <c:v>-124.3661790196152</c:v>
                </c:pt>
                <c:pt idx="265">
                  <c:v>-124.36028308816</c:v>
                </c:pt>
                <c:pt idx="266">
                  <c:v>-124.35522537676447</c:v>
                </c:pt>
                <c:pt idx="267">
                  <c:v>-124.35099561018423</c:v>
                </c:pt>
                <c:pt idx="268">
                  <c:v>-124.34758364571903</c:v>
                </c:pt>
                <c:pt idx="269">
                  <c:v>-124.3449264781552</c:v>
                </c:pt>
                <c:pt idx="270">
                  <c:v>-124.34310598403616</c:v>
                </c:pt>
                <c:pt idx="271">
                  <c:v>-124.34211169228641</c:v>
                </c:pt>
                <c:pt idx="272">
                  <c:v>-124.34193327225989</c:v>
                </c:pt>
                <c:pt idx="273">
                  <c:v>-124.34258496905865</c:v>
                </c:pt>
                <c:pt idx="274">
                  <c:v>-124.34407001772682</c:v>
                </c:pt>
                <c:pt idx="275">
                  <c:v>-124.34637778685261</c:v>
                </c:pt>
                <c:pt idx="276">
                  <c:v>-124.34949779262399</c:v>
                </c:pt>
                <c:pt idx="277">
                  <c:v>-124.35350944105727</c:v>
                </c:pt>
                <c:pt idx="278">
                  <c:v>-124.35834575246005</c:v>
                </c:pt>
                <c:pt idx="279">
                  <c:v>-124.36399604181599</c:v>
                </c:pt>
                <c:pt idx="280">
                  <c:v>-124.37044977675846</c:v>
                </c:pt>
                <c:pt idx="281">
                  <c:v>-124.37790381289096</c:v>
                </c:pt>
                <c:pt idx="282">
                  <c:v>-124.38618337564905</c:v>
                </c:pt>
                <c:pt idx="283">
                  <c:v>-124.39527754332988</c:v>
                </c:pt>
                <c:pt idx="284">
                  <c:v>-124.40517555533474</c:v>
                </c:pt>
                <c:pt idx="285">
                  <c:v>-124.41608621456741</c:v>
                </c:pt>
                <c:pt idx="286">
                  <c:v>-124.42781073275185</c:v>
                </c:pt>
                <c:pt idx="287">
                  <c:v>-124.4403382012987</c:v>
                </c:pt>
                <c:pt idx="288">
                  <c:v>-124.45365787618972</c:v>
                </c:pt>
                <c:pt idx="289">
                  <c:v>-124.46813413923977</c:v>
                </c:pt>
                <c:pt idx="290">
                  <c:v>-124.48342172953086</c:v>
                </c:pt>
                <c:pt idx="291">
                  <c:v>-124.49950957167306</c:v>
                </c:pt>
                <c:pt idx="292">
                  <c:v>-124.51638676181126</c:v>
                </c:pt>
                <c:pt idx="293">
                  <c:v>-124.53445969712125</c:v>
                </c:pt>
                <c:pt idx="294">
                  <c:v>-124.55333633172661</c:v>
                </c:pt>
                <c:pt idx="295">
                  <c:v>-124.57300552830422</c:v>
                </c:pt>
                <c:pt idx="296">
                  <c:v>-124.59345632581402</c:v>
                </c:pt>
                <c:pt idx="297">
                  <c:v>-124.61516609377895</c:v>
                </c:pt>
                <c:pt idx="298">
                  <c:v>-124.63767053926034</c:v>
                </c:pt>
                <c:pt idx="299">
                  <c:v>-124.6609584947627</c:v>
                </c:pt>
                <c:pt idx="300">
                  <c:v>-124.68501897304186</c:v>
                </c:pt>
                <c:pt idx="301">
                  <c:v>-124.71039796242954</c:v>
                </c:pt>
                <c:pt idx="302">
                  <c:v>-124.73656133245409</c:v>
                </c:pt>
                <c:pt idx="303">
                  <c:v>-124.76349791549637</c:v>
                </c:pt>
                <c:pt idx="304">
                  <c:v>-124.79119672738901</c:v>
                </c:pt>
                <c:pt idx="305">
                  <c:v>-124.8203833375882</c:v>
                </c:pt>
                <c:pt idx="306">
                  <c:v>-124.85034878710141</c:v>
                </c:pt>
                <c:pt idx="307">
                  <c:v>-124.88108180844405</c:v>
                </c:pt>
                <c:pt idx="308">
                  <c:v>-124.91257132288662</c:v>
                </c:pt>
                <c:pt idx="309">
                  <c:v>-124.94549366454818</c:v>
                </c:pt>
                <c:pt idx="310">
                  <c:v>-124.97918196035603</c:v>
                </c:pt>
                <c:pt idx="311">
                  <c:v>-125.01362500331099</c:v>
                </c:pt>
                <c:pt idx="312">
                  <c:v>-125.04881177681564</c:v>
                </c:pt>
                <c:pt idx="313">
                  <c:v>-125.08561660640373</c:v>
                </c:pt>
                <c:pt idx="314">
                  <c:v>-125.12317908254803</c:v>
                </c:pt>
                <c:pt idx="315">
                  <c:v>-125.1614879609603</c:v>
                </c:pt>
                <c:pt idx="316">
                  <c:v>-125.20053219150824</c:v>
                </c:pt>
                <c:pt idx="317">
                  <c:v>-125.24125653096273</c:v>
                </c:pt>
                <c:pt idx="318">
                  <c:v>-125.28272882265659</c:v>
                </c:pt>
                <c:pt idx="319">
                  <c:v>-125.32493781638667</c:v>
                </c:pt>
                <c:pt idx="320">
                  <c:v>-125.36787245907522</c:v>
                </c:pt>
                <c:pt idx="321">
                  <c:v>-125.41254541273632</c:v>
                </c:pt>
                <c:pt idx="322">
                  <c:v>-125.45795535883505</c:v>
                </c:pt>
                <c:pt idx="323">
                  <c:v>-125.50409107078431</c:v>
                </c:pt>
                <c:pt idx="324">
                  <c:v>-125.55094152132713</c:v>
                </c:pt>
                <c:pt idx="325">
                  <c:v>-125.59958475634399</c:v>
                </c:pt>
                <c:pt idx="326">
                  <c:v>-125.64895287767521</c:v>
                </c:pt>
                <c:pt idx="327">
                  <c:v>-125.69903470991613</c:v>
                </c:pt>
                <c:pt idx="328">
                  <c:v>-125.74981927846071</c:v>
                </c:pt>
                <c:pt idx="329">
                  <c:v>-125.80253611235824</c:v>
                </c:pt>
                <c:pt idx="330">
                  <c:v>-125.85596705988092</c:v>
                </c:pt>
                <c:pt idx="331">
                  <c:v>-125.91010096706907</c:v>
                </c:pt>
                <c:pt idx="332">
                  <c:v>-125.9649268828647</c:v>
                </c:pt>
                <c:pt idx="333">
                  <c:v>-126.02164619181612</c:v>
                </c:pt>
                <c:pt idx="334">
                  <c:v>-126.07906539078189</c:v>
                </c:pt>
                <c:pt idx="335">
                  <c:v>-126.13717342895805</c:v>
                </c:pt>
                <c:pt idx="336">
                  <c:v>-126.19595945848862</c:v>
                </c:pt>
                <c:pt idx="337">
                  <c:v>-126.2568783103001</c:v>
                </c:pt>
                <c:pt idx="338">
                  <c:v>-126.31848637874235</c:v>
                </c:pt>
                <c:pt idx="339">
                  <c:v>-126.38077263324246</c:v>
                </c:pt>
                <c:pt idx="340">
                  <c:v>-126.44372624817571</c:v>
                </c:pt>
                <c:pt idx="341">
                  <c:v>-126.50886633419221</c:v>
                </c:pt>
                <c:pt idx="342">
                  <c:v>-126.57468376193373</c:v>
                </c:pt>
                <c:pt idx="343">
                  <c:v>-126.64116754922701</c:v>
                </c:pt>
                <c:pt idx="344">
                  <c:v>-126.70830692010512</c:v>
                </c:pt>
                <c:pt idx="345">
                  <c:v>-126.77757657222533</c:v>
                </c:pt>
                <c:pt idx="346">
                  <c:v>-126.84750860376398</c:v>
                </c:pt>
                <c:pt idx="347">
                  <c:v>-126.91809215633066</c:v>
                </c:pt>
                <c:pt idx="348">
                  <c:v>-126.98931657705134</c:v>
                </c:pt>
                <c:pt idx="349">
                  <c:v>-127.06293175965575</c:v>
                </c:pt>
                <c:pt idx="350">
                  <c:v>-127.13719746458048</c:v>
                </c:pt>
                <c:pt idx="351">
                  <c:v>-127.21210288149656</c:v>
                </c:pt>
                <c:pt idx="352">
                  <c:v>-127.28763740674889</c:v>
                </c:pt>
                <c:pt idx="353">
                  <c:v>-127.365611267519</c:v>
                </c:pt>
                <c:pt idx="354">
                  <c:v>-127.44422270070994</c:v>
                </c:pt>
                <c:pt idx="355">
                  <c:v>-127.52346097023381</c:v>
                </c:pt>
                <c:pt idx="356">
                  <c:v>-127.60331554713211</c:v>
                </c:pt>
                <c:pt idx="357">
                  <c:v>-127.68553700565325</c:v>
                </c:pt>
                <c:pt idx="358">
                  <c:v>-127.76838035383757</c:v>
                </c:pt>
                <c:pt idx="359">
                  <c:v>-127.85183499876919</c:v>
                </c:pt>
                <c:pt idx="360">
                  <c:v>-127.93589055329895</c:v>
                </c:pt>
                <c:pt idx="361">
                  <c:v>-128.02259098542228</c:v>
                </c:pt>
                <c:pt idx="362">
                  <c:v>-128.10990032755896</c:v>
                </c:pt>
                <c:pt idx="363">
                  <c:v>-128.19780806118277</c:v>
                </c:pt>
                <c:pt idx="364">
                  <c:v>-128.28630387390481</c:v>
                </c:pt>
                <c:pt idx="365">
                  <c:v>-128.37736356033767</c:v>
                </c:pt>
                <c:pt idx="366">
                  <c:v>-128.46901660063855</c:v>
                </c:pt>
                <c:pt idx="367">
                  <c:v>-128.56125261665358</c:v>
                </c:pt>
                <c:pt idx="368">
                  <c:v>-128.65406143498521</c:v>
                </c:pt>
                <c:pt idx="369">
                  <c:v>-128.74972359559533</c:v>
                </c:pt>
                <c:pt idx="370">
                  <c:v>-128.8459659414961</c:v>
                </c:pt>
                <c:pt idx="371">
                  <c:v>-128.94277817192682</c:v>
                </c:pt>
                <c:pt idx="372">
                  <c:v>-129.0401501911293</c:v>
                </c:pt>
                <c:pt idx="373">
                  <c:v>-129.14028615505339</c:v>
                </c:pt>
                <c:pt idx="374">
                  <c:v>-129.240986719825</c:v>
                </c:pt>
                <c:pt idx="375">
                  <c:v>-129.34224172511801</c:v>
                </c:pt>
                <c:pt idx="376">
                  <c:v>-129.44404121417321</c:v>
                </c:pt>
                <c:pt idx="377">
                  <c:v>-129.5489039529819</c:v>
                </c:pt>
                <c:pt idx="378">
                  <c:v>-129.65431781178489</c:v>
                </c:pt>
                <c:pt idx="379">
                  <c:v>-129.76027271311835</c:v>
                </c:pt>
                <c:pt idx="380">
                  <c:v>-129.86675878317703</c:v>
                </c:pt>
                <c:pt idx="381">
                  <c:v>-129.97607470252609</c:v>
                </c:pt>
                <c:pt idx="382">
                  <c:v>-130.08592469765586</c:v>
                </c:pt>
                <c:pt idx="383">
                  <c:v>-130.1962988705414</c:v>
                </c:pt>
                <c:pt idx="384">
                  <c:v>-130.30718752431079</c:v>
                </c:pt>
                <c:pt idx="385">
                  <c:v>-130.42134817566128</c:v>
                </c:pt>
                <c:pt idx="386">
                  <c:v>-130.53602913245018</c:v>
                </c:pt>
                <c:pt idx="387">
                  <c:v>-130.65122058492983</c:v>
                </c:pt>
                <c:pt idx="388">
                  <c:v>-130.76691292446748</c:v>
                </c:pt>
                <c:pt idx="389">
                  <c:v>-130.88577171813247</c:v>
                </c:pt>
                <c:pt idx="390">
                  <c:v>-131.0051349606685</c:v>
                </c:pt>
                <c:pt idx="391">
                  <c:v>-131.12499298777129</c:v>
                </c:pt>
                <c:pt idx="392">
                  <c:v>-131.24533633468047</c:v>
                </c:pt>
                <c:pt idx="393">
                  <c:v>-131.36887456443424</c:v>
                </c:pt>
                <c:pt idx="394">
                  <c:v>-131.49290076410372</c:v>
                </c:pt>
                <c:pt idx="395">
                  <c:v>-131.6174054326423</c:v>
                </c:pt>
                <c:pt idx="396">
                  <c:v>-131.74237926650451</c:v>
                </c:pt>
                <c:pt idx="397">
                  <c:v>-131.87086401541364</c:v>
                </c:pt>
                <c:pt idx="398">
                  <c:v>-131.999821842345</c:v>
                </c:pt>
                <c:pt idx="399">
                  <c:v>-132.12924336277948</c:v>
                </c:pt>
                <c:pt idx="400">
                  <c:v>-132.25911938898417</c:v>
                </c:pt>
                <c:pt idx="401">
                  <c:v>-132.39238779351606</c:v>
                </c:pt>
                <c:pt idx="402">
                  <c:v>-132.52611263269071</c:v>
                </c:pt>
                <c:pt idx="403">
                  <c:v>-132.6602846897317</c:v>
                </c:pt>
                <c:pt idx="404">
                  <c:v>-132.79489494255421</c:v>
                </c:pt>
                <c:pt idx="405">
                  <c:v>-132.93306963819884</c:v>
                </c:pt>
                <c:pt idx="406">
                  <c:v>-133.07168457309126</c:v>
                </c:pt>
                <c:pt idx="407">
                  <c:v>-133.21073068512106</c:v>
                </c:pt>
                <c:pt idx="408">
                  <c:v>-133.35019910519358</c:v>
                </c:pt>
                <c:pt idx="409">
                  <c:v>-133.49340585367847</c:v>
                </c:pt>
                <c:pt idx="410">
                  <c:v>-133.63703698145537</c:v>
                </c:pt>
                <c:pt idx="411">
                  <c:v>-133.78108357071068</c:v>
                </c:pt>
                <c:pt idx="412">
                  <c:v>-133.9255368953354</c:v>
                </c:pt>
                <c:pt idx="413">
                  <c:v>-134.07375106252525</c:v>
                </c:pt>
                <c:pt idx="414">
                  <c:v>-134.22237315347317</c:v>
                </c:pt>
                <c:pt idx="415">
                  <c:v>-134.37139441359105</c:v>
                </c:pt>
                <c:pt idx="416">
                  <c:v>-134.52080627822752</c:v>
                </c:pt>
                <c:pt idx="417">
                  <c:v>-134.67415309535286</c:v>
                </c:pt>
                <c:pt idx="418">
                  <c:v>-134.82789166713451</c:v>
                </c:pt>
                <c:pt idx="419">
                  <c:v>-134.98201339382641</c:v>
                </c:pt>
                <c:pt idx="420">
                  <c:v>-135.13650986418997</c:v>
                </c:pt>
                <c:pt idx="421">
                  <c:v>-135.29480448589621</c:v>
                </c:pt>
                <c:pt idx="422">
                  <c:v>-135.45347343570816</c:v>
                </c:pt>
                <c:pt idx="423">
                  <c:v>-135.61250831190418</c:v>
                </c:pt>
                <c:pt idx="424">
                  <c:v>-135.77190089868355</c:v>
                </c:pt>
                <c:pt idx="425">
                  <c:v>-135.93557816820677</c:v>
                </c:pt>
                <c:pt idx="426">
                  <c:v>-136.09961408483943</c:v>
                </c:pt>
                <c:pt idx="427">
                  <c:v>-136.26400038856983</c:v>
                </c:pt>
                <c:pt idx="428">
                  <c:v>-136.4287290044997</c:v>
                </c:pt>
                <c:pt idx="429">
                  <c:v>-136.59760140813287</c:v>
                </c:pt>
                <c:pt idx="430">
                  <c:v>-136.76681556528433</c:v>
                </c:pt>
                <c:pt idx="431">
                  <c:v>-136.93636340128037</c:v>
                </c:pt>
                <c:pt idx="432">
                  <c:v>-137.10623702460165</c:v>
                </c:pt>
                <c:pt idx="433">
                  <c:v>-137.28026763396983</c:v>
                </c:pt>
                <c:pt idx="434">
                  <c:v>-137.45462275762077</c:v>
                </c:pt>
                <c:pt idx="435">
                  <c:v>-137.6292945230133</c:v>
                </c:pt>
                <c:pt idx="436">
                  <c:v>-137.80427523843403</c:v>
                </c:pt>
                <c:pt idx="437">
                  <c:v>-137.98374589332116</c:v>
                </c:pt>
                <c:pt idx="438">
                  <c:v>-138.16352466889887</c:v>
                </c:pt>
                <c:pt idx="439">
                  <c:v>-138.34360386923098</c:v>
                </c:pt>
                <c:pt idx="440">
                  <c:v>-138.5239759778232</c:v>
                </c:pt>
                <c:pt idx="441">
                  <c:v>-138.70884964753373</c:v>
                </c:pt>
                <c:pt idx="442">
                  <c:v>-138.89401467544857</c:v>
                </c:pt>
                <c:pt idx="443">
                  <c:v>-139.07946356145456</c:v>
                </c:pt>
                <c:pt idx="444">
                  <c:v>-139.26518898308552</c:v>
                </c:pt>
                <c:pt idx="445">
                  <c:v>-139.45542514414493</c:v>
                </c:pt>
                <c:pt idx="446">
                  <c:v>-139.64593564251439</c:v>
                </c:pt>
                <c:pt idx="447">
                  <c:v>-139.83671319163457</c:v>
                </c:pt>
                <c:pt idx="448">
                  <c:v>-140.0277506804274</c:v>
                </c:pt>
                <c:pt idx="449">
                  <c:v>-140.22363388074368</c:v>
                </c:pt>
                <c:pt idx="450">
                  <c:v>-140.41977509708281</c:v>
                </c:pt>
                <c:pt idx="451">
                  <c:v>-140.61616723762063</c:v>
                </c:pt>
                <c:pt idx="452">
                  <c:v>-140.81280338466067</c:v>
                </c:pt>
                <c:pt idx="453">
                  <c:v>-141.01412766527122</c:v>
                </c:pt>
                <c:pt idx="454">
                  <c:v>-141.21569301059051</c:v>
                </c:pt>
                <c:pt idx="455">
                  <c:v>-141.41749256000745</c:v>
                </c:pt>
                <c:pt idx="456">
                  <c:v>-141.61951962471687</c:v>
                </c:pt>
                <c:pt idx="457">
                  <c:v>-141.82656998295974</c:v>
                </c:pt>
                <c:pt idx="458">
                  <c:v>-142.03384512978511</c:v>
                </c:pt>
                <c:pt idx="459">
                  <c:v>-142.24133842030429</c:v>
                </c:pt>
                <c:pt idx="460">
                  <c:v>-142.44904337985957</c:v>
                </c:pt>
                <c:pt idx="461">
                  <c:v>-142.66177574936836</c:v>
                </c:pt>
                <c:pt idx="462">
                  <c:v>-142.87471652872014</c:v>
                </c:pt>
                <c:pt idx="463">
                  <c:v>-143.0878593080306</c:v>
                </c:pt>
                <c:pt idx="464">
                  <c:v>-143.30119784566955</c:v>
                </c:pt>
                <c:pt idx="465">
                  <c:v>-143.51973285832437</c:v>
                </c:pt>
                <c:pt idx="466">
                  <c:v>-143.73846020594979</c:v>
                </c:pt>
                <c:pt idx="467">
                  <c:v>-143.95737371750985</c:v>
                </c:pt>
                <c:pt idx="468">
                  <c:v>-144.17646738837109</c:v>
                </c:pt>
                <c:pt idx="469">
                  <c:v>-144.40075877684967</c:v>
                </c:pt>
                <c:pt idx="470">
                  <c:v>-144.6252264760316</c:v>
                </c:pt>
                <c:pt idx="471">
                  <c:v>-144.84986457227876</c:v>
                </c:pt>
                <c:pt idx="472">
                  <c:v>-145.07466731610344</c:v>
                </c:pt>
                <c:pt idx="473">
                  <c:v>-145.30500323951074</c:v>
                </c:pt>
                <c:pt idx="474">
                  <c:v>-145.53550007867057</c:v>
                </c:pt>
                <c:pt idx="475">
                  <c:v>-145.76615216993935</c:v>
                </c:pt>
                <c:pt idx="476">
                  <c:v>-145.99695401212608</c:v>
                </c:pt>
                <c:pt idx="477">
                  <c:v>-146.23328844502254</c:v>
                </c:pt>
                <c:pt idx="478">
                  <c:v>-146.46976854281135</c:v>
                </c:pt>
                <c:pt idx="479">
                  <c:v>-146.70638891160144</c:v>
                </c:pt>
                <c:pt idx="480">
                  <c:v>-146.94314431780151</c:v>
                </c:pt>
                <c:pt idx="481">
                  <c:v>-147.18543025638425</c:v>
                </c:pt>
                <c:pt idx="482">
                  <c:v>-147.42784687899282</c:v>
                </c:pt>
                <c:pt idx="483">
                  <c:v>-147.67038907948509</c:v>
                </c:pt>
                <c:pt idx="484">
                  <c:v>-147.913051909427</c:v>
                </c:pt>
                <c:pt idx="485">
                  <c:v>-148.16141107382586</c:v>
                </c:pt>
                <c:pt idx="486">
                  <c:v>-148.40988648720312</c:v>
                </c:pt>
                <c:pt idx="487">
                  <c:v>-148.65847333767812</c:v>
                </c:pt>
                <c:pt idx="488">
                  <c:v>-148.9071669684752</c:v>
                </c:pt>
                <c:pt idx="489">
                  <c:v>-149.16189182955938</c:v>
                </c:pt>
                <c:pt idx="490">
                  <c:v>-149.41671922131744</c:v>
                </c:pt>
                <c:pt idx="491">
                  <c:v>-149.67164462478945</c:v>
                </c:pt>
                <c:pt idx="492">
                  <c:v>-149.92666367385411</c:v>
                </c:pt>
                <c:pt idx="493">
                  <c:v>-150.18770988281892</c:v>
                </c:pt>
                <c:pt idx="494">
                  <c:v>-150.44884536923604</c:v>
                </c:pt>
                <c:pt idx="495">
                  <c:v>-150.71006592540795</c:v>
                </c:pt>
                <c:pt idx="496">
                  <c:v>-150.97136749365973</c:v>
                </c:pt>
                <c:pt idx="497">
                  <c:v>-151.23886117525885</c:v>
                </c:pt>
                <c:pt idx="498">
                  <c:v>-151.50643156801911</c:v>
                </c:pt>
                <c:pt idx="499">
                  <c:v>-151.7740747842642</c:v>
                </c:pt>
                <c:pt idx="500">
                  <c:v>-152.04178708334319</c:v>
                </c:pt>
                <c:pt idx="501">
                  <c:v>-152.31585627915481</c:v>
                </c:pt>
                <c:pt idx="502">
                  <c:v>-152.58999036682602</c:v>
                </c:pt>
                <c:pt idx="503">
                  <c:v>-152.86418578769201</c:v>
                </c:pt>
                <c:pt idx="504">
                  <c:v>-153.1384391268704</c:v>
                </c:pt>
                <c:pt idx="505">
                  <c:v>-153.41904387647435</c:v>
                </c:pt>
                <c:pt idx="506">
                  <c:v>-153.69970244774839</c:v>
                </c:pt>
                <c:pt idx="507">
                  <c:v>-153.98041162566045</c:v>
                </c:pt>
                <c:pt idx="508">
                  <c:v>-154.26116833506669</c:v>
                </c:pt>
                <c:pt idx="509">
                  <c:v>-154.54844100044028</c:v>
                </c:pt>
                <c:pt idx="510">
                  <c:v>-154.83575733261799</c:v>
                </c:pt>
                <c:pt idx="511">
                  <c:v>-155.12311446681375</c:v>
                </c:pt>
                <c:pt idx="512">
                  <c:v>-155.4105096738881</c:v>
                </c:pt>
                <c:pt idx="513">
                  <c:v>-155.70475595731509</c:v>
                </c:pt>
                <c:pt idx="514">
                  <c:v>-155.9990367702259</c:v>
                </c:pt>
                <c:pt idx="515">
                  <c:v>-156.29334959967252</c:v>
                </c:pt>
                <c:pt idx="516">
                  <c:v>-156.58769206398188</c:v>
                </c:pt>
                <c:pt idx="517">
                  <c:v>-156.88888027814525</c:v>
                </c:pt>
                <c:pt idx="518">
                  <c:v>-157.19009487447266</c:v>
                </c:pt>
                <c:pt idx="519">
                  <c:v>-157.49133370169565</c:v>
                </c:pt>
                <c:pt idx="520">
                  <c:v>-157.79259473460195</c:v>
                </c:pt>
                <c:pt idx="521">
                  <c:v>-158.10086697811104</c:v>
                </c:pt>
                <c:pt idx="522">
                  <c:v>-158.4091585660961</c:v>
                </c:pt>
                <c:pt idx="523">
                  <c:v>-158.71746771172968</c:v>
                </c:pt>
                <c:pt idx="524">
                  <c:v>-159.02579274840664</c:v>
                </c:pt>
                <c:pt idx="525">
                  <c:v>-159.34129503519938</c:v>
                </c:pt>
                <c:pt idx="526">
                  <c:v>-159.65681079678626</c:v>
                </c:pt>
                <c:pt idx="527">
                  <c:v>-159.97233861116669</c:v>
                </c:pt>
                <c:pt idx="528">
                  <c:v>-160.28787717000552</c:v>
                </c:pt>
                <c:pt idx="529">
                  <c:v>-160.61075974022197</c:v>
                </c:pt>
                <c:pt idx="530">
                  <c:v>-160.93365113468093</c:v>
                </c:pt>
                <c:pt idx="531">
                  <c:v>-161.25655029353973</c:v>
                </c:pt>
                <c:pt idx="532">
                  <c:v>-161.57945626322763</c:v>
                </c:pt>
                <c:pt idx="533">
                  <c:v>-161.91004445305242</c:v>
                </c:pt>
                <c:pt idx="534">
                  <c:v>-162.24063808132107</c:v>
                </c:pt>
                <c:pt idx="535">
                  <c:v>-162.57123644285019</c:v>
                </c:pt>
                <c:pt idx="536">
                  <c:v>-162.90183893057062</c:v>
                </c:pt>
                <c:pt idx="537">
                  <c:v>-163.23995109041797</c:v>
                </c:pt>
                <c:pt idx="538">
                  <c:v>-163.57806657682548</c:v>
                </c:pt>
                <c:pt idx="539">
                  <c:v>-163.91618503032726</c:v>
                </c:pt>
                <c:pt idx="540">
                  <c:v>-164.2543061799112</c:v>
                </c:pt>
                <c:pt idx="541">
                  <c:v>-164.60044793654635</c:v>
                </c:pt>
                <c:pt idx="542">
                  <c:v>-164.94659220862488</c:v>
                </c:pt>
                <c:pt idx="543">
                  <c:v>-165.29273896441305</c:v>
                </c:pt>
                <c:pt idx="544">
                  <c:v>-165.63888825008345</c:v>
                </c:pt>
                <c:pt idx="545">
                  <c:v>-165.99305852295547</c:v>
                </c:pt>
                <c:pt idx="546">
                  <c:v>-166.34723177219126</c:v>
                </c:pt>
                <c:pt idx="547">
                  <c:v>-166.70140827088818</c:v>
                </c:pt>
                <c:pt idx="548">
                  <c:v>-167.05558835791774</c:v>
                </c:pt>
                <c:pt idx="549">
                  <c:v>-167.41796171113893</c:v>
                </c:pt>
                <c:pt idx="550">
                  <c:v>-167.78033972901923</c:v>
                </c:pt>
                <c:pt idx="551">
                  <c:v>-168.14272295807461</c:v>
                </c:pt>
                <c:pt idx="552">
                  <c:v>-168.50511199689598</c:v>
                </c:pt>
                <c:pt idx="553">
                  <c:v>-168.87603854205548</c:v>
                </c:pt>
                <c:pt idx="554">
                  <c:v>-169.24697258937934</c:v>
                </c:pt>
                <c:pt idx="555">
                  <c:v>-169.61791491936972</c:v>
                </c:pt>
                <c:pt idx="556">
                  <c:v>-169.9888663492296</c:v>
                </c:pt>
                <c:pt idx="557">
                  <c:v>-170.74820553212425</c:v>
                </c:pt>
                <c:pt idx="558">
                  <c:v>-171.5075940329512</c:v>
                </c:pt>
                <c:pt idx="559">
                  <c:v>-172.28444801997756</c:v>
                </c:pt>
                <c:pt idx="560">
                  <c:v>-173.06137052600334</c:v>
                </c:pt>
                <c:pt idx="561">
                  <c:v>-173.856806154385</c:v>
                </c:pt>
                <c:pt idx="562">
                  <c:v>-174.6523317171899</c:v>
                </c:pt>
                <c:pt idx="563">
                  <c:v>-175.46503056722915</c:v>
                </c:pt>
                <c:pt idx="564">
                  <c:v>-176.27784110193383</c:v>
                </c:pt>
                <c:pt idx="565">
                  <c:v>-177.11126697800435</c:v>
                </c:pt>
                <c:pt idx="566">
                  <c:v>-177.94482629186248</c:v>
                </c:pt>
                <c:pt idx="567">
                  <c:v>-178.79902811602341</c:v>
                </c:pt>
                <c:pt idx="568">
                  <c:v>-179.65338228459834</c:v>
                </c:pt>
                <c:pt idx="569">
                  <c:v>-180.52498443397639</c:v>
                </c:pt>
                <c:pt idx="570">
                  <c:v>-181.39675113522389</c:v>
                </c:pt>
                <c:pt idx="571">
                  <c:v>-182.29261997645239</c:v>
                </c:pt>
                <c:pt idx="572">
                  <c:v>-183.18865978045645</c:v>
                </c:pt>
                <c:pt idx="573">
                  <c:v>-184.10196983388252</c:v>
                </c:pt>
                <c:pt idx="574">
                  <c:v>-185.01544289957835</c:v>
                </c:pt>
                <c:pt idx="575">
                  <c:v>-185.95302132322198</c:v>
                </c:pt>
                <c:pt idx="576">
                  <c:v>-186.89074146884394</c:v>
                </c:pt>
                <c:pt idx="577">
                  <c:v>-190.8616573348184</c:v>
                </c:pt>
                <c:pt idx="578">
                  <c:v>-194.83216336859684</c:v>
                </c:pt>
                <c:pt idx="579">
                  <c:v>-203.51022264315816</c:v>
                </c:pt>
                <c:pt idx="580">
                  <c:v>-212.92916193881925</c:v>
                </c:pt>
                <c:pt idx="581">
                  <c:v>-222.98055202055474</c:v>
                </c:pt>
                <c:pt idx="582">
                  <c:v>-233.46234960479137</c:v>
                </c:pt>
                <c:pt idx="583">
                  <c:v>-244.05146149835028</c:v>
                </c:pt>
                <c:pt idx="584">
                  <c:v>-254.38729211877666</c:v>
                </c:pt>
                <c:pt idx="585">
                  <c:v>-264.12545728768254</c:v>
                </c:pt>
                <c:pt idx="586">
                  <c:v>-273.02761056874488</c:v>
                </c:pt>
                <c:pt idx="587">
                  <c:v>-280.97850187664295</c:v>
                </c:pt>
                <c:pt idx="588">
                  <c:v>-287.95259582434454</c:v>
                </c:pt>
                <c:pt idx="589">
                  <c:v>-294.00299238604964</c:v>
                </c:pt>
                <c:pt idx="590">
                  <c:v>-299.20611817781958</c:v>
                </c:pt>
                <c:pt idx="591">
                  <c:v>-303.65062271365139</c:v>
                </c:pt>
                <c:pt idx="592">
                  <c:v>-307.42061466172566</c:v>
                </c:pt>
                <c:pt idx="593">
                  <c:v>-310.59266294536604</c:v>
                </c:pt>
                <c:pt idx="594">
                  <c:v>-313.23068496730349</c:v>
                </c:pt>
                <c:pt idx="595">
                  <c:v>-315.38981161530307</c:v>
                </c:pt>
                <c:pt idx="596">
                  <c:v>-317.11527186172231</c:v>
                </c:pt>
                <c:pt idx="597">
                  <c:v>-318.4457412355718</c:v>
                </c:pt>
                <c:pt idx="598">
                  <c:v>-319.41341331416174</c:v>
                </c:pt>
                <c:pt idx="599">
                  <c:v>-320.04671253975926</c:v>
                </c:pt>
                <c:pt idx="600">
                  <c:v>-320.37063941739063</c:v>
                </c:pt>
              </c:numCache>
            </c:numRef>
          </c:yVal>
          <c:smooth val="0"/>
          <c:extLst>
            <c:ext xmlns:c16="http://schemas.microsoft.com/office/drawing/2014/chart" uri="{C3380CC4-5D6E-409C-BE32-E72D297353CC}">
              <c16:uniqueId val="{0000000B-4BA7-4FA6-AB73-85DC72E7447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A7-4FA6-AB73-85DC72E7447B}"/>
              </c:ext>
            </c:extLst>
          </c:dPt>
          <c:xVal>
            <c:numRef>
              <c:f>'Stability Calculations'!$A$617:$A$618</c:f>
              <c:numCache>
                <c:formatCode>General</c:formatCode>
                <c:ptCount val="2"/>
                <c:pt idx="0">
                  <c:v>15668.5</c:v>
                </c:pt>
                <c:pt idx="1">
                  <c:v>15668.5</c:v>
                </c:pt>
              </c:numCache>
            </c:numRef>
          </c:xVal>
          <c:yVal>
            <c:numRef>
              <c:f>'Stability Calculations'!$V$617:$V$618</c:f>
              <c:numCache>
                <c:formatCode>0.00</c:formatCode>
                <c:ptCount val="2"/>
                <c:pt idx="0">
                  <c:v>-124.68825677563859</c:v>
                </c:pt>
                <c:pt idx="1">
                  <c:v>-135</c:v>
                </c:pt>
              </c:numCache>
            </c:numRef>
          </c:yVal>
          <c:smooth val="0"/>
          <c:extLst>
            <c:ext xmlns:c16="http://schemas.microsoft.com/office/drawing/2014/chart" uri="{C3380CC4-5D6E-409C-BE32-E72D297353CC}">
              <c16:uniqueId val="{0000000D-4BA7-4FA6-AB73-85DC72E7447B}"/>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15668.5</c:v>
                </c:pt>
                <c:pt idx="1">
                  <c:v>1000000</c:v>
                </c:pt>
              </c:numCache>
            </c:numRef>
          </c:xVal>
          <c:yVal>
            <c:numRef>
              <c:f>'Stability Calculations'!$V$619:$V$620</c:f>
              <c:numCache>
                <c:formatCode>0.00</c:formatCode>
                <c:ptCount val="2"/>
                <c:pt idx="1">
                  <c:v>-124.68825677563859</c:v>
                </c:pt>
              </c:numCache>
            </c:numRef>
          </c:yVal>
          <c:smooth val="0"/>
          <c:extLst>
            <c:ext xmlns:c16="http://schemas.microsoft.com/office/drawing/2014/chart" uri="{C3380CC4-5D6E-409C-BE32-E72D297353CC}">
              <c16:uniqueId val="{0000000E-4BA7-4FA6-AB73-85DC72E7447B}"/>
            </c:ext>
          </c:extLst>
        </c:ser>
        <c:dLbls>
          <c:showLegendKey val="0"/>
          <c:showVal val="0"/>
          <c:showCatName val="0"/>
          <c:showSerName val="0"/>
          <c:showPercent val="0"/>
          <c:showBubbleSize val="0"/>
        </c:dLbls>
        <c:axId val="333075584"/>
        <c:axId val="333077120"/>
      </c:scatterChart>
      <c:valAx>
        <c:axId val="333063296"/>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065216"/>
        <c:crossesAt val="-80"/>
        <c:crossBetween val="midCat"/>
      </c:valAx>
      <c:valAx>
        <c:axId val="333065216"/>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063296"/>
        <c:crossesAt val="1.0000000000000005E-2"/>
        <c:crossBetween val="midCat"/>
        <c:majorUnit val="20"/>
      </c:valAx>
      <c:valAx>
        <c:axId val="333075584"/>
        <c:scaling>
          <c:logBase val="10"/>
          <c:orientation val="minMax"/>
        </c:scaling>
        <c:delete val="1"/>
        <c:axPos val="b"/>
        <c:numFmt formatCode="General" sourceLinked="1"/>
        <c:majorTickMark val="out"/>
        <c:minorTickMark val="none"/>
        <c:tickLblPos val="none"/>
        <c:crossAx val="333077120"/>
        <c:crosses val="autoZero"/>
        <c:crossBetween val="midCat"/>
      </c:valAx>
      <c:valAx>
        <c:axId val="333077120"/>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3075584"/>
        <c:crosses val="max"/>
        <c:crossBetween val="midCat"/>
        <c:majorUnit val="45"/>
      </c:valAx>
      <c:spPr>
        <a:noFill/>
        <a:ln w="12700">
          <a:solidFill>
            <a:srgbClr val="808080"/>
          </a:solidFill>
          <a:prstDash val="solid"/>
        </a:ln>
      </c:spPr>
    </c:plotArea>
    <c:plotVisOnly val="1"/>
    <c:dispBlanksAs val="span"/>
    <c:showDLblsOverMax val="0"/>
  </c:chart>
  <c:spPr>
    <a:no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Filter Attenuations (lower = better)</a:t>
            </a: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0861197204072899"/>
          <c:h val="0.762051843542218"/>
        </c:manualLayout>
      </c:layout>
      <c:scatterChart>
        <c:scatterStyle val="smoothMarker"/>
        <c:varyColors val="0"/>
        <c:ser>
          <c:idx val="2"/>
          <c:order val="0"/>
          <c:tx>
            <c:v>AEF</c:v>
          </c:tx>
          <c:spPr>
            <a:ln w="31750">
              <a:solidFill>
                <a:srgbClr val="FF0000"/>
              </a:solidFill>
              <a:prstDash val="solid"/>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Calculations'!$AM$13:$AM$96</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yVal>
          <c:smooth val="1"/>
          <c:extLst>
            <c:ext xmlns:c16="http://schemas.microsoft.com/office/drawing/2014/chart" uri="{C3380CC4-5D6E-409C-BE32-E72D297353CC}">
              <c16:uniqueId val="{00000002-1554-471F-B0A2-55C295C7D7CC}"/>
            </c:ext>
          </c:extLst>
        </c:ser>
        <c:ser>
          <c:idx val="0"/>
          <c:order val="1"/>
          <c:tx>
            <c:v>Passive</c:v>
          </c:tx>
          <c:spPr>
            <a:ln>
              <a:solidFill>
                <a:srgbClr val="FFC000"/>
              </a:solidFill>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Calculations'!$AA$13:$AA$96</c:f>
              <c:numCache>
                <c:formatCode>General</c:formatCode>
                <c:ptCount val="84"/>
                <c:pt idx="0">
                  <c:v>3.4274512546547312E-10</c:v>
                </c:pt>
                <c:pt idx="1">
                  <c:v>1.3710672912527204E-9</c:v>
                </c:pt>
                <c:pt idx="2">
                  <c:v>3.0848797076462865E-9</c:v>
                </c:pt>
                <c:pt idx="3">
                  <c:v>5.484271092367277E-9</c:v>
                </c:pt>
                <c:pt idx="4">
                  <c:v>8.5692375875376739E-9</c:v>
                </c:pt>
                <c:pt idx="5">
                  <c:v>1.2339696260264985E-8</c:v>
                </c:pt>
                <c:pt idx="6">
                  <c:v>1.6795643252346658E-8</c:v>
                </c:pt>
                <c:pt idx="7">
                  <c:v>2.1937169209509332E-8</c:v>
                </c:pt>
                <c:pt idx="8">
                  <c:v>2.7764185412408903E-8</c:v>
                </c:pt>
                <c:pt idx="9">
                  <c:v>3.4276778649137416E-8</c:v>
                </c:pt>
                <c:pt idx="10">
                  <c:v>1.3710720057442979E-7</c:v>
                </c:pt>
                <c:pt idx="11">
                  <c:v>3.0849126526975555E-7</c:v>
                </c:pt>
                <c:pt idx="12">
                  <c:v>5.4842887803037698E-7</c:v>
                </c:pt>
                <c:pt idx="13">
                  <c:v>8.5692003703246746E-7</c:v>
                </c:pt>
                <c:pt idx="14">
                  <c:v>1.2339649066219747E-6</c:v>
                </c:pt>
                <c:pt idx="15">
                  <c:v>1.6795633910819215E-6</c:v>
                </c:pt>
                <c:pt idx="16">
                  <c:v>2.1937155666510632E-6</c:v>
                </c:pt>
                <c:pt idx="17">
                  <c:v>2.7764213343660625E-6</c:v>
                </c:pt>
                <c:pt idx="18">
                  <c:v>3.4276806823585146E-6</c:v>
                </c:pt>
                <c:pt idx="19">
                  <c:v>1.3710729639650269E-5</c:v>
                </c:pt>
                <c:pt idx="20">
                  <c:v>3.084916708360373E-5</c:v>
                </c:pt>
                <c:pt idx="21">
                  <c:v>5.4843026783634755E-5</c:v>
                </c:pt>
                <c:pt idx="22">
                  <c:v>8.5692356072072088E-5</c:v>
                </c:pt>
                <c:pt idx="23">
                  <c:v>1.2339721601309145E-4</c:v>
                </c:pt>
                <c:pt idx="24">
                  <c:v>1.6795768070547058E-4</c:v>
                </c:pt>
                <c:pt idx="25">
                  <c:v>2.1937383832667357E-4</c:v>
                </c:pt>
                <c:pt idx="26">
                  <c:v>2.7764579017865241E-4</c:v>
                </c:pt>
                <c:pt idx="27">
                  <c:v>3.4277365128982361E-4</c:v>
                </c:pt>
                <c:pt idx="28">
                  <c:v>1.3711622397485389E-3</c:v>
                </c:pt>
                <c:pt idx="29">
                  <c:v>3.0853687138606856E-3</c:v>
                </c:pt>
                <c:pt idx="30">
                  <c:v>5.4857314697180446E-3</c:v>
                </c:pt>
                <c:pt idx="31">
                  <c:v>8.5727245740982051E-3</c:v>
                </c:pt>
                <c:pt idx="32">
                  <c:v>1.2346958077157324E-2</c:v>
                </c:pt>
                <c:pt idx="33">
                  <c:v>1.680917841515581E-2</c:v>
                </c:pt>
                <c:pt idx="34">
                  <c:v>2.1960268903701091E-2</c:v>
                </c:pt>
                <c:pt idx="35">
                  <c:v>2.7801250322054171E-2</c:v>
                </c:pt>
                <c:pt idx="36">
                  <c:v>3.4333281589256678E-2</c:v>
                </c:pt>
                <c:pt idx="37">
                  <c:v>4.1557660533084087E-2</c:v>
                </c:pt>
                <c:pt idx="38">
                  <c:v>4.9475824752593413E-2</c:v>
                </c:pt>
                <c:pt idx="39">
                  <c:v>5.808935257490936E-2</c:v>
                </c:pt>
                <c:pt idx="40">
                  <c:v>7.7409522394356958E-2</c:v>
                </c:pt>
                <c:pt idx="41">
                  <c:v>8.8120034652894183E-2</c:v>
                </c:pt>
                <c:pt idx="42">
                  <c:v>0.10550484102978921</c:v>
                </c:pt>
                <c:pt idx="43">
                  <c:v>0.12447955922984369</c:v>
                </c:pt>
                <c:pt idx="44">
                  <c:v>0.13801689257265934</c:v>
                </c:pt>
                <c:pt idx="45">
                  <c:v>0.21646204909008521</c:v>
                </c:pt>
                <c:pt idx="46">
                  <c:v>0.31314808208663503</c:v>
                </c:pt>
                <c:pt idx="47">
                  <c:v>0.42858150735745315</c:v>
                </c:pt>
                <c:pt idx="48">
                  <c:v>0.56338125510820847</c:v>
                </c:pt>
                <c:pt idx="49">
                  <c:v>0.71828994959670589</c:v>
                </c:pt>
                <c:pt idx="50">
                  <c:v>0.89418785513768861</c:v>
                </c:pt>
                <c:pt idx="51">
                  <c:v>1.0921099587044569</c:v>
                </c:pt>
                <c:pt idx="52">
                  <c:v>1.3132667689997053</c:v>
                </c:pt>
                <c:pt idx="53">
                  <c:v>1.5590695347266561</c:v>
                </c:pt>
                <c:pt idx="54">
                  <c:v>1.8311607132208529</c:v>
                </c:pt>
                <c:pt idx="55">
                  <c:v>2.1314506343374608</c:v>
                </c:pt>
                <c:pt idx="56">
                  <c:v>2.4621613570964245</c:v>
                </c:pt>
                <c:pt idx="57">
                  <c:v>3.2256122149724868</c:v>
                </c:pt>
                <c:pt idx="58">
                  <c:v>4.1477004385549856</c:v>
                </c:pt>
                <c:pt idx="59">
                  <c:v>5.2635704959533189</c:v>
                </c:pt>
                <c:pt idx="60">
                  <c:v>6.6182385434260986</c:v>
                </c:pt>
                <c:pt idx="61">
                  <c:v>8.2585333921617039</c:v>
                </c:pt>
                <c:pt idx="62">
                  <c:v>12.100245900170394</c:v>
                </c:pt>
                <c:pt idx="63">
                  <c:v>12.959790177872241</c:v>
                </c:pt>
                <c:pt idx="64">
                  <c:v>10.632434371784214</c:v>
                </c:pt>
                <c:pt idx="65">
                  <c:v>7.0430359282769261</c:v>
                </c:pt>
                <c:pt idx="66">
                  <c:v>4.9459582998103908</c:v>
                </c:pt>
                <c:pt idx="67">
                  <c:v>-6.5724330903943216</c:v>
                </c:pt>
                <c:pt idx="68">
                  <c:v>-12.141260868793136</c:v>
                </c:pt>
                <c:pt idx="69">
                  <c:v>-15.811684145573038</c:v>
                </c:pt>
                <c:pt idx="70">
                  <c:v>-18.549182102928064</c:v>
                </c:pt>
                <c:pt idx="71">
                  <c:v>-20.743388875708668</c:v>
                </c:pt>
                <c:pt idx="72">
                  <c:v>-22.588919033913939</c:v>
                </c:pt>
                <c:pt idx="73">
                  <c:v>-24.194781244722876</c:v>
                </c:pt>
                <c:pt idx="74">
                  <c:v>-25.626768047686518</c:v>
                </c:pt>
                <c:pt idx="75">
                  <c:v>-35.485359346827785</c:v>
                </c:pt>
                <c:pt idx="76">
                  <c:v>-41.818827844809874</c:v>
                </c:pt>
                <c:pt idx="77">
                  <c:v>-46.523147642689807</c:v>
                </c:pt>
                <c:pt idx="78">
                  <c:v>-50.254080822840123</c:v>
                </c:pt>
                <c:pt idx="79">
                  <c:v>-53.339467507298949</c:v>
                </c:pt>
                <c:pt idx="80">
                  <c:v>-55.966960551322785</c:v>
                </c:pt>
                <c:pt idx="81">
                  <c:v>-58.253518683206799</c:v>
                </c:pt>
                <c:pt idx="82">
                  <c:v>-60.27671706539698</c:v>
                </c:pt>
                <c:pt idx="83">
                  <c:v>-62.09053569388221</c:v>
                </c:pt>
              </c:numCache>
            </c:numRef>
          </c:yVal>
          <c:smooth val="1"/>
          <c:extLst>
            <c:ext xmlns:c16="http://schemas.microsoft.com/office/drawing/2014/chart" uri="{C3380CC4-5D6E-409C-BE32-E72D297353CC}">
              <c16:uniqueId val="{00000000-62A6-4E66-BDEB-DB8D174C6CED}"/>
            </c:ext>
          </c:extLst>
        </c:ser>
        <c:dLbls>
          <c:showLegendKey val="0"/>
          <c:showVal val="0"/>
          <c:showCatName val="0"/>
          <c:showSerName val="0"/>
          <c:showPercent val="0"/>
          <c:showBubbleSize val="0"/>
        </c:dLbls>
        <c:axId val="333256960"/>
        <c:axId val="333259136"/>
      </c:scatterChart>
      <c:valAx>
        <c:axId val="333256960"/>
        <c:scaling>
          <c:logBase val="10"/>
          <c:orientation val="minMax"/>
          <c:max val="2500000"/>
          <c:min val="1000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259136"/>
        <c:crossesAt val="-80"/>
        <c:crossBetween val="midCat"/>
      </c:valAx>
      <c:valAx>
        <c:axId val="333259136"/>
        <c:scaling>
          <c:orientation val="minMax"/>
          <c:max val="30"/>
          <c:min val="-6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256960"/>
        <c:crossesAt val="1.0000000000000005E-2"/>
        <c:crossBetween val="midCat"/>
        <c:majorUnit val="20"/>
      </c:valAx>
      <c:spPr>
        <a:noFill/>
        <a:ln w="12700">
          <a:solidFill>
            <a:srgbClr val="808080"/>
          </a:solidFill>
          <a:prstDash val="solid"/>
        </a:ln>
      </c:spPr>
    </c:plotArea>
    <c:legend>
      <c:legendPos val="r"/>
      <c:layout>
        <c:manualLayout>
          <c:xMode val="edge"/>
          <c:yMode val="edge"/>
          <c:x val="0.89472517730496448"/>
          <c:y val="0.44527969160104985"/>
          <c:w val="9.9364657210401885E-2"/>
          <c:h val="8.4639029496312967E-2"/>
        </c:manualLayout>
      </c:layout>
      <c:overlay val="0"/>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xVal>
          <c:yVal>
            <c:numRef>
              <c:f>'Efficiency Calculations'!$AW$9:$AW$109</c:f>
              <c:numCache>
                <c:formatCode>0.0</c:formatCode>
                <c:ptCount val="101"/>
                <c:pt idx="0">
                  <c:v>8.1296225651966078E-2</c:v>
                </c:pt>
                <c:pt idx="1">
                  <c:v>9.1984965197604129E-2</c:v>
                </c:pt>
                <c:pt idx="2">
                  <c:v>0.10280855102586152</c:v>
                </c:pt>
                <c:pt idx="3">
                  <c:v>0.11376703499557971</c:v>
                </c:pt>
                <c:pt idx="4">
                  <c:v>0.12486046939126227</c:v>
                </c:pt>
                <c:pt idx="5">
                  <c:v>0.13608890692363321</c:v>
                </c:pt>
                <c:pt idx="6">
                  <c:v>0.14745240073019858</c:v>
                </c:pt>
                <c:pt idx="7">
                  <c:v>0.15895100437581217</c:v>
                </c:pt>
                <c:pt idx="8">
                  <c:v>0.17058477185324433</c:v>
                </c:pt>
                <c:pt idx="9">
                  <c:v>0.18235375758375466</c:v>
                </c:pt>
                <c:pt idx="10">
                  <c:v>0.19425801641766818</c:v>
                </c:pt>
                <c:pt idx="11">
                  <c:v>0.20629760363495539</c:v>
                </c:pt>
                <c:pt idx="12">
                  <c:v>0.21847257494581518</c:v>
                </c:pt>
                <c:pt idx="13">
                  <c:v>0.23078298649126242</c:v>
                </c:pt>
                <c:pt idx="14">
                  <c:v>0.2432288948437186</c:v>
                </c:pt>
                <c:pt idx="15">
                  <c:v>0.25581035700760607</c:v>
                </c:pt>
                <c:pt idx="16">
                  <c:v>0.26852743041994614</c:v>
                </c:pt>
                <c:pt idx="17">
                  <c:v>0.28138017295096079</c:v>
                </c:pt>
                <c:pt idx="18">
                  <c:v>2.021431786656664</c:v>
                </c:pt>
                <c:pt idx="19">
                  <c:v>2.038942691750063</c:v>
                </c:pt>
                <c:pt idx="20">
                  <c:v>2.0565904746425927</c:v>
                </c:pt>
                <c:pt idx="21">
                  <c:v>2.0743752024683988</c:v>
                </c:pt>
                <c:pt idx="22">
                  <c:v>2.0922969428050249</c:v>
                </c:pt>
                <c:pt idx="23">
                  <c:v>2.1103557636740735</c:v>
                </c:pt>
                <c:pt idx="24">
                  <c:v>2.1285517335418809</c:v>
                </c:pt>
                <c:pt idx="25">
                  <c:v>2.146884921320189</c:v>
                </c:pt>
                <c:pt idx="26">
                  <c:v>2.1653553963668228</c:v>
                </c:pt>
                <c:pt idx="27">
                  <c:v>2.1839632284863737</c:v>
                </c:pt>
                <c:pt idx="28">
                  <c:v>2.2027084879308845</c:v>
                </c:pt>
                <c:pt idx="29">
                  <c:v>2.2215912454005391</c:v>
                </c:pt>
                <c:pt idx="30">
                  <c:v>2.2406115720443558</c:v>
                </c:pt>
                <c:pt idx="31">
                  <c:v>2.2597695394608839</c:v>
                </c:pt>
                <c:pt idx="32">
                  <c:v>2.2790652196989045</c:v>
                </c:pt>
                <c:pt idx="33">
                  <c:v>2.2984986852581404</c:v>
                </c:pt>
                <c:pt idx="34">
                  <c:v>2.3180700090899582</c:v>
                </c:pt>
                <c:pt idx="35">
                  <c:v>2.3377792645980864</c:v>
                </c:pt>
                <c:pt idx="36">
                  <c:v>2.3576265256393309</c:v>
                </c:pt>
                <c:pt idx="37">
                  <c:v>2.3776118665242962</c:v>
                </c:pt>
                <c:pt idx="38">
                  <c:v>2.397735362018111</c:v>
                </c:pt>
                <c:pt idx="39">
                  <c:v>2.4179970873411549</c:v>
                </c:pt>
                <c:pt idx="40">
                  <c:v>2.4383971181697968</c:v>
                </c:pt>
                <c:pt idx="41">
                  <c:v>2.4589355306371257</c:v>
                </c:pt>
                <c:pt idx="42">
                  <c:v>2.4796124013336955</c:v>
                </c:pt>
                <c:pt idx="43">
                  <c:v>2.5004278073082697</c:v>
                </c:pt>
                <c:pt idx="44">
                  <c:v>2.5213818260685708</c:v>
                </c:pt>
                <c:pt idx="45">
                  <c:v>2.5424745355820328</c:v>
                </c:pt>
                <c:pt idx="46">
                  <c:v>2.5637060142765606</c:v>
                </c:pt>
                <c:pt idx="47">
                  <c:v>2.5850763410412889</c:v>
                </c:pt>
                <c:pt idx="48">
                  <c:v>2.60658559522735</c:v>
                </c:pt>
                <c:pt idx="49">
                  <c:v>2.628233856648643</c:v>
                </c:pt>
                <c:pt idx="50">
                  <c:v>2.6500212055826071</c:v>
                </c:pt>
                <c:pt idx="51">
                  <c:v>2.6719477227710011</c:v>
                </c:pt>
                <c:pt idx="52">
                  <c:v>2.6940134894206857</c:v>
                </c:pt>
                <c:pt idx="53">
                  <c:v>2.7162185872044073</c:v>
                </c:pt>
                <c:pt idx="54">
                  <c:v>2.7385630982615927</c:v>
                </c:pt>
                <c:pt idx="55">
                  <c:v>2.7610471051991405</c:v>
                </c:pt>
                <c:pt idx="56">
                  <c:v>2.783670691092222</c:v>
                </c:pt>
                <c:pt idx="57">
                  <c:v>2.8064339394850846</c:v>
                </c:pt>
                <c:pt idx="58">
                  <c:v>2.8293369343918591</c:v>
                </c:pt>
                <c:pt idx="59">
                  <c:v>2.8523797602973717</c:v>
                </c:pt>
                <c:pt idx="60">
                  <c:v>2.8755625021579592</c:v>
                </c:pt>
                <c:pt idx="61">
                  <c:v>2.89888524540229</c:v>
                </c:pt>
                <c:pt idx="62">
                  <c:v>2.9223480759321903</c:v>
                </c:pt>
                <c:pt idx="63">
                  <c:v>2.9459510801234718</c:v>
                </c:pt>
                <c:pt idx="64">
                  <c:v>2.9696943448267628</c:v>
                </c:pt>
                <c:pt idx="65">
                  <c:v>2.9935779573683514</c:v>
                </c:pt>
                <c:pt idx="66">
                  <c:v>3.0176020055510215</c:v>
                </c:pt>
                <c:pt idx="67">
                  <c:v>3.0417665776549057</c:v>
                </c:pt>
                <c:pt idx="68">
                  <c:v>3.0660717624383289</c:v>
                </c:pt>
                <c:pt idx="69">
                  <c:v>3.0905176491386697</c:v>
                </c:pt>
                <c:pt idx="70">
                  <c:v>3.1151043274732171</c:v>
                </c:pt>
                <c:pt idx="71">
                  <c:v>3.1398318876400335</c:v>
                </c:pt>
                <c:pt idx="72">
                  <c:v>3.1647004203188271</c:v>
                </c:pt>
                <c:pt idx="73">
                  <c:v>3.1897100166718229</c:v>
                </c:pt>
                <c:pt idx="74">
                  <c:v>3.2148607683446366</c:v>
                </c:pt>
                <c:pt idx="75">
                  <c:v>3.2401527674671624</c:v>
                </c:pt>
                <c:pt idx="76">
                  <c:v>3.2655861066544571</c:v>
                </c:pt>
                <c:pt idx="77">
                  <c:v>3.2911608790076285</c:v>
                </c:pt>
                <c:pt idx="78">
                  <c:v>3.3168771781147361</c:v>
                </c:pt>
                <c:pt idx="79">
                  <c:v>3.3427350980516857</c:v>
                </c:pt>
                <c:pt idx="80">
                  <c:v>3.3687347333831368</c:v>
                </c:pt>
                <c:pt idx="81">
                  <c:v>3.3948761791634134</c:v>
                </c:pt>
                <c:pt idx="82">
                  <c:v>3.4211595309374152</c:v>
                </c:pt>
                <c:pt idx="83">
                  <c:v>3.4475848847415334</c:v>
                </c:pt>
                <c:pt idx="84">
                  <c:v>3.4741523371045813</c:v>
                </c:pt>
                <c:pt idx="85">
                  <c:v>3.5008619850487173</c:v>
                </c:pt>
                <c:pt idx="86">
                  <c:v>3.5277139260903718</c:v>
                </c:pt>
                <c:pt idx="87">
                  <c:v>3.5547082582411971</c:v>
                </c:pt>
                <c:pt idx="88">
                  <c:v>3.5818450800089972</c:v>
                </c:pt>
                <c:pt idx="89">
                  <c:v>3.6091244903986808</c:v>
                </c:pt>
                <c:pt idx="90">
                  <c:v>3.6365465889132076</c:v>
                </c:pt>
                <c:pt idx="91">
                  <c:v>3.6641114755545496</c:v>
                </c:pt>
                <c:pt idx="92">
                  <c:v>3.6918192508246461</c:v>
                </c:pt>
                <c:pt idx="93">
                  <c:v>3.7196700157263756</c:v>
                </c:pt>
                <c:pt idx="94">
                  <c:v>3.7476638717645172</c:v>
                </c:pt>
                <c:pt idx="95">
                  <c:v>3.7758009209467329</c:v>
                </c:pt>
                <c:pt idx="96">
                  <c:v>3.8040812657845442</c:v>
                </c:pt>
                <c:pt idx="97">
                  <c:v>3.832505009294318</c:v>
                </c:pt>
                <c:pt idx="98">
                  <c:v>3.8610722549982524</c:v>
                </c:pt>
                <c:pt idx="99">
                  <c:v>3.8897831069253739</c:v>
                </c:pt>
                <c:pt idx="100">
                  <c:v>3.9186376696125405</c:v>
                </c:pt>
              </c:numCache>
            </c:numRef>
          </c:yVal>
          <c:smooth val="0"/>
          <c:extLst>
            <c:ext xmlns:c16="http://schemas.microsoft.com/office/drawing/2014/chart" uri="{C3380CC4-5D6E-409C-BE32-E72D297353CC}">
              <c16:uniqueId val="{00000000-F29C-4E96-8ECF-EEB3B170A4EB}"/>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xVal>
          <c:yVal>
            <c:numRef>
              <c:f>'Efficiency Calculations'!$AX$9:$AX$109</c:f>
              <c:numCache>
                <c:formatCode>0.0</c:formatCode>
                <c:ptCount val="101"/>
                <c:pt idx="0">
                  <c:v>7.9245897566346049E-2</c:v>
                </c:pt>
                <c:pt idx="1">
                  <c:v>8.8626808380289274E-2</c:v>
                </c:pt>
                <c:pt idx="2">
                  <c:v>9.8100358817891434E-2</c:v>
                </c:pt>
                <c:pt idx="3">
                  <c:v>0.1076665196384563</c:v>
                </c:pt>
                <c:pt idx="4">
                  <c:v>0.11732526181265845</c:v>
                </c:pt>
                <c:pt idx="5">
                  <c:v>0.1270765565223077</c:v>
                </c:pt>
                <c:pt idx="6">
                  <c:v>0.13692037516011477</c:v>
                </c:pt>
                <c:pt idx="7">
                  <c:v>0.14685668932945842</c:v>
                </c:pt>
                <c:pt idx="8">
                  <c:v>0.1568854708441535</c:v>
                </c:pt>
                <c:pt idx="9">
                  <c:v>0.16700669172822089</c:v>
                </c:pt>
                <c:pt idx="10">
                  <c:v>0.17722032421565806</c:v>
                </c:pt>
                <c:pt idx="11">
                  <c:v>0.18752634075021152</c:v>
                </c:pt>
                <c:pt idx="12">
                  <c:v>0.19792471398514994</c:v>
                </c:pt>
                <c:pt idx="13">
                  <c:v>0.20841541678303915</c:v>
                </c:pt>
                <c:pt idx="14">
                  <c:v>0.21899842221551796</c:v>
                </c:pt>
                <c:pt idx="15">
                  <c:v>0.22967370356307537</c:v>
                </c:pt>
                <c:pt idx="16">
                  <c:v>0.2404412343148295</c:v>
                </c:pt>
                <c:pt idx="17">
                  <c:v>0.25130098816830659</c:v>
                </c:pt>
                <c:pt idx="18">
                  <c:v>0.26615621166286174</c:v>
                </c:pt>
                <c:pt idx="19">
                  <c:v>0.28156954475277829</c:v>
                </c:pt>
                <c:pt idx="20">
                  <c:v>0.29707508992588855</c:v>
                </c:pt>
                <c:pt idx="21">
                  <c:v>0.31267282653340678</c:v>
                </c:pt>
                <c:pt idx="22">
                  <c:v>0.32836273413177991</c:v>
                </c:pt>
                <c:pt idx="23">
                  <c:v>0.34414479248249263</c:v>
                </c:pt>
                <c:pt idx="24">
                  <c:v>0.36001898155187489</c:v>
                </c:pt>
                <c:pt idx="25">
                  <c:v>0.37598528151090943</c:v>
                </c:pt>
                <c:pt idx="26">
                  <c:v>0.39204367273504098</c:v>
                </c:pt>
                <c:pt idx="27">
                  <c:v>0.4081941358039875</c:v>
                </c:pt>
                <c:pt idx="28">
                  <c:v>0.42443665150155063</c:v>
                </c:pt>
                <c:pt idx="29">
                  <c:v>0.44077120081542981</c:v>
                </c:pt>
                <c:pt idx="30">
                  <c:v>0.45719776493703546</c:v>
                </c:pt>
                <c:pt idx="31">
                  <c:v>0.4737163252613048</c:v>
                </c:pt>
                <c:pt idx="32">
                  <c:v>0.49032686338651837</c:v>
                </c:pt>
                <c:pt idx="33">
                  <c:v>0.50702936111411723</c:v>
                </c:pt>
                <c:pt idx="34">
                  <c:v>0.52382380044852261</c:v>
                </c:pt>
                <c:pt idx="35">
                  <c:v>0.54071016359695567</c:v>
                </c:pt>
                <c:pt idx="36">
                  <c:v>0.55768843296925807</c:v>
                </c:pt>
                <c:pt idx="37">
                  <c:v>0.57475859117771622</c:v>
                </c:pt>
                <c:pt idx="38">
                  <c:v>0.59192062103688325</c:v>
                </c:pt>
                <c:pt idx="39">
                  <c:v>0.60917450556340458</c:v>
                </c:pt>
                <c:pt idx="40">
                  <c:v>0.6265202279758445</c:v>
                </c:pt>
                <c:pt idx="41">
                  <c:v>0.64395777169451229</c:v>
                </c:pt>
                <c:pt idx="42">
                  <c:v>0.66148712034129153</c:v>
                </c:pt>
                <c:pt idx="43">
                  <c:v>0.67910825773946915</c:v>
                </c:pt>
                <c:pt idx="44">
                  <c:v>0.69682116791356696</c:v>
                </c:pt>
                <c:pt idx="45">
                  <c:v>0.71462583508917255</c:v>
                </c:pt>
                <c:pt idx="46">
                  <c:v>0.73252224369277363</c:v>
                </c:pt>
                <c:pt idx="47">
                  <c:v>0.7505103783515904</c:v>
                </c:pt>
                <c:pt idx="48">
                  <c:v>0.76859022389341414</c:v>
                </c:pt>
                <c:pt idx="49">
                  <c:v>0.78676176534644082</c:v>
                </c:pt>
                <c:pt idx="50">
                  <c:v>0.80502498793910982</c:v>
                </c:pt>
                <c:pt idx="51">
                  <c:v>0.82337987709994409</c:v>
                </c:pt>
                <c:pt idx="52">
                  <c:v>0.84182641845738904</c:v>
                </c:pt>
                <c:pt idx="53">
                  <c:v>0.86036459783965336</c:v>
                </c:pt>
                <c:pt idx="54">
                  <c:v>0.87899440127455286</c:v>
                </c:pt>
                <c:pt idx="55">
                  <c:v>0.8977158149893536</c:v>
                </c:pt>
                <c:pt idx="56">
                  <c:v>0.91652882541061587</c:v>
                </c:pt>
                <c:pt idx="57">
                  <c:v>0.93543341916404099</c:v>
                </c:pt>
                <c:pt idx="58">
                  <c:v>0.95442958307431724</c:v>
                </c:pt>
                <c:pt idx="59">
                  <c:v>0.97351730416497007</c:v>
                </c:pt>
                <c:pt idx="60">
                  <c:v>0.99269656965820907</c:v>
                </c:pt>
                <c:pt idx="61">
                  <c:v>1.0119673669747795</c:v>
                </c:pt>
                <c:pt idx="62">
                  <c:v>1.0313296837338148</c:v>
                </c:pt>
                <c:pt idx="63">
                  <c:v>1.0507835077526873</c:v>
                </c:pt>
                <c:pt idx="64">
                  <c:v>1.0703288270468636</c:v>
                </c:pt>
                <c:pt idx="65">
                  <c:v>1.0899656298297593</c:v>
                </c:pt>
                <c:pt idx="66">
                  <c:v>1.1096939045125958</c:v>
                </c:pt>
                <c:pt idx="67">
                  <c:v>1.1295136397042553</c:v>
                </c:pt>
                <c:pt idx="68">
                  <c:v>1.1494248242111416</c:v>
                </c:pt>
                <c:pt idx="69">
                  <c:v>1.1694274470370385</c:v>
                </c:pt>
                <c:pt idx="70">
                  <c:v>1.1895214973829711</c:v>
                </c:pt>
                <c:pt idx="71">
                  <c:v>1.2097069646470664</c:v>
                </c:pt>
                <c:pt idx="72">
                  <c:v>1.2299838384244175</c:v>
                </c:pt>
                <c:pt idx="73">
                  <c:v>1.2503521085069478</c:v>
                </c:pt>
                <c:pt idx="74">
                  <c:v>1.2708117648832735</c:v>
                </c:pt>
                <c:pt idx="75">
                  <c:v>1.2913627977385738</c:v>
                </c:pt>
                <c:pt idx="76">
                  <c:v>1.3120051974544547</c:v>
                </c:pt>
                <c:pt idx="77">
                  <c:v>1.3327389546088197</c:v>
                </c:pt>
                <c:pt idx="78">
                  <c:v>1.353564059975739</c:v>
                </c:pt>
                <c:pt idx="79">
                  <c:v>1.3744805045253197</c:v>
                </c:pt>
                <c:pt idx="80">
                  <c:v>1.3954882794235768</c:v>
                </c:pt>
                <c:pt idx="81">
                  <c:v>1.4165873760323084</c:v>
                </c:pt>
                <c:pt idx="82">
                  <c:v>1.4377777859089684</c:v>
                </c:pt>
                <c:pt idx="83">
                  <c:v>1.4590595008065401</c:v>
                </c:pt>
                <c:pt idx="84">
                  <c:v>1.4804325126734157</c:v>
                </c:pt>
                <c:pt idx="85">
                  <c:v>1.5018968136532709</c:v>
                </c:pt>
                <c:pt idx="86">
                  <c:v>1.5234523960849444</c:v>
                </c:pt>
                <c:pt idx="87">
                  <c:v>1.5450992525023175</c:v>
                </c:pt>
                <c:pt idx="88">
                  <c:v>1.566837375634194</c:v>
                </c:pt>
                <c:pt idx="89">
                  <c:v>1.5886667584041827</c:v>
                </c:pt>
                <c:pt idx="90">
                  <c:v>1.6105873939305795</c:v>
                </c:pt>
                <c:pt idx="91">
                  <c:v>1.6325992755262526</c:v>
                </c:pt>
                <c:pt idx="92">
                  <c:v>1.6547023966985246</c:v>
                </c:pt>
                <c:pt idx="93">
                  <c:v>1.6768967511490613</c:v>
                </c:pt>
                <c:pt idx="94">
                  <c:v>1.699182332773759</c:v>
                </c:pt>
                <c:pt idx="95">
                  <c:v>1.7215591356626303</c:v>
                </c:pt>
                <c:pt idx="96">
                  <c:v>1.7440271540996941</c:v>
                </c:pt>
                <c:pt idx="97">
                  <c:v>1.7665863825628678</c:v>
                </c:pt>
                <c:pt idx="98">
                  <c:v>1.7892368157238585</c:v>
                </c:pt>
                <c:pt idx="99">
                  <c:v>1.8119784484480508</c:v>
                </c:pt>
                <c:pt idx="100">
                  <c:v>1.8348112757944082</c:v>
                </c:pt>
              </c:numCache>
            </c:numRef>
          </c:yVal>
          <c:smooth val="0"/>
          <c:extLst>
            <c:ext xmlns:c16="http://schemas.microsoft.com/office/drawing/2014/chart" uri="{C3380CC4-5D6E-409C-BE32-E72D297353CC}">
              <c16:uniqueId val="{00000001-F29C-4E96-8ECF-EEB3B170A4EB}"/>
            </c:ext>
          </c:extLst>
        </c:ser>
        <c:dLbls>
          <c:showLegendKey val="0"/>
          <c:showVal val="0"/>
          <c:showCatName val="0"/>
          <c:showSerName val="0"/>
          <c:showPercent val="0"/>
          <c:showBubbleSize val="0"/>
        </c:dLbls>
        <c:axId val="333958144"/>
        <c:axId val="333960320"/>
      </c:scatterChart>
      <c:valAx>
        <c:axId val="3339581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60320"/>
        <c:crosses val="autoZero"/>
        <c:crossBetween val="midCat"/>
      </c:valAx>
      <c:valAx>
        <c:axId val="333960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581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xVal>
          <c:yVal>
            <c:numRef>
              <c:f>'Efficiency Calculations'!$BC$9:$BC$109</c:f>
              <c:numCache>
                <c:formatCode>0.000</c:formatCode>
                <c:ptCount val="101"/>
                <c:pt idx="0">
                  <c:v>1.4781131936721106E-3</c:v>
                </c:pt>
                <c:pt idx="1">
                  <c:v>1.6724539126837116E-3</c:v>
                </c:pt>
                <c:pt idx="2">
                  <c:v>1.8692463822883912E-3</c:v>
                </c:pt>
                <c:pt idx="3">
                  <c:v>2.0684915453741764E-3</c:v>
                </c:pt>
                <c:pt idx="4">
                  <c:v>2.2701903525684051E-3</c:v>
                </c:pt>
                <c:pt idx="5">
                  <c:v>2.4743437622478763E-3</c:v>
                </c:pt>
                <c:pt idx="6">
                  <c:v>2.6809527405490651E-3</c:v>
                </c:pt>
                <c:pt idx="7">
                  <c:v>2.8900182613784031E-3</c:v>
                </c:pt>
                <c:pt idx="8">
                  <c:v>3.1015413064226244E-3</c:v>
                </c:pt>
                <c:pt idx="9">
                  <c:v>3.3155228651591756E-3</c:v>
                </c:pt>
                <c:pt idx="10">
                  <c:v>3.5319639348666944E-3</c:v>
                </c:pt>
                <c:pt idx="11">
                  <c:v>3.7508655206355524E-3</c:v>
                </c:pt>
                <c:pt idx="12">
                  <c:v>3.9722286353784577E-3</c:v>
                </c:pt>
                <c:pt idx="13">
                  <c:v>4.1960542998411348E-3</c:v>
                </c:pt>
                <c:pt idx="14">
                  <c:v>4.4223435426130652E-3</c:v>
                </c:pt>
                <c:pt idx="15">
                  <c:v>4.6510974001382922E-3</c:v>
                </c:pt>
                <c:pt idx="16">
                  <c:v>4.8823169167262932E-3</c:v>
                </c:pt>
                <c:pt idx="17">
                  <c:v>5.1160031445629233E-3</c:v>
                </c:pt>
                <c:pt idx="18">
                  <c:v>3.6753305211939348E-2</c:v>
                </c:pt>
                <c:pt idx="19">
                  <c:v>3.7071685304546603E-2</c:v>
                </c:pt>
                <c:pt idx="20">
                  <c:v>3.7392554084410778E-2</c:v>
                </c:pt>
                <c:pt idx="21">
                  <c:v>3.7715912772152707E-2</c:v>
                </c:pt>
                <c:pt idx="22">
                  <c:v>3.8041762596454996E-2</c:v>
                </c:pt>
                <c:pt idx="23">
                  <c:v>3.8370104794074066E-2</c:v>
                </c:pt>
                <c:pt idx="24">
                  <c:v>3.870094060985238E-2</c:v>
                </c:pt>
                <c:pt idx="25">
                  <c:v>3.9034271296730712E-2</c:v>
                </c:pt>
                <c:pt idx="26">
                  <c:v>3.9370098115760414E-2</c:v>
                </c:pt>
                <c:pt idx="27">
                  <c:v>3.9708422336115885E-2</c:v>
                </c:pt>
                <c:pt idx="28">
                  <c:v>4.0049245235106987E-2</c:v>
                </c:pt>
                <c:pt idx="29">
                  <c:v>4.0392568098191618E-2</c:v>
                </c:pt>
                <c:pt idx="30">
                  <c:v>4.0738392218988291E-2</c:v>
                </c:pt>
                <c:pt idx="31">
                  <c:v>4.1086718899288797E-2</c:v>
                </c:pt>
                <c:pt idx="32">
                  <c:v>4.1437549449070993E-2</c:v>
                </c:pt>
                <c:pt idx="33">
                  <c:v>4.1790885186511639E-2</c:v>
                </c:pt>
                <c:pt idx="34">
                  <c:v>4.2146727437999236E-2</c:v>
                </c:pt>
                <c:pt idx="35">
                  <c:v>4.2505077538147022E-2</c:v>
                </c:pt>
                <c:pt idx="36">
                  <c:v>4.2865936829806016E-2</c:v>
                </c:pt>
                <c:pt idx="37">
                  <c:v>4.3229306664078114E-2</c:v>
                </c:pt>
                <c:pt idx="38">
                  <c:v>4.3595188400329291E-2</c:v>
                </c:pt>
                <c:pt idx="39">
                  <c:v>4.3963583406202815E-2</c:v>
                </c:pt>
                <c:pt idx="40">
                  <c:v>4.4334493057632672E-2</c:v>
                </c:pt>
                <c:pt idx="41">
                  <c:v>4.4707918738856829E-2</c:v>
                </c:pt>
                <c:pt idx="42">
                  <c:v>4.5083861842430829E-2</c:v>
                </c:pt>
                <c:pt idx="43">
                  <c:v>4.5462323769241267E-2</c:v>
                </c:pt>
                <c:pt idx="44">
                  <c:v>4.5843305928519471E-2</c:v>
                </c:pt>
                <c:pt idx="45">
                  <c:v>4.6226809737855139E-2</c:v>
                </c:pt>
                <c:pt idx="46">
                  <c:v>4.661283662321019E-2</c:v>
                </c:pt>
                <c:pt idx="47">
                  <c:v>4.7001388018932527E-2</c:v>
                </c:pt>
                <c:pt idx="48">
                  <c:v>4.7392465367769997E-2</c:v>
                </c:pt>
                <c:pt idx="49">
                  <c:v>4.7786070120884414E-2</c:v>
                </c:pt>
                <c:pt idx="50">
                  <c:v>4.8182203737865581E-2</c:v>
                </c:pt>
                <c:pt idx="51">
                  <c:v>4.8580867686745473E-2</c:v>
                </c:pt>
                <c:pt idx="52">
                  <c:v>4.8982063444012465E-2</c:v>
                </c:pt>
                <c:pt idx="53">
                  <c:v>4.9385792494625588E-2</c:v>
                </c:pt>
                <c:pt idx="54">
                  <c:v>4.9792056332028961E-2</c:v>
                </c:pt>
                <c:pt idx="55">
                  <c:v>5.0200856458166188E-2</c:v>
                </c:pt>
                <c:pt idx="56">
                  <c:v>5.0612194383494943E-2</c:v>
                </c:pt>
                <c:pt idx="57">
                  <c:v>5.102607162700154E-2</c:v>
                </c:pt>
                <c:pt idx="58">
                  <c:v>5.1442489716215622E-2</c:v>
                </c:pt>
                <c:pt idx="59">
                  <c:v>5.186145018722494E-2</c:v>
                </c:pt>
                <c:pt idx="60">
                  <c:v>5.2282954584690164E-2</c:v>
                </c:pt>
                <c:pt idx="61">
                  <c:v>5.2707004461859816E-2</c:v>
                </c:pt>
                <c:pt idx="62">
                  <c:v>5.3133601380585281E-2</c:v>
                </c:pt>
                <c:pt idx="63">
                  <c:v>5.3562746911335848E-2</c:v>
                </c:pt>
                <c:pt idx="64">
                  <c:v>5.3994442633213867E-2</c:v>
                </c:pt>
                <c:pt idx="65">
                  <c:v>5.4428690133970024E-2</c:v>
                </c:pt>
                <c:pt idx="66">
                  <c:v>5.4865491010018572E-2</c:v>
                </c:pt>
                <c:pt idx="67">
                  <c:v>5.5304846866452831E-2</c:v>
                </c:pt>
                <c:pt idx="68">
                  <c:v>5.5746759317060524E-2</c:v>
                </c:pt>
                <c:pt idx="69">
                  <c:v>5.6191229984339446E-2</c:v>
                </c:pt>
                <c:pt idx="70">
                  <c:v>5.6638260499513038E-2</c:v>
                </c:pt>
                <c:pt idx="71">
                  <c:v>5.7087852502546062E-2</c:v>
                </c:pt>
                <c:pt idx="72">
                  <c:v>5.7540007642160496E-2</c:v>
                </c:pt>
                <c:pt idx="73">
                  <c:v>5.7994727575851328E-2</c:v>
                </c:pt>
                <c:pt idx="74">
                  <c:v>5.8452013969902482E-2</c:v>
                </c:pt>
                <c:pt idx="75">
                  <c:v>5.8911868499402956E-2</c:v>
                </c:pt>
                <c:pt idx="76">
                  <c:v>5.9374292848262858E-2</c:v>
                </c:pt>
                <c:pt idx="77">
                  <c:v>5.983928870922961E-2</c:v>
                </c:pt>
                <c:pt idx="78">
                  <c:v>6.0306857783904294E-2</c:v>
                </c:pt>
                <c:pt idx="79">
                  <c:v>6.0777001782757918E-2</c:v>
                </c:pt>
                <c:pt idx="80">
                  <c:v>6.1249722425147944E-2</c:v>
                </c:pt>
                <c:pt idx="81">
                  <c:v>6.1725021439334789E-2</c:v>
                </c:pt>
                <c:pt idx="82">
                  <c:v>6.2202900562498456E-2</c:v>
                </c:pt>
                <c:pt idx="83">
                  <c:v>6.2683361540755156E-2</c:v>
                </c:pt>
                <c:pt idx="84">
                  <c:v>6.3166406129174207E-2</c:v>
                </c:pt>
                <c:pt idx="85">
                  <c:v>6.3652036091794859E-2</c:v>
                </c:pt>
                <c:pt idx="86">
                  <c:v>6.4140253201643127E-2</c:v>
                </c:pt>
                <c:pt idx="87">
                  <c:v>6.4631059240749036E-2</c:v>
                </c:pt>
                <c:pt idx="88">
                  <c:v>6.5124456000163589E-2</c:v>
                </c:pt>
                <c:pt idx="89">
                  <c:v>6.5620445279976014E-2</c:v>
                </c:pt>
                <c:pt idx="90">
                  <c:v>6.611902888933105E-2</c:v>
                </c:pt>
                <c:pt idx="91">
                  <c:v>6.6620208646446355E-2</c:v>
                </c:pt>
                <c:pt idx="92">
                  <c:v>6.712398637862993E-2</c:v>
                </c:pt>
                <c:pt idx="93">
                  <c:v>6.7630363922297737E-2</c:v>
                </c:pt>
                <c:pt idx="94">
                  <c:v>6.8139343122991219E-2</c:v>
                </c:pt>
                <c:pt idx="95">
                  <c:v>6.8650925835395143E-2</c:v>
                </c:pt>
                <c:pt idx="96">
                  <c:v>6.9165113923355351E-2</c:v>
                </c:pt>
                <c:pt idx="97">
                  <c:v>6.9681909259896688E-2</c:v>
                </c:pt>
                <c:pt idx="98">
                  <c:v>7.0201313727240949E-2</c:v>
                </c:pt>
                <c:pt idx="99">
                  <c:v>7.0723329216824976E-2</c:v>
                </c:pt>
                <c:pt idx="100">
                  <c:v>7.1247957629318917E-2</c:v>
                </c:pt>
              </c:numCache>
            </c:numRef>
          </c:yVal>
          <c:smooth val="0"/>
          <c:extLst>
            <c:ext xmlns:c16="http://schemas.microsoft.com/office/drawing/2014/chart" uri="{C3380CC4-5D6E-409C-BE32-E72D297353CC}">
              <c16:uniqueId val="{00000000-F5FB-42D4-A397-414D6630BC17}"/>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xVal>
          <c:yVal>
            <c:numRef>
              <c:f>'Efficiency Calculations'!$BD$9:$BD$109</c:f>
              <c:numCache>
                <c:formatCode>0.000</c:formatCode>
                <c:ptCount val="101"/>
                <c:pt idx="0">
                  <c:v>1.4408345012062917E-3</c:v>
                </c:pt>
                <c:pt idx="1">
                  <c:v>1.6113965160052595E-3</c:v>
                </c:pt>
                <c:pt idx="2">
                  <c:v>1.7836428875980261E-3</c:v>
                </c:pt>
                <c:pt idx="3">
                  <c:v>1.9575730843355691E-3</c:v>
                </c:pt>
                <c:pt idx="4">
                  <c:v>2.133186578411972E-3</c:v>
                </c:pt>
                <c:pt idx="5">
                  <c:v>2.3104828458601402E-3</c:v>
                </c:pt>
                <c:pt idx="6">
                  <c:v>2.4894613665475411E-3</c:v>
                </c:pt>
                <c:pt idx="7">
                  <c:v>2.6701216241719712E-3</c:v>
                </c:pt>
                <c:pt idx="8">
                  <c:v>2.8524631062573362E-3</c:v>
                </c:pt>
                <c:pt idx="9">
                  <c:v>3.0364853041494706E-3</c:v>
                </c:pt>
                <c:pt idx="10">
                  <c:v>3.2221877130119646E-3</c:v>
                </c:pt>
                <c:pt idx="11">
                  <c:v>3.4095698318220278E-3</c:v>
                </c:pt>
                <c:pt idx="12">
                  <c:v>3.5986311633663627E-3</c:v>
                </c:pt>
                <c:pt idx="13">
                  <c:v>3.7893712142370757E-3</c:v>
                </c:pt>
                <c:pt idx="14">
                  <c:v>3.9817894948275994E-3</c:v>
                </c:pt>
                <c:pt idx="15">
                  <c:v>4.1758855193286433E-3</c:v>
                </c:pt>
                <c:pt idx="16">
                  <c:v>4.3716588057241728E-3</c:v>
                </c:pt>
                <c:pt idx="17">
                  <c:v>4.5691088757873928E-3</c:v>
                </c:pt>
                <c:pt idx="18">
                  <c:v>4.8392038484156678E-3</c:v>
                </c:pt>
                <c:pt idx="19">
                  <c:v>5.1194462682323328E-3</c:v>
                </c:pt>
                <c:pt idx="20">
                  <c:v>5.4013652713797919E-3</c:v>
                </c:pt>
                <c:pt idx="21">
                  <c:v>5.684960482425578E-3</c:v>
                </c:pt>
                <c:pt idx="22">
                  <c:v>5.9702315296687259E-3</c:v>
                </c:pt>
                <c:pt idx="23">
                  <c:v>6.2571780451362302E-3</c:v>
                </c:pt>
                <c:pt idx="24">
                  <c:v>6.5457996645795439E-3</c:v>
                </c:pt>
                <c:pt idx="25">
                  <c:v>6.8360960274710808E-3</c:v>
                </c:pt>
                <c:pt idx="26">
                  <c:v>7.1280667770007456E-3</c:v>
                </c:pt>
                <c:pt idx="27">
                  <c:v>7.4217115600724998E-3</c:v>
                </c:pt>
                <c:pt idx="28">
                  <c:v>7.7170300273009208E-3</c:v>
                </c:pt>
                <c:pt idx="29">
                  <c:v>8.0140218330078151E-3</c:v>
                </c:pt>
                <c:pt idx="30">
                  <c:v>8.3126866352188269E-3</c:v>
                </c:pt>
                <c:pt idx="31">
                  <c:v>8.6130240956600879E-3</c:v>
                </c:pt>
                <c:pt idx="32">
                  <c:v>8.9150338797548793E-3</c:v>
                </c:pt>
                <c:pt idx="33">
                  <c:v>9.2187156566203125E-3</c:v>
                </c:pt>
                <c:pt idx="34">
                  <c:v>9.5240690990640482E-3</c:v>
                </c:pt>
                <c:pt idx="35">
                  <c:v>9.8310938835810113E-3</c:v>
                </c:pt>
                <c:pt idx="36">
                  <c:v>1.0139789690350147E-2</c:v>
                </c:pt>
                <c:pt idx="37">
                  <c:v>1.0450156203231203E-2</c:v>
                </c:pt>
                <c:pt idx="38">
                  <c:v>1.0762193109761514E-2</c:v>
                </c:pt>
                <c:pt idx="39">
                  <c:v>1.1075900101152811E-2</c:v>
                </c:pt>
                <c:pt idx="40">
                  <c:v>1.1391276872288083E-2</c:v>
                </c:pt>
                <c:pt idx="41">
                  <c:v>1.1708323121718406E-2</c:v>
                </c:pt>
                <c:pt idx="42">
                  <c:v>1.2027038551659847E-2</c:v>
                </c:pt>
                <c:pt idx="43">
                  <c:v>1.2347422867990348E-2</c:v>
                </c:pt>
                <c:pt idx="44">
                  <c:v>1.2669475780246672E-2</c:v>
                </c:pt>
                <c:pt idx="45">
                  <c:v>1.2993197001621319E-2</c:v>
                </c:pt>
                <c:pt idx="46">
                  <c:v>1.331858624895952E-2</c:v>
                </c:pt>
                <c:pt idx="47">
                  <c:v>1.3645643242756189E-2</c:v>
                </c:pt>
                <c:pt idx="48">
                  <c:v>1.3974367707152983E-2</c:v>
                </c:pt>
                <c:pt idx="49">
                  <c:v>1.4304759369935287E-2</c:v>
                </c:pt>
                <c:pt idx="50">
                  <c:v>1.463681796252927E-2</c:v>
                </c:pt>
                <c:pt idx="51">
                  <c:v>1.4970543219998984E-2</c:v>
                </c:pt>
                <c:pt idx="52">
                  <c:v>1.5305934881043436E-2</c:v>
                </c:pt>
                <c:pt idx="53">
                  <c:v>1.5642992687993698E-2</c:v>
                </c:pt>
                <c:pt idx="54">
                  <c:v>1.5981716386810053E-2</c:v>
                </c:pt>
                <c:pt idx="55">
                  <c:v>1.6322105727079157E-2</c:v>
                </c:pt>
                <c:pt idx="56">
                  <c:v>1.6664160462011197E-2</c:v>
                </c:pt>
                <c:pt idx="57">
                  <c:v>1.7007880348437109E-2</c:v>
                </c:pt>
                <c:pt idx="58">
                  <c:v>1.7353265146805769E-2</c:v>
                </c:pt>
                <c:pt idx="59">
                  <c:v>1.7700314621181275E-2</c:v>
                </c:pt>
                <c:pt idx="60">
                  <c:v>1.8049028539240165E-2</c:v>
                </c:pt>
                <c:pt idx="61">
                  <c:v>1.8399406672268716E-2</c:v>
                </c:pt>
                <c:pt idx="62">
                  <c:v>1.8751448795160268E-2</c:v>
                </c:pt>
                <c:pt idx="63">
                  <c:v>1.9105154686412495E-2</c:v>
                </c:pt>
                <c:pt idx="64">
                  <c:v>1.9460524128124792E-2</c:v>
                </c:pt>
                <c:pt idx="65">
                  <c:v>1.9817556905995626E-2</c:v>
                </c:pt>
                <c:pt idx="66">
                  <c:v>2.0176252809319922E-2</c:v>
                </c:pt>
                <c:pt idx="67">
                  <c:v>2.0536611630986461E-2</c:v>
                </c:pt>
                <c:pt idx="68">
                  <c:v>2.0898633167475301E-2</c:v>
                </c:pt>
                <c:pt idx="69">
                  <c:v>2.1262317218855246E-2</c:v>
                </c:pt>
                <c:pt idx="70">
                  <c:v>2.1627663588781293E-2</c:v>
                </c:pt>
                <c:pt idx="71">
                  <c:v>2.1994672084492115E-2</c:v>
                </c:pt>
                <c:pt idx="72">
                  <c:v>2.2363342516807591E-2</c:v>
                </c:pt>
                <c:pt idx="73">
                  <c:v>2.2733674700126324E-2</c:v>
                </c:pt>
                <c:pt idx="74">
                  <c:v>2.3105668452423154E-2</c:v>
                </c:pt>
                <c:pt idx="75">
                  <c:v>2.3479323595246796E-2</c:v>
                </c:pt>
                <c:pt idx="76">
                  <c:v>2.3854639953717359E-2</c:v>
                </c:pt>
                <c:pt idx="77">
                  <c:v>2.4231617356523995E-2</c:v>
                </c:pt>
                <c:pt idx="78">
                  <c:v>2.4610255635922527E-2</c:v>
                </c:pt>
                <c:pt idx="79">
                  <c:v>2.4990554627733086E-2</c:v>
                </c:pt>
                <c:pt idx="80">
                  <c:v>2.5372514171337759E-2</c:v>
                </c:pt>
                <c:pt idx="81">
                  <c:v>2.5756134109678336E-2</c:v>
                </c:pt>
                <c:pt idx="82">
                  <c:v>2.614141428925397E-2</c:v>
                </c:pt>
                <c:pt idx="83">
                  <c:v>2.652835456011891E-2</c:v>
                </c:pt>
                <c:pt idx="84">
                  <c:v>2.6916954775880284E-2</c:v>
                </c:pt>
                <c:pt idx="85">
                  <c:v>2.7307214793695835E-2</c:v>
                </c:pt>
                <c:pt idx="86">
                  <c:v>2.7699134474271716E-2</c:v>
                </c:pt>
                <c:pt idx="87">
                  <c:v>2.8092713681860317E-2</c:v>
                </c:pt>
                <c:pt idx="88">
                  <c:v>2.8487952284258072E-2</c:v>
                </c:pt>
                <c:pt idx="89">
                  <c:v>2.8884850152803322E-2</c:v>
                </c:pt>
                <c:pt idx="90">
                  <c:v>2.9283407162374174E-2</c:v>
                </c:pt>
                <c:pt idx="91">
                  <c:v>2.9683623191386409E-2</c:v>
                </c:pt>
                <c:pt idx="92">
                  <c:v>3.0085498121791357E-2</c:v>
                </c:pt>
                <c:pt idx="93">
                  <c:v>3.0489031839073841E-2</c:v>
                </c:pt>
                <c:pt idx="94">
                  <c:v>3.0894224232250161E-2</c:v>
                </c:pt>
                <c:pt idx="95">
                  <c:v>3.1301075193866004E-2</c:v>
                </c:pt>
                <c:pt idx="96">
                  <c:v>3.1709584619994437E-2</c:v>
                </c:pt>
                <c:pt idx="97">
                  <c:v>3.2119752410233959E-2</c:v>
                </c:pt>
                <c:pt idx="98">
                  <c:v>3.2531578467706518E-2</c:v>
                </c:pt>
                <c:pt idx="99">
                  <c:v>3.294506269905547E-2</c:v>
                </c:pt>
                <c:pt idx="100">
                  <c:v>3.3360205014443783E-2</c:v>
                </c:pt>
              </c:numCache>
            </c:numRef>
          </c:yVal>
          <c:smooth val="0"/>
          <c:extLst>
            <c:ext xmlns:c16="http://schemas.microsoft.com/office/drawing/2014/chart" uri="{C3380CC4-5D6E-409C-BE32-E72D297353CC}">
              <c16:uniqueId val="{00000001-F5FB-42D4-A397-414D6630BC17}"/>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xVal>
          <c:yVal>
            <c:numRef>
              <c:f>'Efficiency Calculations'!$U$9:$U$109</c:f>
              <c:numCache>
                <c:formatCode>0.000</c:formatCode>
                <c:ptCount val="101"/>
                <c:pt idx="0">
                  <c:v>0.20012418908673157</c:v>
                </c:pt>
                <c:pt idx="1">
                  <c:v>0.20012547964160698</c:v>
                </c:pt>
                <c:pt idx="2">
                  <c:v>0.20012932167146111</c:v>
                </c:pt>
                <c:pt idx="3">
                  <c:v>0.20013571518092513</c:v>
                </c:pt>
                <c:pt idx="4">
                  <c:v>0.20014466017770585</c:v>
                </c:pt>
                <c:pt idx="5">
                  <c:v>0.20015615667258574</c:v>
                </c:pt>
                <c:pt idx="6">
                  <c:v>0.20017020467942284</c:v>
                </c:pt>
                <c:pt idx="7">
                  <c:v>0.20018680421515089</c:v>
                </c:pt>
                <c:pt idx="8">
                  <c:v>0.20020595529977939</c:v>
                </c:pt>
                <c:pt idx="9">
                  <c:v>0.20022765795639363</c:v>
                </c:pt>
                <c:pt idx="10">
                  <c:v>0.20025191221115474</c:v>
                </c:pt>
                <c:pt idx="11">
                  <c:v>0.20027871809329986</c:v>
                </c:pt>
                <c:pt idx="12">
                  <c:v>0.20030807563514208</c:v>
                </c:pt>
                <c:pt idx="13">
                  <c:v>0.20033998487207072</c:v>
                </c:pt>
                <c:pt idx="14">
                  <c:v>0.20037444584255121</c:v>
                </c:pt>
                <c:pt idx="15">
                  <c:v>0.20041145858812548</c:v>
                </c:pt>
                <c:pt idx="16">
                  <c:v>0.20045102315341182</c:v>
                </c:pt>
                <c:pt idx="17">
                  <c:v>0.20049313958610521</c:v>
                </c:pt>
                <c:pt idx="18">
                  <c:v>0.20053780793697731</c:v>
                </c:pt>
                <c:pt idx="19">
                  <c:v>0.20058502825987679</c:v>
                </c:pt>
                <c:pt idx="20">
                  <c:v>0.20063480061172931</c:v>
                </c:pt>
                <c:pt idx="21">
                  <c:v>0.20068712505253783</c:v>
                </c:pt>
                <c:pt idx="22">
                  <c:v>0.20074200164538264</c:v>
                </c:pt>
                <c:pt idx="23">
                  <c:v>0.20079943045642182</c:v>
                </c:pt>
                <c:pt idx="24">
                  <c:v>0.20085941155489107</c:v>
                </c:pt>
                <c:pt idx="25">
                  <c:v>0.20092194501310423</c:v>
                </c:pt>
                <c:pt idx="26">
                  <c:v>0.20098703090645337</c:v>
                </c:pt>
                <c:pt idx="27">
                  <c:v>0.20105466931340901</c:v>
                </c:pt>
                <c:pt idx="28">
                  <c:v>0.20112486031552035</c:v>
                </c:pt>
                <c:pt idx="29">
                  <c:v>0.2011976039974156</c:v>
                </c:pt>
                <c:pt idx="30">
                  <c:v>0.2012729004468021</c:v>
                </c:pt>
                <c:pt idx="31">
                  <c:v>0.20135074975446673</c:v>
                </c:pt>
                <c:pt idx="32">
                  <c:v>0.20143115201427611</c:v>
                </c:pt>
                <c:pt idx="33">
                  <c:v>0.20151410732317684</c:v>
                </c:pt>
                <c:pt idx="34">
                  <c:v>0.20159961578119587</c:v>
                </c:pt>
                <c:pt idx="35">
                  <c:v>0.20168767749144076</c:v>
                </c:pt>
                <c:pt idx="36">
                  <c:v>0.20177829256009999</c:v>
                </c:pt>
                <c:pt idx="37">
                  <c:v>0.20187146109644336</c:v>
                </c:pt>
                <c:pt idx="38">
                  <c:v>0.20196718321282214</c:v>
                </c:pt>
                <c:pt idx="39">
                  <c:v>0.20206545902466963</c:v>
                </c:pt>
                <c:pt idx="40">
                  <c:v>0.20216628865050132</c:v>
                </c:pt>
                <c:pt idx="41">
                  <c:v>0.20226967221191539</c:v>
                </c:pt>
                <c:pt idx="42">
                  <c:v>0.20237560983359293</c:v>
                </c:pt>
                <c:pt idx="43">
                  <c:v>0.20248410164329841</c:v>
                </c:pt>
                <c:pt idx="44">
                  <c:v>0.2025951477718802</c:v>
                </c:pt>
                <c:pt idx="45">
                  <c:v>0.20270874835327063</c:v>
                </c:pt>
                <c:pt idx="46">
                  <c:v>0.20282490352448673</c:v>
                </c:pt>
                <c:pt idx="47">
                  <c:v>0.2029436134256303</c:v>
                </c:pt>
                <c:pt idx="48">
                  <c:v>0.20306487819988875</c:v>
                </c:pt>
                <c:pt idx="49">
                  <c:v>0.2031886979935352</c:v>
                </c:pt>
                <c:pt idx="50">
                  <c:v>0.20331507295592904</c:v>
                </c:pt>
                <c:pt idx="51">
                  <c:v>0.20344400323951634</c:v>
                </c:pt>
                <c:pt idx="52">
                  <c:v>0.20357548899983041</c:v>
                </c:pt>
                <c:pt idx="53">
                  <c:v>0.20370953039549219</c:v>
                </c:pt>
                <c:pt idx="54">
                  <c:v>0.20384612758821063</c:v>
                </c:pt>
                <c:pt idx="55">
                  <c:v>0.20398528074278349</c:v>
                </c:pt>
                <c:pt idx="56">
                  <c:v>0.20412699002709742</c:v>
                </c:pt>
                <c:pt idx="57">
                  <c:v>0.20427125561212883</c:v>
                </c:pt>
                <c:pt idx="58">
                  <c:v>0.20441807767194423</c:v>
                </c:pt>
                <c:pt idx="59">
                  <c:v>0.20456745638370066</c:v>
                </c:pt>
                <c:pt idx="60">
                  <c:v>0.20471939192764654</c:v>
                </c:pt>
                <c:pt idx="61">
                  <c:v>0.20487388448712193</c:v>
                </c:pt>
                <c:pt idx="62">
                  <c:v>0.20503093424855912</c:v>
                </c:pt>
                <c:pt idx="63">
                  <c:v>0.20519054140148332</c:v>
                </c:pt>
                <c:pt idx="64">
                  <c:v>0.20535270613851311</c:v>
                </c:pt>
                <c:pt idx="65">
                  <c:v>0.20551742865536118</c:v>
                </c:pt>
                <c:pt idx="66">
                  <c:v>0.20568470915083464</c:v>
                </c:pt>
                <c:pt idx="67">
                  <c:v>0.20585454782683593</c:v>
                </c:pt>
                <c:pt idx="68">
                  <c:v>0.20602694488836323</c:v>
                </c:pt>
                <c:pt idx="69">
                  <c:v>0.20620190054351115</c:v>
                </c:pt>
                <c:pt idx="70">
                  <c:v>0.20637941500347132</c:v>
                </c:pt>
                <c:pt idx="71">
                  <c:v>0.20655948848253314</c:v>
                </c:pt>
                <c:pt idx="72">
                  <c:v>0.2067421211980843</c:v>
                </c:pt>
                <c:pt idx="73">
                  <c:v>0.20692731337061138</c:v>
                </c:pt>
                <c:pt idx="74">
                  <c:v>0.20711506522370079</c:v>
                </c:pt>
                <c:pt idx="75">
                  <c:v>0.2073053769840392</c:v>
                </c:pt>
                <c:pt idx="76">
                  <c:v>0.20749824888141419</c:v>
                </c:pt>
                <c:pt idx="77">
                  <c:v>0.2076936811487152</c:v>
                </c:pt>
                <c:pt idx="78">
                  <c:v>0.20789167402193404</c:v>
                </c:pt>
                <c:pt idx="79">
                  <c:v>0.20809222774016561</c:v>
                </c:pt>
                <c:pt idx="80">
                  <c:v>0.20829534254560869</c:v>
                </c:pt>
                <c:pt idx="81">
                  <c:v>0.20850101868356666</c:v>
                </c:pt>
                <c:pt idx="82">
                  <c:v>0.20870925640244811</c:v>
                </c:pt>
                <c:pt idx="83">
                  <c:v>0.20892005595376786</c:v>
                </c:pt>
                <c:pt idx="84">
                  <c:v>0.20913341759214749</c:v>
                </c:pt>
                <c:pt idx="85">
                  <c:v>0.20934934157531612</c:v>
                </c:pt>
                <c:pt idx="86">
                  <c:v>0.20956782816411137</c:v>
                </c:pt>
                <c:pt idx="87">
                  <c:v>0.20978887762247997</c:v>
                </c:pt>
                <c:pt idx="88">
                  <c:v>0.21001249021747859</c:v>
                </c:pt>
                <c:pt idx="89">
                  <c:v>0.21023866621927473</c:v>
                </c:pt>
                <c:pt idx="90">
                  <c:v>0.21046740590114746</c:v>
                </c:pt>
                <c:pt idx="91">
                  <c:v>0.21069870953948824</c:v>
                </c:pt>
                <c:pt idx="92">
                  <c:v>0.21093257741380186</c:v>
                </c:pt>
                <c:pt idx="93">
                  <c:v>0.21116900980670716</c:v>
                </c:pt>
                <c:pt idx="94">
                  <c:v>0.21140800700393783</c:v>
                </c:pt>
                <c:pt idx="95">
                  <c:v>0.21164956929434364</c:v>
                </c:pt>
                <c:pt idx="96">
                  <c:v>0.21189369696989077</c:v>
                </c:pt>
                <c:pt idx="97">
                  <c:v>0.21214039032566318</c:v>
                </c:pt>
                <c:pt idx="98">
                  <c:v>0.21238964965986318</c:v>
                </c:pt>
                <c:pt idx="99">
                  <c:v>0.21264147527381252</c:v>
                </c:pt>
                <c:pt idx="100">
                  <c:v>0.21289586747195316</c:v>
                </c:pt>
              </c:numCache>
            </c:numRef>
          </c:yVal>
          <c:smooth val="0"/>
          <c:extLst>
            <c:ext xmlns:c16="http://schemas.microsoft.com/office/drawing/2014/chart" uri="{C3380CC4-5D6E-409C-BE32-E72D297353CC}">
              <c16:uniqueId val="{00000002-F5FB-42D4-A397-414D6630BC17}"/>
            </c:ext>
          </c:extLst>
        </c:ser>
        <c:dLbls>
          <c:showLegendKey val="0"/>
          <c:showVal val="0"/>
          <c:showCatName val="0"/>
          <c:showSerName val="0"/>
          <c:showPercent val="0"/>
          <c:showBubbleSize val="0"/>
        </c:dLbls>
        <c:axId val="334025088"/>
        <c:axId val="334027008"/>
      </c:scatterChart>
      <c:valAx>
        <c:axId val="334025088"/>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7008"/>
        <c:crosses val="autoZero"/>
        <c:crossBetween val="midCat"/>
      </c:valAx>
      <c:valAx>
        <c:axId val="334027008"/>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508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xVal>
          <c:yVal>
            <c:numRef>
              <c:f>'Efficiency Calculations'!$AV$9:$AV$109</c:f>
              <c:numCache>
                <c:formatCode>0.0%</c:formatCode>
                <c:ptCount val="101"/>
                <c:pt idx="0">
                  <c:v>0</c:v>
                </c:pt>
                <c:pt idx="1">
                  <c:v>0.15640208620253154</c:v>
                </c:pt>
                <c:pt idx="2">
                  <c:v>0.27014448072962649</c:v>
                </c:pt>
                <c:pt idx="3">
                  <c:v>0.35656963957816873</c:v>
                </c:pt>
                <c:pt idx="4">
                  <c:v>0.42445043764557877</c:v>
                </c:pt>
                <c:pt idx="5">
                  <c:v>0.47916648411766921</c:v>
                </c:pt>
                <c:pt idx="6">
                  <c:v>0.52420007183690487</c:v>
                </c:pt>
                <c:pt idx="7">
                  <c:v>0.56190484983474798</c:v>
                </c:pt>
                <c:pt idx="8">
                  <c:v>0.59392880528572922</c:v>
                </c:pt>
                <c:pt idx="9">
                  <c:v>0.62146028423007982</c:v>
                </c:pt>
                <c:pt idx="10">
                  <c:v>0.64537779464315415</c:v>
                </c:pt>
                <c:pt idx="11">
                  <c:v>0.66634480734927526</c:v>
                </c:pt>
                <c:pt idx="12">
                  <c:v>0.68487175671236478</c:v>
                </c:pt>
                <c:pt idx="13">
                  <c:v>0.70135775924010613</c:v>
                </c:pt>
                <c:pt idx="14">
                  <c:v>0.71611939051024742</c:v>
                </c:pt>
                <c:pt idx="15">
                  <c:v>0.72941097395929599</c:v>
                </c:pt>
                <c:pt idx="16">
                  <c:v>0.74143916563632728</c:v>
                </c:pt>
                <c:pt idx="17">
                  <c:v>0.75237362209921455</c:v>
                </c:pt>
                <c:pt idx="18">
                  <c:v>0.74515582418385029</c:v>
                </c:pt>
                <c:pt idx="19">
                  <c:v>0.75471518630687684</c:v>
                </c:pt>
                <c:pt idx="20">
                  <c:v>0.76351941468541284</c:v>
                </c:pt>
                <c:pt idx="21">
                  <c:v>0.77165299119562492</c:v>
                </c:pt>
                <c:pt idx="22">
                  <c:v>0.77918824973639766</c:v>
                </c:pt>
                <c:pt idx="23">
                  <c:v>0.78618748396317206</c:v>
                </c:pt>
                <c:pt idx="24">
                  <c:v>0.79270463089671217</c:v>
                </c:pt>
                <c:pt idx="25">
                  <c:v>0.79878662674373035</c:v>
                </c:pt>
                <c:pt idx="26">
                  <c:v>0.80447450704401824</c:v>
                </c:pt>
                <c:pt idx="27">
                  <c:v>0.80980430567924311</c:v>
                </c:pt>
                <c:pt idx="28">
                  <c:v>0.81480779437756568</c:v>
                </c:pt>
                <c:pt idx="29">
                  <c:v>0.81951309478200862</c:v>
                </c:pt>
                <c:pt idx="30">
                  <c:v>0.8239451879880183</c:v>
                </c:pt>
                <c:pt idx="31">
                  <c:v>0.82812634104402216</c:v>
                </c:pt>
                <c:pt idx="32">
                  <c:v>0.83207646578504024</c:v>
                </c:pt>
                <c:pt idx="33">
                  <c:v>0.83581342220175869</c:v>
                </c:pt>
                <c:pt idx="34">
                  <c:v>0.83935327609581944</c:v>
                </c:pt>
                <c:pt idx="35">
                  <c:v>0.8427105188609878</c:v>
                </c:pt>
                <c:pt idx="36">
                  <c:v>0.84589825573008093</c:v>
                </c:pt>
                <c:pt idx="37">
                  <c:v>0.84892836764300594</c:v>
                </c:pt>
                <c:pt idx="38">
                  <c:v>0.85181165095001132</c:v>
                </c:pt>
                <c:pt idx="39">
                  <c:v>0.85455793841204231</c:v>
                </c:pt>
                <c:pt idx="40">
                  <c:v>0.85717620435561837</c:v>
                </c:pt>
                <c:pt idx="41">
                  <c:v>0.85967465635139229</c:v>
                </c:pt>
                <c:pt idx="42">
                  <c:v>0.86206081538918178</c:v>
                </c:pt>
                <c:pt idx="43">
                  <c:v>0.8643415861989755</c:v>
                </c:pt>
                <c:pt idx="44">
                  <c:v>0.86652331910252534</c:v>
                </c:pt>
                <c:pt idx="45">
                  <c:v>0.86861186456216666</c:v>
                </c:pt>
                <c:pt idx="46">
                  <c:v>0.87061262141339257</c:v>
                </c:pt>
                <c:pt idx="47">
                  <c:v>0.8725305796182814</c:v>
                </c:pt>
                <c:pt idx="48">
                  <c:v>0.87437035825244724</c:v>
                </c:pt>
                <c:pt idx="49">
                  <c:v>0.8761362393341704</c:v>
                </c:pt>
                <c:pt idx="50">
                  <c:v>0.87783219801713863</c:v>
                </c:pt>
                <c:pt idx="51">
                  <c:v>0.87946192959480118</c:v>
                </c:pt>
                <c:pt idx="52">
                  <c:v>0.88102887370235794</c:v>
                </c:pt>
                <c:pt idx="53">
                  <c:v>0.8825362360498985</c:v>
                </c:pt>
                <c:pt idx="54">
                  <c:v>0.88398700797560115</c:v>
                </c:pt>
                <c:pt idx="55">
                  <c:v>0.88538398406989804</c:v>
                </c:pt>
                <c:pt idx="56">
                  <c:v>0.88672977808904563</c:v>
                </c:pt>
                <c:pt idx="57">
                  <c:v>0.88802683734871546</c:v>
                </c:pt>
                <c:pt idx="58">
                  <c:v>0.88927745576433115</c:v>
                </c:pt>
                <c:pt idx="59">
                  <c:v>0.89048378568429387</c:v>
                </c:pt>
                <c:pt idx="60">
                  <c:v>0.89164784864447943</c:v>
                </c:pt>
                <c:pt idx="61">
                  <c:v>0.89277154515701784</c:v>
                </c:pt>
                <c:pt idx="62">
                  <c:v>0.89385666363303418</c:v>
                </c:pt>
                <c:pt idx="63">
                  <c:v>0.89490488852744177</c:v>
                </c:pt>
                <c:pt idx="64">
                  <c:v>0.89591780778378893</c:v>
                </c:pt>
                <c:pt idx="65">
                  <c:v>0.89689691964834006</c:v>
                </c:pt>
                <c:pt idx="66">
                  <c:v>0.89784363891487851</c:v>
                </c:pt>
                <c:pt idx="67">
                  <c:v>0.89875930265494919</c:v>
                </c:pt>
                <c:pt idx="68">
                  <c:v>0.89964517548234091</c:v>
                </c:pt>
                <c:pt idx="69">
                  <c:v>0.90050245439538279</c:v>
                </c:pt>
                <c:pt idx="70">
                  <c:v>0.90133227323603482</c:v>
                </c:pt>
                <c:pt idx="71">
                  <c:v>0.90213570680069088</c:v>
                </c:pt>
                <c:pt idx="72">
                  <c:v>0.90291377463402778</c:v>
                </c:pt>
                <c:pt idx="73">
                  <c:v>0.90366744453404335</c:v>
                </c:pt>
                <c:pt idx="74">
                  <c:v>0.9043976357936182</c:v>
                </c:pt>
                <c:pt idx="75">
                  <c:v>0.90510522220142076</c:v>
                </c:pt>
                <c:pt idx="76">
                  <c:v>0.90579103482274193</c:v>
                </c:pt>
                <c:pt idx="77">
                  <c:v>0.90645586457886473</c:v>
                </c:pt>
                <c:pt idx="78">
                  <c:v>0.90710046464179184</c:v>
                </c:pt>
                <c:pt idx="79">
                  <c:v>0.90772555265956978</c:v>
                </c:pt>
                <c:pt idx="80">
                  <c:v>0.90833181282602882</c:v>
                </c:pt>
                <c:pt idx="81">
                  <c:v>0.90891989780748073</c:v>
                </c:pt>
                <c:pt idx="82">
                  <c:v>0.90949043053777956</c:v>
                </c:pt>
                <c:pt idx="83">
                  <c:v>0.91004400589211776</c:v>
                </c:pt>
                <c:pt idx="84">
                  <c:v>0.91058119224900924</c:v>
                </c:pt>
                <c:pt idx="85">
                  <c:v>0.91110253294907884</c:v>
                </c:pt>
                <c:pt idx="86">
                  <c:v>0.91160854765852206</c:v>
                </c:pt>
                <c:pt idx="87">
                  <c:v>0.91209973364442931</c:v>
                </c:pt>
                <c:pt idx="88">
                  <c:v>0.91257656696854628</c:v>
                </c:pt>
                <c:pt idx="89">
                  <c:v>0.91303950360549513</c:v>
                </c:pt>
                <c:pt idx="90">
                  <c:v>0.9134889804909736</c:v>
                </c:pt>
                <c:pt idx="91">
                  <c:v>0.91392541650499393</c:v>
                </c:pt>
                <c:pt idx="92">
                  <c:v>0.91434921339481234</c:v>
                </c:pt>
                <c:pt idx="93">
                  <c:v>0.91476075664182033</c:v>
                </c:pt>
                <c:pt idx="94">
                  <c:v>0.91516041627632572</c:v>
                </c:pt>
                <c:pt idx="95">
                  <c:v>0.9155485476438453</c:v>
                </c:pt>
                <c:pt idx="96">
                  <c:v>0.9159254921262393</c:v>
                </c:pt>
                <c:pt idx="97">
                  <c:v>0.91629157782076476</c:v>
                </c:pt>
                <c:pt idx="98">
                  <c:v>0.91664712017988237</c:v>
                </c:pt>
                <c:pt idx="99">
                  <c:v>0.91699242261444014</c:v>
                </c:pt>
                <c:pt idx="100">
                  <c:v>0.91732777706265622</c:v>
                </c:pt>
              </c:numCache>
            </c:numRef>
          </c:yVal>
          <c:smooth val="0"/>
          <c:extLst>
            <c:ext xmlns:c16="http://schemas.microsoft.com/office/drawing/2014/chart" uri="{C3380CC4-5D6E-409C-BE32-E72D297353CC}">
              <c16:uniqueId val="{00000000-EB57-4071-85DB-21E836E81E4D}"/>
            </c:ext>
          </c:extLst>
        </c:ser>
        <c:dLbls>
          <c:showLegendKey val="0"/>
          <c:showVal val="0"/>
          <c:showCatName val="0"/>
          <c:showSerName val="0"/>
          <c:showPercent val="0"/>
          <c:showBubbleSize val="0"/>
        </c:dLbls>
        <c:axId val="44440576"/>
        <c:axId val="333276288"/>
      </c:scatterChart>
      <c:valAx>
        <c:axId val="4444057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333276288"/>
        <c:crosses val="autoZero"/>
        <c:crossBetween val="midCat"/>
      </c:valAx>
      <c:valAx>
        <c:axId val="33327628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44057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cat>
          <c:val>
            <c:numRef>
              <c:f>'Efficiency Calculations'!$AZ$9:$AZ$109</c:f>
              <c:numCache>
                <c:formatCode>0.00</c:formatCode>
                <c:ptCount val="101"/>
                <c:pt idx="0">
                  <c:v>0</c:v>
                </c:pt>
                <c:pt idx="1">
                  <c:v>15.640208620253155</c:v>
                </c:pt>
                <c:pt idx="2">
                  <c:v>27.014448072962651</c:v>
                </c:pt>
                <c:pt idx="3">
                  <c:v>35.65696395781687</c:v>
                </c:pt>
                <c:pt idx="4">
                  <c:v>42.44504376455788</c:v>
                </c:pt>
                <c:pt idx="5">
                  <c:v>47.916648411766921</c:v>
                </c:pt>
                <c:pt idx="6">
                  <c:v>52.420007183690487</c:v>
                </c:pt>
                <c:pt idx="7">
                  <c:v>56.190484983474796</c:v>
                </c:pt>
                <c:pt idx="8">
                  <c:v>59.392880528572924</c:v>
                </c:pt>
                <c:pt idx="9">
                  <c:v>62.146028423007984</c:v>
                </c:pt>
                <c:pt idx="10">
                  <c:v>64.53777946431542</c:v>
                </c:pt>
                <c:pt idx="11">
                  <c:v>66.634480734927521</c:v>
                </c:pt>
                <c:pt idx="12">
                  <c:v>68.487175671236471</c:v>
                </c:pt>
                <c:pt idx="13">
                  <c:v>70.135775924010616</c:v>
                </c:pt>
                <c:pt idx="14">
                  <c:v>71.611939051024748</c:v>
                </c:pt>
                <c:pt idx="15">
                  <c:v>72.941097395929603</c:v>
                </c:pt>
                <c:pt idx="16">
                  <c:v>74.143916563632729</c:v>
                </c:pt>
                <c:pt idx="17">
                  <c:v>75.237362209921457</c:v>
                </c:pt>
                <c:pt idx="18">
                  <c:v>74.515582418385023</c:v>
                </c:pt>
                <c:pt idx="19">
                  <c:v>75.471518630687683</c:v>
                </c:pt>
                <c:pt idx="20">
                  <c:v>76.351941468541284</c:v>
                </c:pt>
                <c:pt idx="21">
                  <c:v>77.165299119562491</c:v>
                </c:pt>
                <c:pt idx="22">
                  <c:v>77.918824973639772</c:v>
                </c:pt>
                <c:pt idx="23">
                  <c:v>78.618748396317201</c:v>
                </c:pt>
                <c:pt idx="24">
                  <c:v>79.27046308967121</c:v>
                </c:pt>
                <c:pt idx="25">
                  <c:v>79.878662674373032</c:v>
                </c:pt>
                <c:pt idx="26">
                  <c:v>80.447450704401831</c:v>
                </c:pt>
                <c:pt idx="27">
                  <c:v>80.980430567924316</c:v>
                </c:pt>
                <c:pt idx="28">
                  <c:v>81.480779437756567</c:v>
                </c:pt>
                <c:pt idx="29">
                  <c:v>81.951309478200869</c:v>
                </c:pt>
                <c:pt idx="30">
                  <c:v>82.394518798801826</c:v>
                </c:pt>
                <c:pt idx="31">
                  <c:v>82.812634104402221</c:v>
                </c:pt>
                <c:pt idx="32">
                  <c:v>83.207646578504026</c:v>
                </c:pt>
                <c:pt idx="33">
                  <c:v>83.58134222017587</c:v>
                </c:pt>
                <c:pt idx="34">
                  <c:v>83.935327609581947</c:v>
                </c:pt>
                <c:pt idx="35">
                  <c:v>84.271051886098775</c:v>
                </c:pt>
                <c:pt idx="36">
                  <c:v>84.589825573008099</c:v>
                </c:pt>
                <c:pt idx="37">
                  <c:v>84.892836764300597</c:v>
                </c:pt>
                <c:pt idx="38">
                  <c:v>85.181165095001134</c:v>
                </c:pt>
                <c:pt idx="39">
                  <c:v>85.455793841204226</c:v>
                </c:pt>
                <c:pt idx="40">
                  <c:v>85.717620435561841</c:v>
                </c:pt>
                <c:pt idx="41">
                  <c:v>85.967465635139234</c:v>
                </c:pt>
                <c:pt idx="42">
                  <c:v>86.206081538918184</c:v>
                </c:pt>
                <c:pt idx="43">
                  <c:v>86.434158619897545</c:v>
                </c:pt>
                <c:pt idx="44">
                  <c:v>86.652331910252528</c:v>
                </c:pt>
                <c:pt idx="45">
                  <c:v>86.861186456216672</c:v>
                </c:pt>
                <c:pt idx="46">
                  <c:v>87.061262141339256</c:v>
                </c:pt>
                <c:pt idx="47">
                  <c:v>87.253057961828134</c:v>
                </c:pt>
                <c:pt idx="48">
                  <c:v>87.43703582524472</c:v>
                </c:pt>
                <c:pt idx="49">
                  <c:v>87.613623933417045</c:v>
                </c:pt>
                <c:pt idx="50">
                  <c:v>87.783219801713869</c:v>
                </c:pt>
                <c:pt idx="51">
                  <c:v>87.946192959480115</c:v>
                </c:pt>
                <c:pt idx="52">
                  <c:v>88.102887370235791</c:v>
                </c:pt>
                <c:pt idx="53">
                  <c:v>88.253623604989855</c:v>
                </c:pt>
                <c:pt idx="54">
                  <c:v>88.39870079756011</c:v>
                </c:pt>
                <c:pt idx="55">
                  <c:v>88.538398406989799</c:v>
                </c:pt>
                <c:pt idx="56">
                  <c:v>88.672977808904562</c:v>
                </c:pt>
                <c:pt idx="57">
                  <c:v>88.80268373487155</c:v>
                </c:pt>
                <c:pt idx="58">
                  <c:v>88.927745576433111</c:v>
                </c:pt>
                <c:pt idx="59">
                  <c:v>89.048378568429385</c:v>
                </c:pt>
                <c:pt idx="60">
                  <c:v>89.164784864447938</c:v>
                </c:pt>
                <c:pt idx="61">
                  <c:v>89.277154515701781</c:v>
                </c:pt>
                <c:pt idx="62">
                  <c:v>89.385666363303415</c:v>
                </c:pt>
                <c:pt idx="63">
                  <c:v>89.490488852744178</c:v>
                </c:pt>
                <c:pt idx="64">
                  <c:v>89.59178077837889</c:v>
                </c:pt>
                <c:pt idx="65">
                  <c:v>89.689691964834012</c:v>
                </c:pt>
                <c:pt idx="66">
                  <c:v>89.784363891487857</c:v>
                </c:pt>
                <c:pt idx="67">
                  <c:v>89.875930265494915</c:v>
                </c:pt>
                <c:pt idx="68">
                  <c:v>89.964517548234085</c:v>
                </c:pt>
                <c:pt idx="69">
                  <c:v>90.050245439538273</c:v>
                </c:pt>
                <c:pt idx="70">
                  <c:v>90.133227323603478</c:v>
                </c:pt>
                <c:pt idx="71">
                  <c:v>90.213570680069083</c:v>
                </c:pt>
                <c:pt idx="72">
                  <c:v>90.291377463402782</c:v>
                </c:pt>
                <c:pt idx="73">
                  <c:v>90.366744453404337</c:v>
                </c:pt>
                <c:pt idx="74">
                  <c:v>90.439763579361824</c:v>
                </c:pt>
                <c:pt idx="75">
                  <c:v>90.510522220142079</c:v>
                </c:pt>
                <c:pt idx="76">
                  <c:v>90.579103482274192</c:v>
                </c:pt>
                <c:pt idx="77">
                  <c:v>90.645586457886481</c:v>
                </c:pt>
                <c:pt idx="78">
                  <c:v>90.710046464179186</c:v>
                </c:pt>
                <c:pt idx="79">
                  <c:v>90.772555265956981</c:v>
                </c:pt>
                <c:pt idx="80">
                  <c:v>90.833181282602879</c:v>
                </c:pt>
                <c:pt idx="81">
                  <c:v>90.891989780748077</c:v>
                </c:pt>
                <c:pt idx="82">
                  <c:v>90.949043053777956</c:v>
                </c:pt>
                <c:pt idx="83">
                  <c:v>91.00440058921177</c:v>
                </c:pt>
                <c:pt idx="84">
                  <c:v>91.058119224900921</c:v>
                </c:pt>
                <c:pt idx="85">
                  <c:v>91.110253294907878</c:v>
                </c:pt>
                <c:pt idx="86">
                  <c:v>91.160854765852207</c:v>
                </c:pt>
                <c:pt idx="87">
                  <c:v>91.209973364442931</c:v>
                </c:pt>
                <c:pt idx="88">
                  <c:v>91.257656696854625</c:v>
                </c:pt>
                <c:pt idx="89">
                  <c:v>91.303950360549507</c:v>
                </c:pt>
                <c:pt idx="90">
                  <c:v>91.348898049097357</c:v>
                </c:pt>
                <c:pt idx="91">
                  <c:v>91.392541650499396</c:v>
                </c:pt>
                <c:pt idx="92">
                  <c:v>91.434921339481235</c:v>
                </c:pt>
                <c:pt idx="93">
                  <c:v>91.476075664182034</c:v>
                </c:pt>
                <c:pt idx="94">
                  <c:v>91.516041627632575</c:v>
                </c:pt>
                <c:pt idx="95">
                  <c:v>91.55485476438453</c:v>
                </c:pt>
                <c:pt idx="96">
                  <c:v>91.592549212623936</c:v>
                </c:pt>
                <c:pt idx="97">
                  <c:v>91.629157782076476</c:v>
                </c:pt>
                <c:pt idx="98">
                  <c:v>91.664712017988236</c:v>
                </c:pt>
                <c:pt idx="99">
                  <c:v>91.699242261444013</c:v>
                </c:pt>
                <c:pt idx="100">
                  <c:v>91.732777706265622</c:v>
                </c:pt>
              </c:numCache>
            </c:numRef>
          </c:val>
          <c:smooth val="0"/>
          <c:extLst>
            <c:ext xmlns:c16="http://schemas.microsoft.com/office/drawing/2014/chart" uri="{C3380CC4-5D6E-409C-BE32-E72D297353CC}">
              <c16:uniqueId val="{00000000-F8E4-4E87-B237-B7C8F7E9CC7F}"/>
            </c:ext>
          </c:extLst>
        </c:ser>
        <c:dLbls>
          <c:showLegendKey val="0"/>
          <c:showVal val="0"/>
          <c:showCatName val="0"/>
          <c:showSerName val="0"/>
          <c:showPercent val="0"/>
          <c:showBubbleSize val="0"/>
        </c:dLbls>
        <c:marker val="1"/>
        <c:smooth val="0"/>
        <c:axId val="44547072"/>
        <c:axId val="445615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cat>
          <c:val>
            <c:numRef>
              <c:f>'Efficiency Calculations'!$BC$9:$BC$109</c:f>
              <c:numCache>
                <c:formatCode>0.000</c:formatCode>
                <c:ptCount val="101"/>
                <c:pt idx="0">
                  <c:v>1.4781131936721106E-3</c:v>
                </c:pt>
                <c:pt idx="1">
                  <c:v>1.6724539126837116E-3</c:v>
                </c:pt>
                <c:pt idx="2">
                  <c:v>1.8692463822883912E-3</c:v>
                </c:pt>
                <c:pt idx="3">
                  <c:v>2.0684915453741764E-3</c:v>
                </c:pt>
                <c:pt idx="4">
                  <c:v>2.2701903525684051E-3</c:v>
                </c:pt>
                <c:pt idx="5">
                  <c:v>2.4743437622478763E-3</c:v>
                </c:pt>
                <c:pt idx="6">
                  <c:v>2.6809527405490651E-3</c:v>
                </c:pt>
                <c:pt idx="7">
                  <c:v>2.8900182613784031E-3</c:v>
                </c:pt>
                <c:pt idx="8">
                  <c:v>3.1015413064226244E-3</c:v>
                </c:pt>
                <c:pt idx="9">
                  <c:v>3.3155228651591756E-3</c:v>
                </c:pt>
                <c:pt idx="10">
                  <c:v>3.5319639348666944E-3</c:v>
                </c:pt>
                <c:pt idx="11">
                  <c:v>3.7508655206355524E-3</c:v>
                </c:pt>
                <c:pt idx="12">
                  <c:v>3.9722286353784577E-3</c:v>
                </c:pt>
                <c:pt idx="13">
                  <c:v>4.1960542998411348E-3</c:v>
                </c:pt>
                <c:pt idx="14">
                  <c:v>4.4223435426130652E-3</c:v>
                </c:pt>
                <c:pt idx="15">
                  <c:v>4.6510974001382922E-3</c:v>
                </c:pt>
                <c:pt idx="16">
                  <c:v>4.8823169167262932E-3</c:v>
                </c:pt>
                <c:pt idx="17">
                  <c:v>5.1160031445629233E-3</c:v>
                </c:pt>
                <c:pt idx="18">
                  <c:v>3.6753305211939348E-2</c:v>
                </c:pt>
                <c:pt idx="19">
                  <c:v>3.7071685304546603E-2</c:v>
                </c:pt>
                <c:pt idx="20">
                  <c:v>3.7392554084410778E-2</c:v>
                </c:pt>
                <c:pt idx="21">
                  <c:v>3.7715912772152707E-2</c:v>
                </c:pt>
                <c:pt idx="22">
                  <c:v>3.8041762596454996E-2</c:v>
                </c:pt>
                <c:pt idx="23">
                  <c:v>3.8370104794074066E-2</c:v>
                </c:pt>
                <c:pt idx="24">
                  <c:v>3.870094060985238E-2</c:v>
                </c:pt>
                <c:pt idx="25">
                  <c:v>3.9034271296730712E-2</c:v>
                </c:pt>
                <c:pt idx="26">
                  <c:v>3.9370098115760414E-2</c:v>
                </c:pt>
                <c:pt idx="27">
                  <c:v>3.9708422336115885E-2</c:v>
                </c:pt>
                <c:pt idx="28">
                  <c:v>4.0049245235106987E-2</c:v>
                </c:pt>
                <c:pt idx="29">
                  <c:v>4.0392568098191618E-2</c:v>
                </c:pt>
                <c:pt idx="30">
                  <c:v>4.0738392218988291E-2</c:v>
                </c:pt>
                <c:pt idx="31">
                  <c:v>4.1086718899288797E-2</c:v>
                </c:pt>
                <c:pt idx="32">
                  <c:v>4.1437549449070993E-2</c:v>
                </c:pt>
                <c:pt idx="33">
                  <c:v>4.1790885186511639E-2</c:v>
                </c:pt>
                <c:pt idx="34">
                  <c:v>4.2146727437999236E-2</c:v>
                </c:pt>
                <c:pt idx="35">
                  <c:v>4.2505077538147022E-2</c:v>
                </c:pt>
                <c:pt idx="36">
                  <c:v>4.2865936829806016E-2</c:v>
                </c:pt>
                <c:pt idx="37">
                  <c:v>4.3229306664078114E-2</c:v>
                </c:pt>
                <c:pt idx="38">
                  <c:v>4.3595188400329291E-2</c:v>
                </c:pt>
                <c:pt idx="39">
                  <c:v>4.3963583406202815E-2</c:v>
                </c:pt>
                <c:pt idx="40">
                  <c:v>4.4334493057632672E-2</c:v>
                </c:pt>
                <c:pt idx="41">
                  <c:v>4.4707918738856829E-2</c:v>
                </c:pt>
                <c:pt idx="42">
                  <c:v>4.5083861842430829E-2</c:v>
                </c:pt>
                <c:pt idx="43">
                  <c:v>4.5462323769241267E-2</c:v>
                </c:pt>
                <c:pt idx="44">
                  <c:v>4.5843305928519471E-2</c:v>
                </c:pt>
                <c:pt idx="45">
                  <c:v>4.6226809737855139E-2</c:v>
                </c:pt>
                <c:pt idx="46">
                  <c:v>4.661283662321019E-2</c:v>
                </c:pt>
                <c:pt idx="47">
                  <c:v>4.7001388018932527E-2</c:v>
                </c:pt>
                <c:pt idx="48">
                  <c:v>4.7392465367769997E-2</c:v>
                </c:pt>
                <c:pt idx="49">
                  <c:v>4.7786070120884414E-2</c:v>
                </c:pt>
                <c:pt idx="50">
                  <c:v>4.8182203737865581E-2</c:v>
                </c:pt>
                <c:pt idx="51">
                  <c:v>4.8580867686745473E-2</c:v>
                </c:pt>
                <c:pt idx="52">
                  <c:v>4.8982063444012465E-2</c:v>
                </c:pt>
                <c:pt idx="53">
                  <c:v>4.9385792494625588E-2</c:v>
                </c:pt>
                <c:pt idx="54">
                  <c:v>4.9792056332028961E-2</c:v>
                </c:pt>
                <c:pt idx="55">
                  <c:v>5.0200856458166188E-2</c:v>
                </c:pt>
                <c:pt idx="56">
                  <c:v>5.0612194383494943E-2</c:v>
                </c:pt>
                <c:pt idx="57">
                  <c:v>5.102607162700154E-2</c:v>
                </c:pt>
                <c:pt idx="58">
                  <c:v>5.1442489716215622E-2</c:v>
                </c:pt>
                <c:pt idx="59">
                  <c:v>5.186145018722494E-2</c:v>
                </c:pt>
                <c:pt idx="60">
                  <c:v>5.2282954584690164E-2</c:v>
                </c:pt>
                <c:pt idx="61">
                  <c:v>5.2707004461859816E-2</c:v>
                </c:pt>
                <c:pt idx="62">
                  <c:v>5.3133601380585281E-2</c:v>
                </c:pt>
                <c:pt idx="63">
                  <c:v>5.3562746911335848E-2</c:v>
                </c:pt>
                <c:pt idx="64">
                  <c:v>5.3994442633213867E-2</c:v>
                </c:pt>
                <c:pt idx="65">
                  <c:v>5.4428690133970024E-2</c:v>
                </c:pt>
                <c:pt idx="66">
                  <c:v>5.4865491010018572E-2</c:v>
                </c:pt>
                <c:pt idx="67">
                  <c:v>5.5304846866452831E-2</c:v>
                </c:pt>
                <c:pt idx="68">
                  <c:v>5.5746759317060524E-2</c:v>
                </c:pt>
                <c:pt idx="69">
                  <c:v>5.6191229984339446E-2</c:v>
                </c:pt>
                <c:pt idx="70">
                  <c:v>5.6638260499513038E-2</c:v>
                </c:pt>
                <c:pt idx="71">
                  <c:v>5.7087852502546062E-2</c:v>
                </c:pt>
                <c:pt idx="72">
                  <c:v>5.7540007642160496E-2</c:v>
                </c:pt>
                <c:pt idx="73">
                  <c:v>5.7994727575851328E-2</c:v>
                </c:pt>
                <c:pt idx="74">
                  <c:v>5.8452013969902482E-2</c:v>
                </c:pt>
                <c:pt idx="75">
                  <c:v>5.8911868499402956E-2</c:v>
                </c:pt>
                <c:pt idx="76">
                  <c:v>5.9374292848262858E-2</c:v>
                </c:pt>
                <c:pt idx="77">
                  <c:v>5.983928870922961E-2</c:v>
                </c:pt>
                <c:pt idx="78">
                  <c:v>6.0306857783904294E-2</c:v>
                </c:pt>
                <c:pt idx="79">
                  <c:v>6.0777001782757918E-2</c:v>
                </c:pt>
                <c:pt idx="80">
                  <c:v>6.1249722425147944E-2</c:v>
                </c:pt>
                <c:pt idx="81">
                  <c:v>6.1725021439334789E-2</c:v>
                </c:pt>
                <c:pt idx="82">
                  <c:v>6.2202900562498456E-2</c:v>
                </c:pt>
                <c:pt idx="83">
                  <c:v>6.2683361540755156E-2</c:v>
                </c:pt>
                <c:pt idx="84">
                  <c:v>6.3166406129174207E-2</c:v>
                </c:pt>
                <c:pt idx="85">
                  <c:v>6.3652036091794859E-2</c:v>
                </c:pt>
                <c:pt idx="86">
                  <c:v>6.4140253201643127E-2</c:v>
                </c:pt>
                <c:pt idx="87">
                  <c:v>6.4631059240749036E-2</c:v>
                </c:pt>
                <c:pt idx="88">
                  <c:v>6.5124456000163589E-2</c:v>
                </c:pt>
                <c:pt idx="89">
                  <c:v>6.5620445279976014E-2</c:v>
                </c:pt>
                <c:pt idx="90">
                  <c:v>6.611902888933105E-2</c:v>
                </c:pt>
                <c:pt idx="91">
                  <c:v>6.6620208646446355E-2</c:v>
                </c:pt>
                <c:pt idx="92">
                  <c:v>6.712398637862993E-2</c:v>
                </c:pt>
                <c:pt idx="93">
                  <c:v>6.7630363922297737E-2</c:v>
                </c:pt>
                <c:pt idx="94">
                  <c:v>6.8139343122991219E-2</c:v>
                </c:pt>
                <c:pt idx="95">
                  <c:v>6.8650925835395143E-2</c:v>
                </c:pt>
                <c:pt idx="96">
                  <c:v>6.9165113923355351E-2</c:v>
                </c:pt>
                <c:pt idx="97">
                  <c:v>6.9681909259896688E-2</c:v>
                </c:pt>
                <c:pt idx="98">
                  <c:v>7.0201313727240949E-2</c:v>
                </c:pt>
                <c:pt idx="99">
                  <c:v>7.0723329216824976E-2</c:v>
                </c:pt>
                <c:pt idx="100">
                  <c:v>7.1247957629318917E-2</c:v>
                </c:pt>
              </c:numCache>
            </c:numRef>
          </c:val>
          <c:smooth val="0"/>
          <c:extLst>
            <c:ext xmlns:c16="http://schemas.microsoft.com/office/drawing/2014/chart" uri="{C3380CC4-5D6E-409C-BE32-E72D297353CC}">
              <c16:uniqueId val="{00000001-F8E4-4E87-B237-B7C8F7E9CC7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cat>
          <c:val>
            <c:numRef>
              <c:f>'Efficiency Calculations'!$BA$9:$BA$109</c:f>
              <c:numCache>
                <c:formatCode>0.000</c:formatCode>
                <c:ptCount val="101"/>
                <c:pt idx="0">
                  <c:v>0.20012418908673157</c:v>
                </c:pt>
                <c:pt idx="1">
                  <c:v>0.20012547964160698</c:v>
                </c:pt>
                <c:pt idx="2">
                  <c:v>0.20012932167146111</c:v>
                </c:pt>
                <c:pt idx="3">
                  <c:v>0.20013571518092513</c:v>
                </c:pt>
                <c:pt idx="4">
                  <c:v>0.20014466017770585</c:v>
                </c:pt>
                <c:pt idx="5">
                  <c:v>0.20015615667258574</c:v>
                </c:pt>
                <c:pt idx="6">
                  <c:v>0.20017020467942284</c:v>
                </c:pt>
                <c:pt idx="7">
                  <c:v>0.20018680421515089</c:v>
                </c:pt>
                <c:pt idx="8">
                  <c:v>0.20020595529977939</c:v>
                </c:pt>
                <c:pt idx="9">
                  <c:v>0.20022765795639363</c:v>
                </c:pt>
                <c:pt idx="10">
                  <c:v>0.20025191221115474</c:v>
                </c:pt>
                <c:pt idx="11">
                  <c:v>0.20027871809329986</c:v>
                </c:pt>
                <c:pt idx="12">
                  <c:v>0.20030807563514208</c:v>
                </c:pt>
                <c:pt idx="13">
                  <c:v>0.20033998487207072</c:v>
                </c:pt>
                <c:pt idx="14">
                  <c:v>0.20037444584255121</c:v>
                </c:pt>
                <c:pt idx="15">
                  <c:v>0.20041145858812548</c:v>
                </c:pt>
                <c:pt idx="16">
                  <c:v>0.20045102315341182</c:v>
                </c:pt>
                <c:pt idx="17">
                  <c:v>0.20049313958610521</c:v>
                </c:pt>
                <c:pt idx="18">
                  <c:v>0.20053780793697731</c:v>
                </c:pt>
                <c:pt idx="19">
                  <c:v>0.20058502825987679</c:v>
                </c:pt>
                <c:pt idx="20">
                  <c:v>0.20063480061172931</c:v>
                </c:pt>
                <c:pt idx="21">
                  <c:v>0.20068712505253783</c:v>
                </c:pt>
                <c:pt idx="22">
                  <c:v>0.20074200164538264</c:v>
                </c:pt>
                <c:pt idx="23">
                  <c:v>0.20079943045642182</c:v>
                </c:pt>
                <c:pt idx="24">
                  <c:v>0.20085941155489107</c:v>
                </c:pt>
                <c:pt idx="25">
                  <c:v>0.20092194501310423</c:v>
                </c:pt>
                <c:pt idx="26">
                  <c:v>0.20098703090645337</c:v>
                </c:pt>
                <c:pt idx="27">
                  <c:v>0.20105466931340901</c:v>
                </c:pt>
                <c:pt idx="28">
                  <c:v>0.20112486031552035</c:v>
                </c:pt>
                <c:pt idx="29">
                  <c:v>0.2011976039974156</c:v>
                </c:pt>
                <c:pt idx="30">
                  <c:v>0.2012729004468021</c:v>
                </c:pt>
                <c:pt idx="31">
                  <c:v>0.20135074975446673</c:v>
                </c:pt>
                <c:pt idx="32">
                  <c:v>0.20143115201427611</c:v>
                </c:pt>
                <c:pt idx="33">
                  <c:v>0.20151410732317684</c:v>
                </c:pt>
                <c:pt idx="34">
                  <c:v>0.20159961578119587</c:v>
                </c:pt>
                <c:pt idx="35">
                  <c:v>0.20168767749144076</c:v>
                </c:pt>
                <c:pt idx="36">
                  <c:v>0.20177829256009999</c:v>
                </c:pt>
                <c:pt idx="37">
                  <c:v>0.20187146109644336</c:v>
                </c:pt>
                <c:pt idx="38">
                  <c:v>0.20196718321282214</c:v>
                </c:pt>
                <c:pt idx="39">
                  <c:v>0.20206545902466963</c:v>
                </c:pt>
                <c:pt idx="40">
                  <c:v>0.20216628865050132</c:v>
                </c:pt>
                <c:pt idx="41">
                  <c:v>0.20226967221191539</c:v>
                </c:pt>
                <c:pt idx="42">
                  <c:v>0.20237560983359293</c:v>
                </c:pt>
                <c:pt idx="43">
                  <c:v>0.20248410164329841</c:v>
                </c:pt>
                <c:pt idx="44">
                  <c:v>0.2025951477718802</c:v>
                </c:pt>
                <c:pt idx="45">
                  <c:v>0.20270874835327063</c:v>
                </c:pt>
                <c:pt idx="46">
                  <c:v>0.20282490352448673</c:v>
                </c:pt>
                <c:pt idx="47">
                  <c:v>0.2029436134256303</c:v>
                </c:pt>
                <c:pt idx="48">
                  <c:v>0.20306487819988875</c:v>
                </c:pt>
                <c:pt idx="49">
                  <c:v>0.2031886979935352</c:v>
                </c:pt>
                <c:pt idx="50">
                  <c:v>0.20331507295592904</c:v>
                </c:pt>
                <c:pt idx="51">
                  <c:v>0.20344400323951634</c:v>
                </c:pt>
                <c:pt idx="52">
                  <c:v>0.20357548899983041</c:v>
                </c:pt>
                <c:pt idx="53">
                  <c:v>0.20370953039549219</c:v>
                </c:pt>
                <c:pt idx="54">
                  <c:v>0.20384612758821063</c:v>
                </c:pt>
                <c:pt idx="55">
                  <c:v>0.20398528074278349</c:v>
                </c:pt>
                <c:pt idx="56">
                  <c:v>0.20412699002709742</c:v>
                </c:pt>
                <c:pt idx="57">
                  <c:v>0.20427125561212883</c:v>
                </c:pt>
                <c:pt idx="58">
                  <c:v>0.20441807767194423</c:v>
                </c:pt>
                <c:pt idx="59">
                  <c:v>0.20456745638370066</c:v>
                </c:pt>
                <c:pt idx="60">
                  <c:v>0.20471939192764654</c:v>
                </c:pt>
                <c:pt idx="61">
                  <c:v>0.20487388448712193</c:v>
                </c:pt>
                <c:pt idx="62">
                  <c:v>0.20503093424855912</c:v>
                </c:pt>
                <c:pt idx="63">
                  <c:v>0.20519054140148332</c:v>
                </c:pt>
                <c:pt idx="64">
                  <c:v>0.20535270613851311</c:v>
                </c:pt>
                <c:pt idx="65">
                  <c:v>0.20551742865536118</c:v>
                </c:pt>
                <c:pt idx="66">
                  <c:v>0.20568470915083464</c:v>
                </c:pt>
                <c:pt idx="67">
                  <c:v>0.20585454782683593</c:v>
                </c:pt>
                <c:pt idx="68">
                  <c:v>0.20602694488836323</c:v>
                </c:pt>
                <c:pt idx="69">
                  <c:v>0.20620190054351115</c:v>
                </c:pt>
                <c:pt idx="70">
                  <c:v>0.20637941500347132</c:v>
                </c:pt>
                <c:pt idx="71">
                  <c:v>0.20655948848253314</c:v>
                </c:pt>
                <c:pt idx="72">
                  <c:v>0.2067421211980843</c:v>
                </c:pt>
                <c:pt idx="73">
                  <c:v>0.20692731337061138</c:v>
                </c:pt>
                <c:pt idx="74">
                  <c:v>0.20711506522370079</c:v>
                </c:pt>
                <c:pt idx="75">
                  <c:v>0.2073053769840392</c:v>
                </c:pt>
                <c:pt idx="76">
                  <c:v>0.20749824888141419</c:v>
                </c:pt>
                <c:pt idx="77">
                  <c:v>0.2076936811487152</c:v>
                </c:pt>
                <c:pt idx="78">
                  <c:v>0.20789167402193404</c:v>
                </c:pt>
                <c:pt idx="79">
                  <c:v>0.20809222774016561</c:v>
                </c:pt>
                <c:pt idx="80">
                  <c:v>0.20829534254560869</c:v>
                </c:pt>
                <c:pt idx="81">
                  <c:v>0.20850101868356666</c:v>
                </c:pt>
                <c:pt idx="82">
                  <c:v>0.20870925640244811</c:v>
                </c:pt>
                <c:pt idx="83">
                  <c:v>0.20892005595376786</c:v>
                </c:pt>
                <c:pt idx="84">
                  <c:v>0.20913341759214749</c:v>
                </c:pt>
                <c:pt idx="85">
                  <c:v>0.20934934157531612</c:v>
                </c:pt>
                <c:pt idx="86">
                  <c:v>0.20956782816411137</c:v>
                </c:pt>
                <c:pt idx="87">
                  <c:v>0.20978887762247997</c:v>
                </c:pt>
                <c:pt idx="88">
                  <c:v>0.21001249021747859</c:v>
                </c:pt>
                <c:pt idx="89">
                  <c:v>0.21023866621927473</c:v>
                </c:pt>
                <c:pt idx="90">
                  <c:v>0.21046740590114746</c:v>
                </c:pt>
                <c:pt idx="91">
                  <c:v>0.21069870953948824</c:v>
                </c:pt>
                <c:pt idx="92">
                  <c:v>0.21093257741380186</c:v>
                </c:pt>
                <c:pt idx="93">
                  <c:v>0.21116900980670716</c:v>
                </c:pt>
                <c:pt idx="94">
                  <c:v>0.21140800700393783</c:v>
                </c:pt>
                <c:pt idx="95">
                  <c:v>0.21164956929434364</c:v>
                </c:pt>
                <c:pt idx="96">
                  <c:v>0.21189369696989077</c:v>
                </c:pt>
                <c:pt idx="97">
                  <c:v>0.21214039032566318</c:v>
                </c:pt>
                <c:pt idx="98">
                  <c:v>0.21238964965986318</c:v>
                </c:pt>
                <c:pt idx="99">
                  <c:v>0.21264147527381252</c:v>
                </c:pt>
                <c:pt idx="100">
                  <c:v>0.21289586747195316</c:v>
                </c:pt>
              </c:numCache>
            </c:numRef>
          </c:val>
          <c:smooth val="0"/>
          <c:extLst>
            <c:ext xmlns:c16="http://schemas.microsoft.com/office/drawing/2014/chart" uri="{C3380CC4-5D6E-409C-BE32-E72D297353CC}">
              <c16:uniqueId val="{00000002-F8E4-4E87-B237-B7C8F7E9CC7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cat>
          <c:val>
            <c:numRef>
              <c:f>'Efficiency Calculations'!$BD$9:$BD$109</c:f>
              <c:numCache>
                <c:formatCode>0.000</c:formatCode>
                <c:ptCount val="101"/>
                <c:pt idx="0">
                  <c:v>1.4408345012062917E-3</c:v>
                </c:pt>
                <c:pt idx="1">
                  <c:v>1.6113965160052595E-3</c:v>
                </c:pt>
                <c:pt idx="2">
                  <c:v>1.7836428875980261E-3</c:v>
                </c:pt>
                <c:pt idx="3">
                  <c:v>1.9575730843355691E-3</c:v>
                </c:pt>
                <c:pt idx="4">
                  <c:v>2.133186578411972E-3</c:v>
                </c:pt>
                <c:pt idx="5">
                  <c:v>2.3104828458601402E-3</c:v>
                </c:pt>
                <c:pt idx="6">
                  <c:v>2.4894613665475411E-3</c:v>
                </c:pt>
                <c:pt idx="7">
                  <c:v>2.6701216241719712E-3</c:v>
                </c:pt>
                <c:pt idx="8">
                  <c:v>2.8524631062573362E-3</c:v>
                </c:pt>
                <c:pt idx="9">
                  <c:v>3.0364853041494706E-3</c:v>
                </c:pt>
                <c:pt idx="10">
                  <c:v>3.2221877130119646E-3</c:v>
                </c:pt>
                <c:pt idx="11">
                  <c:v>3.4095698318220278E-3</c:v>
                </c:pt>
                <c:pt idx="12">
                  <c:v>3.5986311633663627E-3</c:v>
                </c:pt>
                <c:pt idx="13">
                  <c:v>3.7893712142370757E-3</c:v>
                </c:pt>
                <c:pt idx="14">
                  <c:v>3.9817894948275994E-3</c:v>
                </c:pt>
                <c:pt idx="15">
                  <c:v>4.1758855193286433E-3</c:v>
                </c:pt>
                <c:pt idx="16">
                  <c:v>4.3716588057241728E-3</c:v>
                </c:pt>
                <c:pt idx="17">
                  <c:v>4.5691088757873928E-3</c:v>
                </c:pt>
                <c:pt idx="18">
                  <c:v>4.8392038484156678E-3</c:v>
                </c:pt>
                <c:pt idx="19">
                  <c:v>5.1194462682323328E-3</c:v>
                </c:pt>
                <c:pt idx="20">
                  <c:v>5.4013652713797919E-3</c:v>
                </c:pt>
                <c:pt idx="21">
                  <c:v>5.684960482425578E-3</c:v>
                </c:pt>
                <c:pt idx="22">
                  <c:v>5.9702315296687259E-3</c:v>
                </c:pt>
                <c:pt idx="23">
                  <c:v>6.2571780451362302E-3</c:v>
                </c:pt>
                <c:pt idx="24">
                  <c:v>6.5457996645795439E-3</c:v>
                </c:pt>
                <c:pt idx="25">
                  <c:v>6.8360960274710808E-3</c:v>
                </c:pt>
                <c:pt idx="26">
                  <c:v>7.1280667770007456E-3</c:v>
                </c:pt>
                <c:pt idx="27">
                  <c:v>7.4217115600724998E-3</c:v>
                </c:pt>
                <c:pt idx="28">
                  <c:v>7.7170300273009208E-3</c:v>
                </c:pt>
                <c:pt idx="29">
                  <c:v>8.0140218330078151E-3</c:v>
                </c:pt>
                <c:pt idx="30">
                  <c:v>8.3126866352188269E-3</c:v>
                </c:pt>
                <c:pt idx="31">
                  <c:v>8.6130240956600879E-3</c:v>
                </c:pt>
                <c:pt idx="32">
                  <c:v>8.9150338797548793E-3</c:v>
                </c:pt>
                <c:pt idx="33">
                  <c:v>9.2187156566203125E-3</c:v>
                </c:pt>
                <c:pt idx="34">
                  <c:v>9.5240690990640482E-3</c:v>
                </c:pt>
                <c:pt idx="35">
                  <c:v>9.8310938835810113E-3</c:v>
                </c:pt>
                <c:pt idx="36">
                  <c:v>1.0139789690350147E-2</c:v>
                </c:pt>
                <c:pt idx="37">
                  <c:v>1.0450156203231203E-2</c:v>
                </c:pt>
                <c:pt idx="38">
                  <c:v>1.0762193109761514E-2</c:v>
                </c:pt>
                <c:pt idx="39">
                  <c:v>1.1075900101152811E-2</c:v>
                </c:pt>
                <c:pt idx="40">
                  <c:v>1.1391276872288083E-2</c:v>
                </c:pt>
                <c:pt idx="41">
                  <c:v>1.1708323121718406E-2</c:v>
                </c:pt>
                <c:pt idx="42">
                  <c:v>1.2027038551659847E-2</c:v>
                </c:pt>
                <c:pt idx="43">
                  <c:v>1.2347422867990348E-2</c:v>
                </c:pt>
                <c:pt idx="44">
                  <c:v>1.2669475780246672E-2</c:v>
                </c:pt>
                <c:pt idx="45">
                  <c:v>1.2993197001621319E-2</c:v>
                </c:pt>
                <c:pt idx="46">
                  <c:v>1.331858624895952E-2</c:v>
                </c:pt>
                <c:pt idx="47">
                  <c:v>1.3645643242756189E-2</c:v>
                </c:pt>
                <c:pt idx="48">
                  <c:v>1.3974367707152983E-2</c:v>
                </c:pt>
                <c:pt idx="49">
                  <c:v>1.4304759369935287E-2</c:v>
                </c:pt>
                <c:pt idx="50">
                  <c:v>1.463681796252927E-2</c:v>
                </c:pt>
                <c:pt idx="51">
                  <c:v>1.4970543219998984E-2</c:v>
                </c:pt>
                <c:pt idx="52">
                  <c:v>1.5305934881043436E-2</c:v>
                </c:pt>
                <c:pt idx="53">
                  <c:v>1.5642992687993698E-2</c:v>
                </c:pt>
                <c:pt idx="54">
                  <c:v>1.5981716386810053E-2</c:v>
                </c:pt>
                <c:pt idx="55">
                  <c:v>1.6322105727079157E-2</c:v>
                </c:pt>
                <c:pt idx="56">
                  <c:v>1.6664160462011197E-2</c:v>
                </c:pt>
                <c:pt idx="57">
                  <c:v>1.7007880348437109E-2</c:v>
                </c:pt>
                <c:pt idx="58">
                  <c:v>1.7353265146805769E-2</c:v>
                </c:pt>
                <c:pt idx="59">
                  <c:v>1.7700314621181275E-2</c:v>
                </c:pt>
                <c:pt idx="60">
                  <c:v>1.8049028539240165E-2</c:v>
                </c:pt>
                <c:pt idx="61">
                  <c:v>1.8399406672268716E-2</c:v>
                </c:pt>
                <c:pt idx="62">
                  <c:v>1.8751448795160268E-2</c:v>
                </c:pt>
                <c:pt idx="63">
                  <c:v>1.9105154686412495E-2</c:v>
                </c:pt>
                <c:pt idx="64">
                  <c:v>1.9460524128124792E-2</c:v>
                </c:pt>
                <c:pt idx="65">
                  <c:v>1.9817556905995626E-2</c:v>
                </c:pt>
                <c:pt idx="66">
                  <c:v>2.0176252809319922E-2</c:v>
                </c:pt>
                <c:pt idx="67">
                  <c:v>2.0536611630986461E-2</c:v>
                </c:pt>
                <c:pt idx="68">
                  <c:v>2.0898633167475301E-2</c:v>
                </c:pt>
                <c:pt idx="69">
                  <c:v>2.1262317218855246E-2</c:v>
                </c:pt>
                <c:pt idx="70">
                  <c:v>2.1627663588781293E-2</c:v>
                </c:pt>
                <c:pt idx="71">
                  <c:v>2.1994672084492115E-2</c:v>
                </c:pt>
                <c:pt idx="72">
                  <c:v>2.2363342516807591E-2</c:v>
                </c:pt>
                <c:pt idx="73">
                  <c:v>2.2733674700126324E-2</c:v>
                </c:pt>
                <c:pt idx="74">
                  <c:v>2.3105668452423154E-2</c:v>
                </c:pt>
                <c:pt idx="75">
                  <c:v>2.3479323595246796E-2</c:v>
                </c:pt>
                <c:pt idx="76">
                  <c:v>2.3854639953717359E-2</c:v>
                </c:pt>
                <c:pt idx="77">
                  <c:v>2.4231617356523995E-2</c:v>
                </c:pt>
                <c:pt idx="78">
                  <c:v>2.4610255635922527E-2</c:v>
                </c:pt>
                <c:pt idx="79">
                  <c:v>2.4990554627733086E-2</c:v>
                </c:pt>
                <c:pt idx="80">
                  <c:v>2.5372514171337759E-2</c:v>
                </c:pt>
                <c:pt idx="81">
                  <c:v>2.5756134109678336E-2</c:v>
                </c:pt>
                <c:pt idx="82">
                  <c:v>2.614141428925397E-2</c:v>
                </c:pt>
                <c:pt idx="83">
                  <c:v>2.652835456011891E-2</c:v>
                </c:pt>
                <c:pt idx="84">
                  <c:v>2.6916954775880284E-2</c:v>
                </c:pt>
                <c:pt idx="85">
                  <c:v>2.7307214793695835E-2</c:v>
                </c:pt>
                <c:pt idx="86">
                  <c:v>2.7699134474271716E-2</c:v>
                </c:pt>
                <c:pt idx="87">
                  <c:v>2.8092713681860317E-2</c:v>
                </c:pt>
                <c:pt idx="88">
                  <c:v>2.8487952284258072E-2</c:v>
                </c:pt>
                <c:pt idx="89">
                  <c:v>2.8884850152803322E-2</c:v>
                </c:pt>
                <c:pt idx="90">
                  <c:v>2.9283407162374174E-2</c:v>
                </c:pt>
                <c:pt idx="91">
                  <c:v>2.9683623191386409E-2</c:v>
                </c:pt>
                <c:pt idx="92">
                  <c:v>3.0085498121791357E-2</c:v>
                </c:pt>
                <c:pt idx="93">
                  <c:v>3.0489031839073841E-2</c:v>
                </c:pt>
                <c:pt idx="94">
                  <c:v>3.0894224232250161E-2</c:v>
                </c:pt>
                <c:pt idx="95">
                  <c:v>3.1301075193866004E-2</c:v>
                </c:pt>
                <c:pt idx="96">
                  <c:v>3.1709584619994437E-2</c:v>
                </c:pt>
                <c:pt idx="97">
                  <c:v>3.2119752410233959E-2</c:v>
                </c:pt>
                <c:pt idx="98">
                  <c:v>3.2531578467706518E-2</c:v>
                </c:pt>
                <c:pt idx="99">
                  <c:v>3.294506269905547E-2</c:v>
                </c:pt>
                <c:pt idx="100">
                  <c:v>3.3360205014443783E-2</c:v>
                </c:pt>
              </c:numCache>
            </c:numRef>
          </c:val>
          <c:smooth val="0"/>
          <c:extLst>
            <c:ext xmlns:c16="http://schemas.microsoft.com/office/drawing/2014/chart" uri="{C3380CC4-5D6E-409C-BE32-E72D297353CC}">
              <c16:uniqueId val="{00000003-F8E4-4E87-B237-B7C8F7E9CC7F}"/>
            </c:ext>
          </c:extLst>
        </c:ser>
        <c:dLbls>
          <c:showLegendKey val="0"/>
          <c:showVal val="0"/>
          <c:showCatName val="0"/>
          <c:showSerName val="0"/>
          <c:showPercent val="0"/>
          <c:showBubbleSize val="0"/>
        </c:dLbls>
        <c:marker val="1"/>
        <c:smooth val="0"/>
        <c:axId val="334234752"/>
        <c:axId val="44563456"/>
      </c:lineChart>
      <c:catAx>
        <c:axId val="4454707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44561536"/>
        <c:crosses val="autoZero"/>
        <c:auto val="1"/>
        <c:lblAlgn val="ctr"/>
        <c:lblOffset val="100"/>
        <c:tickLblSkip val="20"/>
        <c:tickMarkSkip val="20"/>
        <c:noMultiLvlLbl val="1"/>
      </c:catAx>
      <c:valAx>
        <c:axId val="445615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44547072"/>
        <c:crosses val="autoZero"/>
        <c:crossBetween val="between"/>
        <c:majorUnit val="5"/>
        <c:minorUnit val="2.5"/>
      </c:valAx>
      <c:valAx>
        <c:axId val="445634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234752"/>
        <c:crosses val="max"/>
        <c:crossBetween val="between"/>
      </c:valAx>
      <c:catAx>
        <c:axId val="334234752"/>
        <c:scaling>
          <c:orientation val="minMax"/>
        </c:scaling>
        <c:delete val="1"/>
        <c:axPos val="b"/>
        <c:numFmt formatCode="0.000" sourceLinked="1"/>
        <c:majorTickMark val="out"/>
        <c:minorTickMark val="none"/>
        <c:tickLblPos val="nextTo"/>
        <c:crossAx val="445634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multiLvlStrRef>
              <c:f>#REF!</c:f>
            </c:multiLvlStrRef>
          </c:cat>
          <c:val>
            <c:numRef>
              <c:f>#REF!</c:f>
              <c:numCache>
                <c:formatCode>General</c:formatCode>
                <c:ptCount val="1"/>
                <c:pt idx="0">
                  <c:v>1</c:v>
                </c:pt>
              </c:numCache>
            </c:numRef>
          </c:val>
          <c:smooth val="0"/>
          <c:extLst>
            <c:ext xmlns:c16="http://schemas.microsoft.com/office/drawing/2014/chart" uri="{C3380CC4-5D6E-409C-BE32-E72D297353CC}">
              <c16:uniqueId val="{00000000-7A01-4C6E-8131-226BA8336B2F}"/>
            </c:ext>
          </c:extLst>
        </c:ser>
        <c:dLbls>
          <c:showLegendKey val="0"/>
          <c:showVal val="0"/>
          <c:showCatName val="0"/>
          <c:showSerName val="0"/>
          <c:showPercent val="0"/>
          <c:showBubbleSize val="0"/>
        </c:dLbls>
        <c:marker val="1"/>
        <c:smooth val="0"/>
        <c:axId val="334288768"/>
        <c:axId val="3342991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1-7A01-4C6E-8131-226BA8336B2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2-7A01-4C6E-8131-226BA8336B2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1.7500000000000002E-2</c:v>
                </c:pt>
                <c:pt idx="2">
                  <c:v>3.5000000000000003E-2</c:v>
                </c:pt>
                <c:pt idx="3">
                  <c:v>5.2499999999999998E-2</c:v>
                </c:pt>
                <c:pt idx="4">
                  <c:v>7.0000000000000007E-2</c:v>
                </c:pt>
                <c:pt idx="5">
                  <c:v>8.7499999999999994E-2</c:v>
                </c:pt>
                <c:pt idx="6">
                  <c:v>0.105</c:v>
                </c:pt>
                <c:pt idx="7">
                  <c:v>0.1225</c:v>
                </c:pt>
                <c:pt idx="8">
                  <c:v>0.14000000000000001</c:v>
                </c:pt>
                <c:pt idx="9">
                  <c:v>0.1575</c:v>
                </c:pt>
                <c:pt idx="10">
                  <c:v>0.17499999999999999</c:v>
                </c:pt>
                <c:pt idx="11">
                  <c:v>0.1925</c:v>
                </c:pt>
                <c:pt idx="12">
                  <c:v>0.21</c:v>
                </c:pt>
                <c:pt idx="13">
                  <c:v>0.22750000000000001</c:v>
                </c:pt>
                <c:pt idx="14">
                  <c:v>0.245</c:v>
                </c:pt>
                <c:pt idx="15">
                  <c:v>0.26250000000000001</c:v>
                </c:pt>
                <c:pt idx="16">
                  <c:v>0.28000000000000003</c:v>
                </c:pt>
                <c:pt idx="17">
                  <c:v>0.29749999999999999</c:v>
                </c:pt>
                <c:pt idx="18">
                  <c:v>0.315</c:v>
                </c:pt>
                <c:pt idx="19">
                  <c:v>0.33250000000000002</c:v>
                </c:pt>
                <c:pt idx="20">
                  <c:v>0.35</c:v>
                </c:pt>
                <c:pt idx="21">
                  <c:v>0.36749999999999999</c:v>
                </c:pt>
                <c:pt idx="22">
                  <c:v>0.38500000000000001</c:v>
                </c:pt>
                <c:pt idx="23">
                  <c:v>0.40250000000000002</c:v>
                </c:pt>
                <c:pt idx="24">
                  <c:v>0.42</c:v>
                </c:pt>
                <c:pt idx="25">
                  <c:v>0.4375</c:v>
                </c:pt>
                <c:pt idx="26">
                  <c:v>0.45500000000000002</c:v>
                </c:pt>
                <c:pt idx="27">
                  <c:v>0.47249999999999998</c:v>
                </c:pt>
                <c:pt idx="28">
                  <c:v>0.49</c:v>
                </c:pt>
                <c:pt idx="29">
                  <c:v>0.50749999999999995</c:v>
                </c:pt>
                <c:pt idx="30">
                  <c:v>0.52500000000000002</c:v>
                </c:pt>
                <c:pt idx="31">
                  <c:v>0.54249999999999998</c:v>
                </c:pt>
                <c:pt idx="32">
                  <c:v>0.56000000000000005</c:v>
                </c:pt>
                <c:pt idx="33">
                  <c:v>0.57750000000000001</c:v>
                </c:pt>
                <c:pt idx="34">
                  <c:v>0.59499999999999997</c:v>
                </c:pt>
                <c:pt idx="35">
                  <c:v>0.61250000000000004</c:v>
                </c:pt>
                <c:pt idx="36">
                  <c:v>0.63</c:v>
                </c:pt>
                <c:pt idx="37">
                  <c:v>0.64749999999999996</c:v>
                </c:pt>
                <c:pt idx="38">
                  <c:v>0.66500000000000004</c:v>
                </c:pt>
                <c:pt idx="39">
                  <c:v>0.6825</c:v>
                </c:pt>
                <c:pt idx="40">
                  <c:v>0.7</c:v>
                </c:pt>
                <c:pt idx="41">
                  <c:v>0.71750000000000003</c:v>
                </c:pt>
                <c:pt idx="42">
                  <c:v>0.73499999999999999</c:v>
                </c:pt>
                <c:pt idx="43">
                  <c:v>0.75249999999999995</c:v>
                </c:pt>
                <c:pt idx="44">
                  <c:v>0.77</c:v>
                </c:pt>
                <c:pt idx="45">
                  <c:v>0.78749999999999998</c:v>
                </c:pt>
                <c:pt idx="46">
                  <c:v>0.80500000000000005</c:v>
                </c:pt>
                <c:pt idx="47">
                  <c:v>0.82250000000000001</c:v>
                </c:pt>
                <c:pt idx="48">
                  <c:v>0.84</c:v>
                </c:pt>
                <c:pt idx="49">
                  <c:v>0.85750000000000004</c:v>
                </c:pt>
                <c:pt idx="50">
                  <c:v>0.875</c:v>
                </c:pt>
                <c:pt idx="51">
                  <c:v>0.89249999999999996</c:v>
                </c:pt>
                <c:pt idx="52">
                  <c:v>0.91</c:v>
                </c:pt>
                <c:pt idx="53">
                  <c:v>0.92749999999999999</c:v>
                </c:pt>
                <c:pt idx="54">
                  <c:v>0.94499999999999995</c:v>
                </c:pt>
                <c:pt idx="55">
                  <c:v>0.96250000000000002</c:v>
                </c:pt>
                <c:pt idx="56">
                  <c:v>0.98</c:v>
                </c:pt>
                <c:pt idx="57">
                  <c:v>0.99750000000000005</c:v>
                </c:pt>
                <c:pt idx="58">
                  <c:v>1.0149999999999999</c:v>
                </c:pt>
                <c:pt idx="59">
                  <c:v>1.0325</c:v>
                </c:pt>
                <c:pt idx="60">
                  <c:v>1.05</c:v>
                </c:pt>
                <c:pt idx="61">
                  <c:v>1.0674999999999999</c:v>
                </c:pt>
                <c:pt idx="62">
                  <c:v>1.085</c:v>
                </c:pt>
                <c:pt idx="63">
                  <c:v>1.1025</c:v>
                </c:pt>
                <c:pt idx="64">
                  <c:v>1.1200000000000001</c:v>
                </c:pt>
                <c:pt idx="65">
                  <c:v>1.1375</c:v>
                </c:pt>
                <c:pt idx="66">
                  <c:v>1.155</c:v>
                </c:pt>
                <c:pt idx="67">
                  <c:v>1.1725000000000001</c:v>
                </c:pt>
                <c:pt idx="68">
                  <c:v>1.19</c:v>
                </c:pt>
                <c:pt idx="69">
                  <c:v>1.2075</c:v>
                </c:pt>
                <c:pt idx="70">
                  <c:v>1.2250000000000001</c:v>
                </c:pt>
                <c:pt idx="71">
                  <c:v>1.2424999999999999</c:v>
                </c:pt>
                <c:pt idx="72">
                  <c:v>1.26</c:v>
                </c:pt>
                <c:pt idx="73">
                  <c:v>1.2775000000000001</c:v>
                </c:pt>
                <c:pt idx="74">
                  <c:v>1.2949999999999999</c:v>
                </c:pt>
                <c:pt idx="75">
                  <c:v>1.3125</c:v>
                </c:pt>
                <c:pt idx="76">
                  <c:v>1.33</c:v>
                </c:pt>
                <c:pt idx="77">
                  <c:v>1.3474999999999999</c:v>
                </c:pt>
                <c:pt idx="78">
                  <c:v>1.365</c:v>
                </c:pt>
                <c:pt idx="79">
                  <c:v>1.3825000000000001</c:v>
                </c:pt>
                <c:pt idx="80">
                  <c:v>1.4</c:v>
                </c:pt>
                <c:pt idx="81">
                  <c:v>1.4175</c:v>
                </c:pt>
                <c:pt idx="82">
                  <c:v>1.4350000000000001</c:v>
                </c:pt>
                <c:pt idx="83">
                  <c:v>1.4524999999999999</c:v>
                </c:pt>
                <c:pt idx="84">
                  <c:v>1.47</c:v>
                </c:pt>
                <c:pt idx="85">
                  <c:v>1.4875</c:v>
                </c:pt>
                <c:pt idx="86">
                  <c:v>1.5049999999999999</c:v>
                </c:pt>
                <c:pt idx="87">
                  <c:v>1.5225</c:v>
                </c:pt>
                <c:pt idx="88">
                  <c:v>1.54</c:v>
                </c:pt>
                <c:pt idx="89">
                  <c:v>1.5575000000000001</c:v>
                </c:pt>
                <c:pt idx="90">
                  <c:v>1.575</c:v>
                </c:pt>
                <c:pt idx="91">
                  <c:v>1.5925</c:v>
                </c:pt>
                <c:pt idx="92">
                  <c:v>1.61</c:v>
                </c:pt>
                <c:pt idx="93">
                  <c:v>1.6274999999999999</c:v>
                </c:pt>
                <c:pt idx="94">
                  <c:v>1.645</c:v>
                </c:pt>
                <c:pt idx="95">
                  <c:v>1.6625000000000001</c:v>
                </c:pt>
                <c:pt idx="96">
                  <c:v>1.68</c:v>
                </c:pt>
                <c:pt idx="97">
                  <c:v>1.6975</c:v>
                </c:pt>
                <c:pt idx="98">
                  <c:v>1.7150000000000001</c:v>
                </c:pt>
                <c:pt idx="99">
                  <c:v>1.7324999999999999</c:v>
                </c:pt>
                <c:pt idx="100">
                  <c:v>1.75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3-7A01-4C6E-8131-226BA8336B2F}"/>
            </c:ext>
          </c:extLst>
        </c:ser>
        <c:dLbls>
          <c:showLegendKey val="0"/>
          <c:showVal val="0"/>
          <c:showCatName val="0"/>
          <c:showSerName val="0"/>
          <c:showPercent val="0"/>
          <c:showBubbleSize val="0"/>
        </c:dLbls>
        <c:marker val="1"/>
        <c:smooth val="0"/>
        <c:axId val="334307328"/>
        <c:axId val="334301056"/>
      </c:lineChart>
      <c:catAx>
        <c:axId val="334288768"/>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34299136"/>
        <c:crosses val="autoZero"/>
        <c:auto val="1"/>
        <c:lblAlgn val="ctr"/>
        <c:lblOffset val="100"/>
        <c:tickLblSkip val="20"/>
        <c:tickMarkSkip val="20"/>
        <c:noMultiLvlLbl val="1"/>
      </c:catAx>
      <c:valAx>
        <c:axId val="3342991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4288768"/>
        <c:crosses val="autoZero"/>
        <c:crossBetween val="between"/>
        <c:majorUnit val="5"/>
        <c:minorUnit val="2.5"/>
      </c:valAx>
      <c:valAx>
        <c:axId val="3343010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307328"/>
        <c:crosses val="max"/>
        <c:crossBetween val="between"/>
      </c:valAx>
      <c:catAx>
        <c:axId val="334307328"/>
        <c:scaling>
          <c:orientation val="minMax"/>
        </c:scaling>
        <c:delete val="1"/>
        <c:axPos val="b"/>
        <c:numFmt formatCode="0.000" sourceLinked="1"/>
        <c:majorTickMark val="out"/>
        <c:minorTickMark val="none"/>
        <c:tickLblPos val="nextTo"/>
        <c:crossAx val="3343010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14"/>
</file>

<file path=xl/ctrlProps/ctrlProp5.xml><?xml version="1.0" encoding="utf-8"?>
<formControlPr xmlns="http://schemas.microsoft.com/office/spreadsheetml/2009/9/main" objectType="Spin" dx="16" fmlaLink="$E$7" max="58" page="10" val="6"/>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2"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2" val="0"/>
</file>

<file path=xl/ctrlProps/ctrlProp11.xml><?xml version="1.0" encoding="utf-8"?>
<formControlPr xmlns="http://schemas.microsoft.com/office/spreadsheetml/2009/9/main" objectType="Drop" dropLines="4" dropStyle="combo" dx="16" fmlaLink="'Variable Management'!$Q$29" fmlaRange="'Variable Management'!$P$25:$P$28" noThreeD="1" sel="4"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power" TargetMode="External"/><Relationship Id="rId5" Type="http://schemas.openxmlformats.org/officeDocument/2006/relationships/image" Target="../media/image4.png"/><Relationship Id="rId4" Type="http://schemas.openxmlformats.org/officeDocument/2006/relationships/hyperlink" Target="http://www.ti.com/product/lm5148-q1"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image" Target="../media/image24.jpg"/><Relationship Id="rId1"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4" Type="http://schemas.openxmlformats.org/officeDocument/2006/relationships/image" Target="../media/image28.emf"/></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330200</xdr:colOff>
          <xdr:row>70</xdr:row>
          <xdr:rowOff>76200</xdr:rowOff>
        </xdr:from>
        <xdr:to>
          <xdr:col>2</xdr:col>
          <xdr:colOff>901700</xdr:colOff>
          <xdr:row>72</xdr:row>
          <xdr:rowOff>139700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330200</xdr:colOff>
          <xdr:row>70</xdr:row>
          <xdr:rowOff>76200</xdr:rowOff>
        </xdr:from>
        <xdr:to>
          <xdr:col>2</xdr:col>
          <xdr:colOff>901700</xdr:colOff>
          <xdr:row>72</xdr:row>
          <xdr:rowOff>139700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5480050</xdr:colOff>
          <xdr:row>0</xdr:row>
          <xdr:rowOff>177800</xdr:rowOff>
        </xdr:from>
        <xdr:to>
          <xdr:col>15</xdr:col>
          <xdr:colOff>5852160</xdr:colOff>
          <xdr:row>0</xdr:row>
          <xdr:rowOff>419100</xdr:rowOff>
        </xdr:to>
        <xdr:sp macro="" textlink="">
          <xdr:nvSpPr>
            <xdr:cNvPr id="809785" name="Drop Down 7993" hidden="1">
              <a:extLst>
                <a:ext uri="{63B3BB69-23CF-44E3-9099-C40C66FF867C}">
                  <a14:compatExt spid="_x0000_s809785"/>
                </a:ext>
                <a:ext uri="{FF2B5EF4-FFF2-40B4-BE49-F238E27FC236}">
                  <a16:creationId xmlns:a16="http://schemas.microsoft.com/office/drawing/2014/main" id="{00000000-0008-0000-0000-0000395B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228877</xdr:colOff>
          <xdr:row>42</xdr:row>
          <xdr:rowOff>22538</xdr:rowOff>
        </xdr:from>
        <xdr:to>
          <xdr:col>15</xdr:col>
          <xdr:colOff>3999951</xdr:colOff>
          <xdr:row>70</xdr:row>
          <xdr:rowOff>173576</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843557"/>
                </a:ext>
              </a:extLst>
            </xdr:cNvPicPr>
          </xdr:nvPicPr>
          <xdr:blipFill>
            <a:blip xmlns:r="http://schemas.openxmlformats.org/officeDocument/2006/relationships" r:embed="rId1"/>
            <a:srcRect/>
            <a:stretch>
              <a:fillRect/>
            </a:stretch>
          </xdr:blipFill>
          <xdr:spPr bwMode="auto">
            <a:xfrm>
              <a:off x="4938037" y="8268648"/>
              <a:ext cx="8617394" cy="53974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292510</xdr:colOff>
          <xdr:row>76</xdr:row>
          <xdr:rowOff>139746</xdr:rowOff>
        </xdr:from>
        <xdr:to>
          <xdr:col>15</xdr:col>
          <xdr:colOff>5432642</xdr:colOff>
          <xdr:row>105</xdr:row>
          <xdr:rowOff>58945</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843558"/>
                </a:ext>
              </a:extLst>
            </xdr:cNvPicPr>
          </xdr:nvPicPr>
          <xdr:blipFill>
            <a:blip xmlns:r="http://schemas.openxmlformats.org/officeDocument/2006/relationships" r:embed="rId2"/>
            <a:srcRect/>
            <a:stretch>
              <a:fillRect/>
            </a:stretch>
          </xdr:blipFill>
          <xdr:spPr bwMode="auto">
            <a:xfrm>
              <a:off x="5891791" y="14943165"/>
              <a:ext cx="9088412" cy="54182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9</xdr:col>
      <xdr:colOff>265485</xdr:colOff>
      <xdr:row>63</xdr:row>
      <xdr:rowOff>155416</xdr:rowOff>
    </xdr:from>
    <xdr:to>
      <xdr:col>12</xdr:col>
      <xdr:colOff>496584</xdr:colOff>
      <xdr:row>65</xdr:row>
      <xdr:rowOff>40450</xdr:rowOff>
    </xdr:to>
    <xdr:sp macro="" textlink="'Variable Management'!A424">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5848867" y="12472107"/>
          <a:ext cx="2226153" cy="27296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16kHz</a:t>
          </a:fld>
          <a:endParaRPr lang="en-US" sz="1100" b="1" i="0" u="none" strike="noStrike" baseline="0">
            <a:solidFill>
              <a:srgbClr val="FF0000"/>
            </a:solidFill>
            <a:latin typeface="Arial"/>
            <a:cs typeface="Arial"/>
          </a:endParaRPr>
        </a:p>
      </xdr:txBody>
    </xdr:sp>
    <xdr:clientData/>
  </xdr:twoCellAnchor>
  <xdr:twoCellAnchor>
    <xdr:from>
      <xdr:col>9</xdr:col>
      <xdr:colOff>278598</xdr:colOff>
      <xdr:row>65</xdr:row>
      <xdr:rowOff>8066</xdr:rowOff>
    </xdr:from>
    <xdr:to>
      <xdr:col>11</xdr:col>
      <xdr:colOff>547251</xdr:colOff>
      <xdr:row>66</xdr:row>
      <xdr:rowOff>113718</xdr:rowOff>
    </xdr:to>
    <xdr:sp macro="" textlink="'Variable Management'!A425">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5861980" y="12712684"/>
          <a:ext cx="1640253" cy="299616"/>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55°</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25400</xdr:colOff>
          <xdr:row>62</xdr:row>
          <xdr:rowOff>0</xdr:rowOff>
        </xdr:from>
        <xdr:to>
          <xdr:col>5</xdr:col>
          <xdr:colOff>184150</xdr:colOff>
          <xdr:row>62</xdr:row>
          <xdr:rowOff>184150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6</xdr:row>
          <xdr:rowOff>25400</xdr:rowOff>
        </xdr:from>
        <xdr:to>
          <xdr:col>5</xdr:col>
          <xdr:colOff>304800</xdr:colOff>
          <xdr:row>7</xdr:row>
          <xdr:rowOff>25400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146050</xdr:colOff>
          <xdr:row>50</xdr:row>
          <xdr:rowOff>63500</xdr:rowOff>
        </xdr:from>
        <xdr:to>
          <xdr:col>3</xdr:col>
          <xdr:colOff>441960</xdr:colOff>
          <xdr:row>51</xdr:row>
          <xdr:rowOff>139700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251134</xdr:colOff>
          <xdr:row>5</xdr:row>
          <xdr:rowOff>25159</xdr:rowOff>
        </xdr:from>
        <xdr:to>
          <xdr:col>15</xdr:col>
          <xdr:colOff>4102500</xdr:colOff>
          <xdr:row>30</xdr:row>
          <xdr:rowOff>98732</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843559"/>
                </a:ext>
              </a:extLst>
            </xdr:cNvPicPr>
          </xdr:nvPicPr>
          <xdr:blipFill>
            <a:blip xmlns:r="http://schemas.openxmlformats.org/officeDocument/2006/relationships" r:embed="rId3"/>
            <a:srcRect/>
            <a:stretch>
              <a:fillRect/>
            </a:stretch>
          </xdr:blipFill>
          <xdr:spPr bwMode="auto">
            <a:xfrm>
              <a:off x="4823283" y="1411028"/>
              <a:ext cx="8580921" cy="4909359"/>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oneCell">
    <xdr:from>
      <xdr:col>15</xdr:col>
      <xdr:colOff>3485611</xdr:colOff>
      <xdr:row>32</xdr:row>
      <xdr:rowOff>34869</xdr:rowOff>
    </xdr:from>
    <xdr:to>
      <xdr:col>15</xdr:col>
      <xdr:colOff>5756269</xdr:colOff>
      <xdr:row>40</xdr:row>
      <xdr:rowOff>101867</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792897" y="6424783"/>
          <a:ext cx="2274468" cy="1466266"/>
        </a:xfrm>
        <a:prstGeom prst="rect">
          <a:avLst/>
        </a:prstGeom>
      </xdr:spPr>
    </xdr:pic>
    <xdr:clientData/>
  </xdr:twoCellAnchor>
  <xdr:twoCellAnchor editAs="oneCell">
    <xdr:from>
      <xdr:col>15</xdr:col>
      <xdr:colOff>4051935</xdr:colOff>
      <xdr:row>0</xdr:row>
      <xdr:rowOff>0</xdr:rowOff>
    </xdr:from>
    <xdr:to>
      <xdr:col>16</xdr:col>
      <xdr:colOff>1904</xdr:colOff>
      <xdr:row>4</xdr:row>
      <xdr:rowOff>21590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357860" y="0"/>
          <a:ext cx="1882139" cy="1158240"/>
        </a:xfrm>
        <a:prstGeom prst="rect">
          <a:avLst/>
        </a:prstGeom>
      </xdr:spPr>
    </xdr:pic>
    <xdr:clientData/>
  </xdr:twoCellAnchor>
  <xdr:twoCellAnchor editAs="oneCell">
    <xdr:from>
      <xdr:col>0</xdr:col>
      <xdr:colOff>9525</xdr:colOff>
      <xdr:row>0</xdr:row>
      <xdr:rowOff>9525</xdr:rowOff>
    </xdr:from>
    <xdr:to>
      <xdr:col>3</xdr:col>
      <xdr:colOff>135890</xdr:colOff>
      <xdr:row>1</xdr:row>
      <xdr:rowOff>25053</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69850</xdr:colOff>
          <xdr:row>50</xdr:row>
          <xdr:rowOff>63500</xdr:rowOff>
        </xdr:from>
        <xdr:to>
          <xdr:col>5</xdr:col>
          <xdr:colOff>327660</xdr:colOff>
          <xdr:row>51</xdr:row>
          <xdr:rowOff>139700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3493770</xdr:colOff>
      <xdr:row>79</xdr:row>
      <xdr:rowOff>156999</xdr:rowOff>
    </xdr:from>
    <xdr:to>
      <xdr:col>15</xdr:col>
      <xdr:colOff>3915713</xdr:colOff>
      <xdr:row>81</xdr:row>
      <xdr:rowOff>29364</xdr:rowOff>
    </xdr:to>
    <xdr:sp macro="" textlink="'Variable Management'!$B$42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034010" y="1513791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91.7%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15</xdr:col>
      <xdr:colOff>411480</xdr:colOff>
      <xdr:row>79</xdr:row>
      <xdr:rowOff>162714</xdr:rowOff>
    </xdr:from>
    <xdr:to>
      <xdr:col>15</xdr:col>
      <xdr:colOff>833423</xdr:colOff>
      <xdr:row>81</xdr:row>
      <xdr:rowOff>35079</xdr:rowOff>
    </xdr:to>
    <xdr:sp macro="" textlink="'Variable Management'!$B$42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9951720" y="15143634"/>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93B0AF30-6523-4122-9521-75B00DB91745}" type="TxLink">
            <a:rPr lang="en-US" sz="1000" b="0" i="0" u="none" strike="noStrike" baseline="0">
              <a:solidFill>
                <a:srgbClr val="000000"/>
              </a:solidFill>
              <a:latin typeface="Arial"/>
              <a:cs typeface="Arial"/>
            </a:rPr>
            <a:pPr algn="l" rtl="0">
              <a:defRPr sz="1000"/>
            </a:pPr>
            <a:t>87.8%</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25400</xdr:colOff>
          <xdr:row>101</xdr:row>
          <xdr:rowOff>0</xdr:rowOff>
        </xdr:from>
        <xdr:to>
          <xdr:col>2</xdr:col>
          <xdr:colOff>25400</xdr:colOff>
          <xdr:row>102</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821666</xdr:colOff>
      <xdr:row>25</xdr:row>
      <xdr:rowOff>96075</xdr:rowOff>
    </xdr:from>
    <xdr:to>
      <xdr:col>11</xdr:col>
      <xdr:colOff>404681</xdr:colOff>
      <xdr:row>27</xdr:row>
      <xdr:rowOff>24724</xdr:rowOff>
    </xdr:to>
    <xdr:sp macro="" textlink="'Variable Management'!B409">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6957518" y="5252494"/>
          <a:ext cx="452133" cy="252280"/>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291960</xdr:colOff>
      <xdr:row>24</xdr:row>
      <xdr:rowOff>136674</xdr:rowOff>
    </xdr:from>
    <xdr:to>
      <xdr:col>10</xdr:col>
      <xdr:colOff>401121</xdr:colOff>
      <xdr:row>25</xdr:row>
      <xdr:rowOff>138242</xdr:rowOff>
    </xdr:to>
    <xdr:sp macro="" textlink="'Variable Management'!B407">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5920250" y="5034845"/>
          <a:ext cx="635773" cy="25346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5.11kΩ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3146328</xdr:colOff>
      <xdr:row>15</xdr:row>
      <xdr:rowOff>59531</xdr:rowOff>
    </xdr:from>
    <xdr:to>
      <xdr:col>15</xdr:col>
      <xdr:colOff>3644952</xdr:colOff>
      <xdr:row>16</xdr:row>
      <xdr:rowOff>98231</xdr:rowOff>
    </xdr:to>
    <xdr:sp macro="" textlink="'Variable Management'!B397">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12705520" y="3347854"/>
          <a:ext cx="496084" cy="232131"/>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66µF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1850292</xdr:colOff>
      <xdr:row>14</xdr:row>
      <xdr:rowOff>24314</xdr:rowOff>
    </xdr:from>
    <xdr:to>
      <xdr:col>15</xdr:col>
      <xdr:colOff>2346041</xdr:colOff>
      <xdr:row>15</xdr:row>
      <xdr:rowOff>2795</xdr:rowOff>
    </xdr:to>
    <xdr:sp macro="" textlink="'Variable Management'!B37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11409484" y="3054241"/>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2082866</xdr:colOff>
      <xdr:row>8</xdr:row>
      <xdr:rowOff>61157</xdr:rowOff>
    </xdr:from>
    <xdr:to>
      <xdr:col>15</xdr:col>
      <xdr:colOff>2574349</xdr:colOff>
      <xdr:row>9</xdr:row>
      <xdr:rowOff>136349</xdr:rowOff>
    </xdr:to>
    <xdr:sp macro="" textlink="'Variable Management'!B401">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11639518" y="1985305"/>
          <a:ext cx="494023" cy="255336"/>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3221485</xdr:colOff>
      <xdr:row>11</xdr:row>
      <xdr:rowOff>63461</xdr:rowOff>
    </xdr:from>
    <xdr:to>
      <xdr:col>15</xdr:col>
      <xdr:colOff>3831738</xdr:colOff>
      <xdr:row>12</xdr:row>
      <xdr:rowOff>153978</xdr:rowOff>
    </xdr:to>
    <xdr:sp macro="" textlink="'Variable Management'!B395">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12799727" y="2492483"/>
          <a:ext cx="610253" cy="275741"/>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3.3V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15</xdr:col>
      <xdr:colOff>3225429</xdr:colOff>
      <xdr:row>12</xdr:row>
      <xdr:rowOff>139813</xdr:rowOff>
    </xdr:from>
    <xdr:to>
      <xdr:col>15</xdr:col>
      <xdr:colOff>3643985</xdr:colOff>
      <xdr:row>13</xdr:row>
      <xdr:rowOff>177380</xdr:rowOff>
    </xdr:to>
    <xdr:sp macro="" textlink="'Variable Management'!B448">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12797321" y="2738819"/>
          <a:ext cx="418556" cy="248583"/>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1.75A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15</xdr:col>
      <xdr:colOff>2387343</xdr:colOff>
      <xdr:row>12</xdr:row>
      <xdr:rowOff>173205</xdr:rowOff>
    </xdr:from>
    <xdr:to>
      <xdr:col>15</xdr:col>
      <xdr:colOff>2840983</xdr:colOff>
      <xdr:row>14</xdr:row>
      <xdr:rowOff>1428</xdr:rowOff>
    </xdr:to>
    <xdr:sp macro="" textlink="'Variable Management'!B38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11943995" y="2787451"/>
          <a:ext cx="456180" cy="242439"/>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25mΩ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405443</xdr:colOff>
      <xdr:row>26</xdr:row>
      <xdr:rowOff>137173</xdr:rowOff>
    </xdr:from>
    <xdr:to>
      <xdr:col>10</xdr:col>
      <xdr:colOff>304313</xdr:colOff>
      <xdr:row>28</xdr:row>
      <xdr:rowOff>61135</xdr:rowOff>
    </xdr:to>
    <xdr:sp macro="" textlink="'Variable Management'!B408">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6038813" y="5455407"/>
          <a:ext cx="414052" cy="25013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3.9nF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11</xdr:col>
      <xdr:colOff>174854</xdr:colOff>
      <xdr:row>27</xdr:row>
      <xdr:rowOff>25200</xdr:rowOff>
    </xdr:from>
    <xdr:to>
      <xdr:col>12</xdr:col>
      <xdr:colOff>140312</xdr:colOff>
      <xdr:row>28</xdr:row>
      <xdr:rowOff>99823</xdr:rowOff>
    </xdr:to>
    <xdr:sp macro="" textlink="'Variable Management'!B44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7155751" y="5548528"/>
          <a:ext cx="588833" cy="242067"/>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53.6kΩ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96889</xdr:colOff>
      <xdr:row>17</xdr:row>
      <xdr:rowOff>135976</xdr:rowOff>
    </xdr:from>
    <xdr:to>
      <xdr:col>10</xdr:col>
      <xdr:colOff>631702</xdr:colOff>
      <xdr:row>19</xdr:row>
      <xdr:rowOff>22118</xdr:rowOff>
    </xdr:to>
    <xdr:sp macro="" textlink="'Variable Management'!B417">
      <xdr:nvSpPr>
        <xdr:cNvPr id="95" name="Text Box 263">
          <a:extLst>
            <a:ext uri="{FF2B5EF4-FFF2-40B4-BE49-F238E27FC236}">
              <a16:creationId xmlns:a16="http://schemas.microsoft.com/office/drawing/2014/main" id="{00000000-0008-0000-0000-00005F000000}"/>
            </a:ext>
          </a:extLst>
        </xdr:cNvPr>
        <xdr:cNvSpPr txBox="1">
          <a:spLocks noChangeArrowheads="1" noTextEdit="1"/>
        </xdr:cNvSpPr>
      </xdr:nvSpPr>
      <xdr:spPr bwMode="auto">
        <a:xfrm>
          <a:off x="6239781" y="3817511"/>
          <a:ext cx="534813" cy="225622"/>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96394</xdr:colOff>
      <xdr:row>20</xdr:row>
      <xdr:rowOff>135457</xdr:rowOff>
    </xdr:from>
    <xdr:to>
      <xdr:col>10</xdr:col>
      <xdr:colOff>667806</xdr:colOff>
      <xdr:row>22</xdr:row>
      <xdr:rowOff>21047</xdr:rowOff>
    </xdr:to>
    <xdr:sp macro="" textlink="'Variable Management'!B418">
      <xdr:nvSpPr>
        <xdr:cNvPr id="96" name="Text Box 263">
          <a:extLst>
            <a:ext uri="{FF2B5EF4-FFF2-40B4-BE49-F238E27FC236}">
              <a16:creationId xmlns:a16="http://schemas.microsoft.com/office/drawing/2014/main" id="{00000000-0008-0000-0000-000060000000}"/>
            </a:ext>
          </a:extLst>
        </xdr:cNvPr>
        <xdr:cNvSpPr txBox="1">
          <a:spLocks noChangeArrowheads="1" noTextEdit="1"/>
        </xdr:cNvSpPr>
      </xdr:nvSpPr>
      <xdr:spPr bwMode="auto">
        <a:xfrm>
          <a:off x="6225316" y="4345019"/>
          <a:ext cx="571412" cy="237282"/>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58</xdr:row>
          <xdr:rowOff>177800</xdr:rowOff>
        </xdr:from>
        <xdr:to>
          <xdr:col>6</xdr:col>
          <xdr:colOff>0</xdr:colOff>
          <xdr:row>60</xdr:row>
          <xdr:rowOff>2540</xdr:rowOff>
        </xdr:to>
        <xdr:sp macro="" textlink="">
          <xdr:nvSpPr>
            <xdr:cNvPr id="700305" name="Drop Down 2961" hidden="1">
              <a:extLst>
                <a:ext uri="{63B3BB69-23CF-44E3-9099-C40C66FF867C}">
                  <a14:compatExt spid="_x0000_s700305"/>
                </a:ext>
                <a:ext uri="{FF2B5EF4-FFF2-40B4-BE49-F238E27FC236}">
                  <a16:creationId xmlns:a16="http://schemas.microsoft.com/office/drawing/2014/main" id="{00000000-0008-0000-0000-000091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174842</xdr:colOff>
      <xdr:row>27</xdr:row>
      <xdr:rowOff>21750</xdr:rowOff>
    </xdr:from>
    <xdr:to>
      <xdr:col>13</xdr:col>
      <xdr:colOff>98524</xdr:colOff>
      <xdr:row>28</xdr:row>
      <xdr:rowOff>74468</xdr:rowOff>
    </xdr:to>
    <xdr:sp macro="" textlink="'Variable Management'!B442">
      <xdr:nvSpPr>
        <xdr:cNvPr id="68" name="Text Box 263">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7790544" y="5543808"/>
          <a:ext cx="550866" cy="216352"/>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483115</xdr:colOff>
      <xdr:row>31</xdr:row>
      <xdr:rowOff>77416</xdr:rowOff>
    </xdr:from>
    <xdr:to>
      <xdr:col>13</xdr:col>
      <xdr:colOff>326048</xdr:colOff>
      <xdr:row>32</xdr:row>
      <xdr:rowOff>63979</xdr:rowOff>
    </xdr:to>
    <xdr:sp macro="" textlink="'Variable Management'!B385">
      <xdr:nvSpPr>
        <xdr:cNvPr id="76" name="Text Box 279">
          <a:extLst>
            <a:ext uri="{FF2B5EF4-FFF2-40B4-BE49-F238E27FC236}">
              <a16:creationId xmlns:a16="http://schemas.microsoft.com/office/drawing/2014/main" id="{00000000-0008-0000-0000-00004C000000}"/>
            </a:ext>
          </a:extLst>
        </xdr:cNvPr>
        <xdr:cNvSpPr txBox="1">
          <a:spLocks noChangeArrowheads="1"/>
        </xdr:cNvSpPr>
      </xdr:nvSpPr>
      <xdr:spPr bwMode="auto">
        <a:xfrm>
          <a:off x="7894381" y="6391130"/>
          <a:ext cx="448088" cy="2293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6743863A-37F9-454E-8264-1AAED8F1ABE9}" type="TxLink">
            <a:rPr lang="en-US" sz="1000" b="0" i="0" u="none" strike="noStrike">
              <a:solidFill>
                <a:srgbClr val="000000"/>
              </a:solidFill>
              <a:latin typeface="Arial"/>
              <a:ea typeface="+mn-ea"/>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1000">
            <a:latin typeface="Arial" pitchFamily="34" charset="0"/>
            <a:cs typeface="Arial" pitchFamily="34" charset="0"/>
          </a:endParaRPr>
        </a:p>
      </xdr:txBody>
    </xdr:sp>
    <xdr:clientData/>
  </xdr:twoCellAnchor>
  <xdr:twoCellAnchor editAs="absolute">
    <xdr:from>
      <xdr:col>9</xdr:col>
      <xdr:colOff>406864</xdr:colOff>
      <xdr:row>11</xdr:row>
      <xdr:rowOff>2525</xdr:rowOff>
    </xdr:from>
    <xdr:to>
      <xdr:col>10</xdr:col>
      <xdr:colOff>406486</xdr:colOff>
      <xdr:row>12</xdr:row>
      <xdr:rowOff>60332</xdr:rowOff>
    </xdr:to>
    <xdr:sp macro="" textlink="'Variable Management'!B385">
      <xdr:nvSpPr>
        <xdr:cNvPr id="65" name="Text Box 279">
          <a:extLst>
            <a:ext uri="{FF2B5EF4-FFF2-40B4-BE49-F238E27FC236}">
              <a16:creationId xmlns:a16="http://schemas.microsoft.com/office/drawing/2014/main" id="{00000000-0008-0000-0000-000041000000}"/>
            </a:ext>
          </a:extLst>
        </xdr:cNvPr>
        <xdr:cNvSpPr txBox="1">
          <a:spLocks noChangeArrowheads="1"/>
        </xdr:cNvSpPr>
      </xdr:nvSpPr>
      <xdr:spPr bwMode="auto">
        <a:xfrm>
          <a:off x="5870329" y="2481864"/>
          <a:ext cx="499741" cy="246850"/>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9</xdr:col>
      <xdr:colOff>406004</xdr:colOff>
      <xdr:row>7</xdr:row>
      <xdr:rowOff>135804</xdr:rowOff>
    </xdr:from>
    <xdr:to>
      <xdr:col>10</xdr:col>
      <xdr:colOff>384036</xdr:colOff>
      <xdr:row>9</xdr:row>
      <xdr:rowOff>21436</xdr:rowOff>
    </xdr:to>
    <xdr:sp macro="" textlink="'Variable Management'!C385">
      <xdr:nvSpPr>
        <xdr:cNvPr id="66" name="Text Box 279">
          <a:extLst>
            <a:ext uri="{FF2B5EF4-FFF2-40B4-BE49-F238E27FC236}">
              <a16:creationId xmlns:a16="http://schemas.microsoft.com/office/drawing/2014/main" id="{00000000-0008-0000-0000-000042000000}"/>
            </a:ext>
          </a:extLst>
        </xdr:cNvPr>
        <xdr:cNvSpPr txBox="1">
          <a:spLocks noChangeArrowheads="1"/>
        </xdr:cNvSpPr>
      </xdr:nvSpPr>
      <xdr:spPr bwMode="auto">
        <a:xfrm>
          <a:off x="5871374" y="1921050"/>
          <a:ext cx="499741" cy="236601"/>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8</xdr:col>
      <xdr:colOff>188858</xdr:colOff>
      <xdr:row>22</xdr:row>
      <xdr:rowOff>63725</xdr:rowOff>
    </xdr:from>
    <xdr:to>
      <xdr:col>9</xdr:col>
      <xdr:colOff>291871</xdr:colOff>
      <xdr:row>23</xdr:row>
      <xdr:rowOff>98589</xdr:rowOff>
    </xdr:to>
    <xdr:sp macro="" textlink="'Variable Management'!E385">
      <xdr:nvSpPr>
        <xdr:cNvPr id="81" name="Text Box 279">
          <a:extLst>
            <a:ext uri="{FF2B5EF4-FFF2-40B4-BE49-F238E27FC236}">
              <a16:creationId xmlns:a16="http://schemas.microsoft.com/office/drawing/2014/main" id="{00000000-0008-0000-0000-000051000000}"/>
            </a:ext>
          </a:extLst>
        </xdr:cNvPr>
        <xdr:cNvSpPr txBox="1">
          <a:spLocks noChangeArrowheads="1"/>
        </xdr:cNvSpPr>
      </xdr:nvSpPr>
      <xdr:spPr bwMode="auto">
        <a:xfrm>
          <a:off x="5218058" y="4700532"/>
          <a:ext cx="537278" cy="21606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9</xdr:col>
      <xdr:colOff>95</xdr:colOff>
      <xdr:row>7</xdr:row>
      <xdr:rowOff>918</xdr:rowOff>
    </xdr:from>
    <xdr:to>
      <xdr:col>10</xdr:col>
      <xdr:colOff>479579</xdr:colOff>
      <xdr:row>8</xdr:row>
      <xdr:rowOff>97541</xdr:rowOff>
    </xdr:to>
    <xdr:sp macro="" textlink="'Variable Management'!B451">
      <xdr:nvSpPr>
        <xdr:cNvPr id="86" name="Text Box 28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5475065" y="1772568"/>
          <a:ext cx="968434" cy="288393"/>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5V...7.4V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10</xdr:col>
      <xdr:colOff>153374</xdr:colOff>
      <xdr:row>17</xdr:row>
      <xdr:rowOff>136146</xdr:rowOff>
    </xdr:from>
    <xdr:to>
      <xdr:col>10</xdr:col>
      <xdr:colOff>686644</xdr:colOff>
      <xdr:row>18</xdr:row>
      <xdr:rowOff>149468</xdr:rowOff>
    </xdr:to>
    <xdr:sp macro="" textlink="'Variable Management'!D419">
      <xdr:nvSpPr>
        <xdr:cNvPr id="94" name="Text Box 279">
          <a:extLst>
            <a:ext uri="{FF2B5EF4-FFF2-40B4-BE49-F238E27FC236}">
              <a16:creationId xmlns:a16="http://schemas.microsoft.com/office/drawing/2014/main" id="{00000000-0008-0000-0000-00005E000000}"/>
            </a:ext>
          </a:extLst>
        </xdr:cNvPr>
        <xdr:cNvSpPr txBox="1">
          <a:spLocks noChangeArrowheads="1"/>
        </xdr:cNvSpPr>
      </xdr:nvSpPr>
      <xdr:spPr bwMode="auto">
        <a:xfrm>
          <a:off x="6296266" y="3817681"/>
          <a:ext cx="533270" cy="182818"/>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0Ω</a:t>
          </a:fld>
          <a:endParaRPr lang="en-US" sz="10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63500</xdr:colOff>
          <xdr:row>50</xdr:row>
          <xdr:rowOff>63500</xdr:rowOff>
        </xdr:from>
        <xdr:to>
          <xdr:col>2</xdr:col>
          <xdr:colOff>22860</xdr:colOff>
          <xdr:row>51</xdr:row>
          <xdr:rowOff>139700</xdr:rowOff>
        </xdr:to>
        <xdr:sp macro="" textlink="">
          <xdr:nvSpPr>
            <xdr:cNvPr id="770900" name="Drop Down 6996" hidden="1">
              <a:extLst>
                <a:ext uri="{63B3BB69-23CF-44E3-9099-C40C66FF867C}">
                  <a14:compatExt spid="_x0000_s770900"/>
                </a:ext>
                <a:ext uri="{FF2B5EF4-FFF2-40B4-BE49-F238E27FC236}">
                  <a16:creationId xmlns:a16="http://schemas.microsoft.com/office/drawing/2014/main" id="{00000000-0008-0000-0000-000054C3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97109</xdr:colOff>
      <xdr:row>10</xdr:row>
      <xdr:rowOff>61457</xdr:rowOff>
    </xdr:from>
    <xdr:to>
      <xdr:col>10</xdr:col>
      <xdr:colOff>250019</xdr:colOff>
      <xdr:row>11</xdr:row>
      <xdr:rowOff>58778</xdr:rowOff>
    </xdr:to>
    <xdr:sp macro="" textlink="'Variable Management'!B421">
      <xdr:nvSpPr>
        <xdr:cNvPr id="80" name="Text Box 27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5712097" y="2313485"/>
          <a:ext cx="672022" cy="174168"/>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0Ω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172461</xdr:colOff>
      <xdr:row>13</xdr:row>
      <xdr:rowOff>96434</xdr:rowOff>
    </xdr:from>
    <xdr:to>
      <xdr:col>10</xdr:col>
      <xdr:colOff>250197</xdr:colOff>
      <xdr:row>14</xdr:row>
      <xdr:rowOff>136230</xdr:rowOff>
    </xdr:to>
    <xdr:sp macro="" textlink="'Variable Management'!B422">
      <xdr:nvSpPr>
        <xdr:cNvPr id="84" name="Text Box 276">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5787449" y="2906309"/>
          <a:ext cx="596848" cy="243949"/>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N/A</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10</xdr:col>
      <xdr:colOff>574616</xdr:colOff>
      <xdr:row>8</xdr:row>
      <xdr:rowOff>25060</xdr:rowOff>
    </xdr:from>
    <xdr:to>
      <xdr:col>11</xdr:col>
      <xdr:colOff>307735</xdr:colOff>
      <xdr:row>9</xdr:row>
      <xdr:rowOff>60518</xdr:rowOff>
    </xdr:to>
    <xdr:sp macro="" textlink="'Variable Management'!B405">
      <xdr:nvSpPr>
        <xdr:cNvPr id="83" name="Text Box 276">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6555980" y="1951276"/>
          <a:ext cx="572551" cy="237837"/>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688916</xdr:colOff>
      <xdr:row>10</xdr:row>
      <xdr:rowOff>101818</xdr:rowOff>
    </xdr:from>
    <xdr:to>
      <xdr:col>11</xdr:col>
      <xdr:colOff>307735</xdr:colOff>
      <xdr:row>12</xdr:row>
      <xdr:rowOff>2775</xdr:rowOff>
    </xdr:to>
    <xdr:sp macro="" textlink="'Variable Management'!B404">
      <xdr:nvSpPr>
        <xdr:cNvPr id="85" name="Text Box 276">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6670280" y="2407802"/>
          <a:ext cx="458251" cy="251701"/>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335280</xdr:colOff>
      <xdr:row>14</xdr:row>
      <xdr:rowOff>244906</xdr:rowOff>
    </xdr:from>
    <xdr:to>
      <xdr:col>15</xdr:col>
      <xdr:colOff>403860</xdr:colOff>
      <xdr:row>17</xdr:row>
      <xdr:rowOff>42303</xdr:rowOff>
    </xdr:to>
    <xdr:sp macro="" textlink="'Variable Management'!P29">
      <xdr:nvSpPr>
        <xdr:cNvPr id="100" name="Text Box 255">
          <a:extLst>
            <a:ext uri="{FF2B5EF4-FFF2-40B4-BE49-F238E27FC236}">
              <a16:creationId xmlns:a16="http://schemas.microsoft.com/office/drawing/2014/main" id="{00000000-0008-0000-0000-000064000000}"/>
            </a:ext>
          </a:extLst>
        </xdr:cNvPr>
        <xdr:cNvSpPr txBox="1">
          <a:spLocks noChangeArrowheads="1"/>
        </xdr:cNvSpPr>
      </xdr:nvSpPr>
      <xdr:spPr bwMode="auto">
        <a:xfrm>
          <a:off x="7322820" y="3270046"/>
          <a:ext cx="2636520" cy="429857"/>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LM25148-Q1</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10</xdr:col>
      <xdr:colOff>99028</xdr:colOff>
      <xdr:row>22</xdr:row>
      <xdr:rowOff>140294</xdr:rowOff>
    </xdr:from>
    <xdr:to>
      <xdr:col>10</xdr:col>
      <xdr:colOff>744443</xdr:colOff>
      <xdr:row>24</xdr:row>
      <xdr:rowOff>3001</xdr:rowOff>
    </xdr:to>
    <xdr:sp macro="" textlink="'Variable Management'!E407">
      <xdr:nvSpPr>
        <xdr:cNvPr id="99" name="Text Box 263">
          <a:extLst>
            <a:ext uri="{FF2B5EF4-FFF2-40B4-BE49-F238E27FC236}">
              <a16:creationId xmlns:a16="http://schemas.microsoft.com/office/drawing/2014/main" id="{00000000-0008-0000-0000-000063000000}"/>
            </a:ext>
          </a:extLst>
        </xdr:cNvPr>
        <xdr:cNvSpPr txBox="1">
          <a:spLocks noChangeArrowheads="1" noTextEdit="1"/>
        </xdr:cNvSpPr>
      </xdr:nvSpPr>
      <xdr:spPr bwMode="auto">
        <a:xfrm>
          <a:off x="6235570" y="4667258"/>
          <a:ext cx="646685" cy="246051"/>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63984</xdr:colOff>
      <xdr:row>22</xdr:row>
      <xdr:rowOff>101473</xdr:rowOff>
    </xdr:from>
    <xdr:to>
      <xdr:col>10</xdr:col>
      <xdr:colOff>178105</xdr:colOff>
      <xdr:row>24</xdr:row>
      <xdr:rowOff>2175</xdr:rowOff>
    </xdr:to>
    <xdr:sp macro="" textlink="'Variable Management'!C407">
      <xdr:nvSpPr>
        <xdr:cNvPr id="101" name="Text Box 263">
          <a:extLst>
            <a:ext uri="{FF2B5EF4-FFF2-40B4-BE49-F238E27FC236}">
              <a16:creationId xmlns:a16="http://schemas.microsoft.com/office/drawing/2014/main" id="{00000000-0008-0000-0000-000065000000}"/>
            </a:ext>
          </a:extLst>
        </xdr:cNvPr>
        <xdr:cNvSpPr txBox="1">
          <a:spLocks noChangeArrowheads="1" noTextEdit="1"/>
        </xdr:cNvSpPr>
      </xdr:nvSpPr>
      <xdr:spPr bwMode="auto">
        <a:xfrm>
          <a:off x="5521734" y="4738280"/>
          <a:ext cx="621860" cy="291451"/>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xdr:colOff>
          <xdr:row>4</xdr:row>
          <xdr:rowOff>6350</xdr:rowOff>
        </xdr:from>
        <xdr:to>
          <xdr:col>7</xdr:col>
          <xdr:colOff>114300</xdr:colOff>
          <xdr:row>5</xdr:row>
          <xdr:rowOff>0</xdr:rowOff>
        </xdr:to>
        <xdr:sp macro="" textlink="">
          <xdr:nvSpPr>
            <xdr:cNvPr id="843436" name="Drop Down 8876" hidden="1">
              <a:extLst>
                <a:ext uri="{63B3BB69-23CF-44E3-9099-C40C66FF867C}">
                  <a14:compatExt spid="_x0000_s843436"/>
                </a:ext>
                <a:ext uri="{FF2B5EF4-FFF2-40B4-BE49-F238E27FC236}">
                  <a16:creationId xmlns:a16="http://schemas.microsoft.com/office/drawing/2014/main" id="{00000000-0008-0000-0000-0000ACD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15</xdr:col>
      <xdr:colOff>1219200</xdr:colOff>
      <xdr:row>22</xdr:row>
      <xdr:rowOff>20320</xdr:rowOff>
    </xdr:from>
    <xdr:to>
      <xdr:col>15</xdr:col>
      <xdr:colOff>2894921</xdr:colOff>
      <xdr:row>24</xdr:row>
      <xdr:rowOff>20199</xdr:rowOff>
    </xdr:to>
    <xdr:sp macro="" textlink="">
      <xdr:nvSpPr>
        <xdr:cNvPr id="50" name="Text Box 249">
          <a:extLst>
            <a:ext uri="{FF2B5EF4-FFF2-40B4-BE49-F238E27FC236}">
              <a16:creationId xmlns:a16="http://schemas.microsoft.com/office/drawing/2014/main" id="{00000000-0008-0000-0000-000032000000}"/>
            </a:ext>
          </a:extLst>
        </xdr:cNvPr>
        <xdr:cNvSpPr txBox="1">
          <a:spLocks noChangeArrowheads="1"/>
        </xdr:cNvSpPr>
      </xdr:nvSpPr>
      <xdr:spPr bwMode="auto">
        <a:xfrm>
          <a:off x="10774680" y="4541520"/>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twoCellAnchor editAs="absolute">
    <xdr:from>
      <xdr:col>14</xdr:col>
      <xdr:colOff>629920</xdr:colOff>
      <xdr:row>43</xdr:row>
      <xdr:rowOff>76200</xdr:rowOff>
    </xdr:from>
    <xdr:to>
      <xdr:col>15</xdr:col>
      <xdr:colOff>3373120</xdr:colOff>
      <xdr:row>45</xdr:row>
      <xdr:rowOff>2643</xdr:rowOff>
    </xdr:to>
    <xdr:sp macro="" textlink="'Variable Management'!A426">
      <xdr:nvSpPr>
        <xdr:cNvPr id="51" name="Text Box 283">
          <a:extLst>
            <a:ext uri="{FF2B5EF4-FFF2-40B4-BE49-F238E27FC236}">
              <a16:creationId xmlns:a16="http://schemas.microsoft.com/office/drawing/2014/main" id="{00000000-0008-0000-0000-000033000000}"/>
            </a:ext>
          </a:extLst>
        </xdr:cNvPr>
        <xdr:cNvSpPr txBox="1">
          <a:spLocks noChangeArrowheads="1" noTextEdit="1"/>
        </xdr:cNvSpPr>
      </xdr:nvSpPr>
      <xdr:spPr bwMode="auto">
        <a:xfrm>
          <a:off x="9502140" y="8503920"/>
          <a:ext cx="3421380" cy="276963"/>
        </a:xfrm>
        <a:prstGeom prst="rect">
          <a:avLst/>
        </a:prstGeom>
        <a:noFill/>
        <a:ln w="9525">
          <a:noFill/>
          <a:miter lim="800000"/>
          <a:headEnd/>
          <a:tailEnd/>
        </a:ln>
      </xdr:spPr>
      <xdr:txBody>
        <a:bodyPr vertOverflow="clip" wrap="square" lIns="27432" tIns="22860" rIns="0" bIns="0" anchor="t" upright="1"/>
        <a:lstStyle/>
        <a:p>
          <a:pPr algn="l" rtl="0">
            <a:defRPr sz="1000"/>
          </a:pPr>
          <a:fld id="{6459DEAC-AF83-4910-965F-54E18763E2E4}" type="TxLink">
            <a:rPr lang="en-US" sz="1100" b="1" i="0" u="none" strike="noStrike">
              <a:solidFill>
                <a:srgbClr val="FF0000"/>
              </a:solidFill>
              <a:latin typeface="Arial"/>
              <a:cs typeface="Arial"/>
            </a:rPr>
            <a:pPr algn="l" rtl="0">
              <a:defRPr sz="1000"/>
            </a:pPr>
            <a:t> </a:t>
          </a:fld>
          <a:endParaRPr lang="en-US" sz="1800" b="1" i="0" strike="noStrike">
            <a:solidFill>
              <a:srgbClr val="FF0000"/>
            </a:solidFill>
            <a:latin typeface="Arial" pitchFamily="34" charset="0"/>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9525</xdr:rowOff>
    </xdr:from>
    <xdr:ext cx="1950720" cy="508288"/>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1950720" cy="508288"/>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533400</xdr:colOff>
          <xdr:row>18</xdr:row>
          <xdr:rowOff>38100</xdr:rowOff>
        </xdr:from>
        <xdr:to>
          <xdr:col>6</xdr:col>
          <xdr:colOff>342900</xdr:colOff>
          <xdr:row>35</xdr:row>
          <xdr:rowOff>101600</xdr:rowOff>
        </xdr:to>
        <xdr:sp macro="" textlink="">
          <xdr:nvSpPr>
            <xdr:cNvPr id="797704" name="Object 4" hidden="1">
              <a:extLst>
                <a:ext uri="{63B3BB69-23CF-44E3-9099-C40C66FF867C}">
                  <a14:compatExt spid="_x0000_s797704"/>
                </a:ext>
                <a:ext uri="{FF2B5EF4-FFF2-40B4-BE49-F238E27FC236}">
                  <a16:creationId xmlns:a16="http://schemas.microsoft.com/office/drawing/2014/main" id="{00000000-0008-0000-0100-0000082C0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102870</xdr:colOff>
          <xdr:row>12</xdr:row>
          <xdr:rowOff>125730</xdr:rowOff>
        </xdr:from>
        <xdr:to>
          <xdr:col>16</xdr:col>
          <xdr:colOff>6606540</xdr:colOff>
          <xdr:row>42</xdr:row>
          <xdr:rowOff>94273</xdr:rowOff>
        </xdr:to>
        <xdr:pic>
          <xdr:nvPicPr>
            <xdr:cNvPr id="6" name="Picture 1174">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BODE_PLOT_Ch2" spid="_x0000_s798365"/>
                </a:ext>
              </a:extLst>
            </xdr:cNvPicPr>
          </xdr:nvPicPr>
          <xdr:blipFill>
            <a:blip xmlns:r="http://schemas.openxmlformats.org/officeDocument/2006/relationships" r:embed="rId3"/>
            <a:srcRect/>
            <a:stretch>
              <a:fillRect/>
            </a:stretch>
          </xdr:blipFill>
          <xdr:spPr bwMode="auto">
            <a:xfrm>
              <a:off x="8181975" y="2781300"/>
              <a:ext cx="7724775" cy="48891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xdr:row>
          <xdr:rowOff>38100</xdr:rowOff>
        </xdr:from>
        <xdr:to>
          <xdr:col>14</xdr:col>
          <xdr:colOff>25400</xdr:colOff>
          <xdr:row>32</xdr:row>
          <xdr:rowOff>139700</xdr:rowOff>
        </xdr:to>
        <xdr:sp macro="" textlink="">
          <xdr:nvSpPr>
            <xdr:cNvPr id="797852" name="Object 156" hidden="1">
              <a:extLst>
                <a:ext uri="{63B3BB69-23CF-44E3-9099-C40C66FF867C}">
                  <a14:compatExt spid="_x0000_s797852"/>
                </a:ext>
                <a:ext uri="{FF2B5EF4-FFF2-40B4-BE49-F238E27FC236}">
                  <a16:creationId xmlns:a16="http://schemas.microsoft.com/office/drawing/2014/main" id="{00000000-0008-0000-0100-00009C2C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3</xdr:col>
      <xdr:colOff>131445</xdr:colOff>
      <xdr:row>1</xdr:row>
      <xdr:rowOff>3463</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2223770" cy="59083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276536</xdr:colOff>
          <xdr:row>17</xdr:row>
          <xdr:rowOff>82236</xdr:rowOff>
        </xdr:from>
        <xdr:to>
          <xdr:col>16</xdr:col>
          <xdr:colOff>3599012</xdr:colOff>
          <xdr:row>50</xdr:row>
          <xdr:rowOff>130874</xdr:rowOff>
        </xdr:to>
        <xdr:pic>
          <xdr:nvPicPr>
            <xdr:cNvPr id="3" name="Picture 1174">
              <a:extLst>
                <a:ext uri="{FF2B5EF4-FFF2-40B4-BE49-F238E27FC236}">
                  <a16:creationId xmlns:a16="http://schemas.microsoft.com/office/drawing/2014/main" id="{00000000-0008-0000-0200-000003000000}"/>
                </a:ext>
              </a:extLst>
            </xdr:cNvPr>
            <xdr:cNvPicPr>
              <a:picLocks noChangeAspect="1" noChangeArrowheads="1"/>
              <a:extLst>
                <a:ext uri="{84589F7E-364E-4C9E-8A38-B11213B215E9}">
                  <a14:cameraTool cellRange="BODE_PLOT_Ch2" spid="_x0000_s785244"/>
                </a:ext>
              </a:extLst>
            </xdr:cNvPicPr>
          </xdr:nvPicPr>
          <xdr:blipFill>
            <a:blip xmlns:r="http://schemas.openxmlformats.org/officeDocument/2006/relationships" r:embed="rId3"/>
            <a:srcRect/>
            <a:stretch>
              <a:fillRect/>
            </a:stretch>
          </xdr:blipFill>
          <xdr:spPr bwMode="auto">
            <a:xfrm>
              <a:off x="4842559" y="3358836"/>
              <a:ext cx="9002739" cy="54969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206189</xdr:colOff>
          <xdr:row>1</xdr:row>
          <xdr:rowOff>62754</xdr:rowOff>
        </xdr:from>
        <xdr:to>
          <xdr:col>7</xdr:col>
          <xdr:colOff>1087708</xdr:colOff>
          <xdr:row>28</xdr:row>
          <xdr:rowOff>135014</xdr:rowOff>
        </xdr:to>
        <xdr:pic>
          <xdr:nvPicPr>
            <xdr:cNvPr id="29" name="Picture 1175">
              <a:extLst>
                <a:ext uri="{FF2B5EF4-FFF2-40B4-BE49-F238E27FC236}">
                  <a16:creationId xmlns:a16="http://schemas.microsoft.com/office/drawing/2014/main" id="{00000000-0008-0000-0300-00001D000000}"/>
                </a:ext>
              </a:extLst>
            </xdr:cNvPr>
            <xdr:cNvPicPr>
              <a:picLocks noChangeAspect="1" noChangeArrowheads="1"/>
              <a:extLst>
                <a:ext uri="{84589F7E-364E-4C9E-8A38-B11213B215E9}">
                  <a14:cameraTool cellRange="PICTURE2" spid="_x0000_s830852"/>
                </a:ext>
              </a:extLst>
            </xdr:cNvPicPr>
          </xdr:nvPicPr>
          <xdr:blipFill>
            <a:blip xmlns:r="http://schemas.openxmlformats.org/officeDocument/2006/relationships" r:embed="rId1"/>
            <a:srcRect/>
            <a:stretch>
              <a:fillRect/>
            </a:stretch>
          </xdr:blipFill>
          <xdr:spPr bwMode="auto">
            <a:xfrm>
              <a:off x="206189" y="233083"/>
              <a:ext cx="8680813" cy="467115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absolute">
    <xdr:from>
      <xdr:col>2</xdr:col>
      <xdr:colOff>144402</xdr:colOff>
      <xdr:row>24</xdr:row>
      <xdr:rowOff>1543</xdr:rowOff>
    </xdr:from>
    <xdr:to>
      <xdr:col>2</xdr:col>
      <xdr:colOff>594282</xdr:colOff>
      <xdr:row>25</xdr:row>
      <xdr:rowOff>71045</xdr:rowOff>
    </xdr:to>
    <xdr:sp macro="" textlink="'Variable Management'!B409">
      <xdr:nvSpPr>
        <xdr:cNvPr id="30" name="Text Box 262">
          <a:extLst>
            <a:ext uri="{FF2B5EF4-FFF2-40B4-BE49-F238E27FC236}">
              <a16:creationId xmlns:a16="http://schemas.microsoft.com/office/drawing/2014/main" id="{00000000-0008-0000-0300-00001E000000}"/>
            </a:ext>
          </a:extLst>
        </xdr:cNvPr>
        <xdr:cNvSpPr txBox="1">
          <a:spLocks noChangeArrowheads="1" noTextEdit="1"/>
        </xdr:cNvSpPr>
      </xdr:nvSpPr>
      <xdr:spPr bwMode="auto">
        <a:xfrm>
          <a:off x="2197320" y="4086759"/>
          <a:ext cx="449880" cy="242521"/>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150pF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529650</xdr:colOff>
      <xdr:row>22</xdr:row>
      <xdr:rowOff>155646</xdr:rowOff>
    </xdr:from>
    <xdr:to>
      <xdr:col>1</xdr:col>
      <xdr:colOff>1167676</xdr:colOff>
      <xdr:row>24</xdr:row>
      <xdr:rowOff>61321</xdr:rowOff>
    </xdr:to>
    <xdr:sp macro="" textlink="'Variable Management'!B407">
      <xdr:nvSpPr>
        <xdr:cNvPr id="31" name="Text Box 263">
          <a:extLst>
            <a:ext uri="{FF2B5EF4-FFF2-40B4-BE49-F238E27FC236}">
              <a16:creationId xmlns:a16="http://schemas.microsoft.com/office/drawing/2014/main" id="{00000000-0008-0000-0300-00001F000000}"/>
            </a:ext>
          </a:extLst>
        </xdr:cNvPr>
        <xdr:cNvSpPr txBox="1">
          <a:spLocks noChangeArrowheads="1" noTextEdit="1"/>
        </xdr:cNvSpPr>
      </xdr:nvSpPr>
      <xdr:spPr bwMode="auto">
        <a:xfrm>
          <a:off x="1184074" y="3902893"/>
          <a:ext cx="638026" cy="246334"/>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5.11kΩ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140426</xdr:colOff>
      <xdr:row>12</xdr:row>
      <xdr:rowOff>106550</xdr:rowOff>
    </xdr:from>
    <xdr:to>
      <xdr:col>7</xdr:col>
      <xdr:colOff>636510</xdr:colOff>
      <xdr:row>14</xdr:row>
      <xdr:rowOff>533</xdr:rowOff>
    </xdr:to>
    <xdr:sp macro="" textlink="'Variable Management'!B397">
      <xdr:nvSpPr>
        <xdr:cNvPr id="32" name="Text Box 267">
          <a:extLst>
            <a:ext uri="{FF2B5EF4-FFF2-40B4-BE49-F238E27FC236}">
              <a16:creationId xmlns:a16="http://schemas.microsoft.com/office/drawing/2014/main" id="{00000000-0008-0000-0300-000020000000}"/>
            </a:ext>
          </a:extLst>
        </xdr:cNvPr>
        <xdr:cNvSpPr txBox="1">
          <a:spLocks noChangeArrowheads="1" noTextEdit="1"/>
        </xdr:cNvSpPr>
      </xdr:nvSpPr>
      <xdr:spPr bwMode="auto">
        <a:xfrm>
          <a:off x="7939720" y="2150503"/>
          <a:ext cx="496084" cy="234642"/>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66µF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915237</xdr:colOff>
      <xdr:row>10</xdr:row>
      <xdr:rowOff>155270</xdr:rowOff>
    </xdr:from>
    <xdr:to>
      <xdr:col>6</xdr:col>
      <xdr:colOff>3527</xdr:colOff>
      <xdr:row>12</xdr:row>
      <xdr:rowOff>38202</xdr:rowOff>
    </xdr:to>
    <xdr:sp macro="" textlink="'Variable Management'!B379">
      <xdr:nvSpPr>
        <xdr:cNvPr id="33" name="Text Box 275">
          <a:extLst>
            <a:ext uri="{FF2B5EF4-FFF2-40B4-BE49-F238E27FC236}">
              <a16:creationId xmlns:a16="http://schemas.microsoft.com/office/drawing/2014/main" id="{00000000-0008-0000-0300-000021000000}"/>
            </a:ext>
          </a:extLst>
        </xdr:cNvPr>
        <xdr:cNvSpPr txBox="1">
          <a:spLocks noChangeArrowheads="1" noTextEdit="1"/>
        </xdr:cNvSpPr>
      </xdr:nvSpPr>
      <xdr:spPr bwMode="auto">
        <a:xfrm>
          <a:off x="6643684" y="1858564"/>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1145271</xdr:colOff>
      <xdr:row>4</xdr:row>
      <xdr:rowOff>121708</xdr:rowOff>
    </xdr:from>
    <xdr:to>
      <xdr:col>6</xdr:col>
      <xdr:colOff>231835</xdr:colOff>
      <xdr:row>6</xdr:row>
      <xdr:rowOff>29687</xdr:rowOff>
    </xdr:to>
    <xdr:sp macro="" textlink="'Variable Management'!B401">
      <xdr:nvSpPr>
        <xdr:cNvPr id="34" name="Text Box 276">
          <a:extLst>
            <a:ext uri="{FF2B5EF4-FFF2-40B4-BE49-F238E27FC236}">
              <a16:creationId xmlns:a16="http://schemas.microsoft.com/office/drawing/2014/main" id="{00000000-0008-0000-0300-000022000000}"/>
            </a:ext>
          </a:extLst>
        </xdr:cNvPr>
        <xdr:cNvSpPr txBox="1">
          <a:spLocks noChangeArrowheads="1" noTextEdit="1"/>
        </xdr:cNvSpPr>
      </xdr:nvSpPr>
      <xdr:spPr bwMode="auto">
        <a:xfrm>
          <a:off x="6873718" y="803026"/>
          <a:ext cx="494023" cy="248637"/>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234633</xdr:colOff>
      <xdr:row>7</xdr:row>
      <xdr:rowOff>97801</xdr:rowOff>
    </xdr:from>
    <xdr:to>
      <xdr:col>7</xdr:col>
      <xdr:colOff>844886</xdr:colOff>
      <xdr:row>9</xdr:row>
      <xdr:rowOff>26185</xdr:rowOff>
    </xdr:to>
    <xdr:sp macro="" textlink="'Variable Management'!B395">
      <xdr:nvSpPr>
        <xdr:cNvPr id="35" name="Text Box 285">
          <a:extLst>
            <a:ext uri="{FF2B5EF4-FFF2-40B4-BE49-F238E27FC236}">
              <a16:creationId xmlns:a16="http://schemas.microsoft.com/office/drawing/2014/main" id="{00000000-0008-0000-0300-000023000000}"/>
            </a:ext>
          </a:extLst>
        </xdr:cNvPr>
        <xdr:cNvSpPr txBox="1">
          <a:spLocks noChangeArrowheads="1" noTextEdit="1"/>
        </xdr:cNvSpPr>
      </xdr:nvSpPr>
      <xdr:spPr bwMode="auto">
        <a:xfrm>
          <a:off x="8033927" y="1290107"/>
          <a:ext cx="610253" cy="269043"/>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3.3V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7</xdr:col>
      <xdr:colOff>232227</xdr:colOff>
      <xdr:row>8</xdr:row>
      <xdr:rowOff>167110</xdr:rowOff>
    </xdr:from>
    <xdr:to>
      <xdr:col>7</xdr:col>
      <xdr:colOff>650783</xdr:colOff>
      <xdr:row>10</xdr:row>
      <xdr:rowOff>81732</xdr:rowOff>
    </xdr:to>
    <xdr:sp macro="" textlink="'Variable Management'!B448">
      <xdr:nvSpPr>
        <xdr:cNvPr id="36" name="Text Box 286">
          <a:extLst>
            <a:ext uri="{FF2B5EF4-FFF2-40B4-BE49-F238E27FC236}">
              <a16:creationId xmlns:a16="http://schemas.microsoft.com/office/drawing/2014/main" id="{00000000-0008-0000-0300-000024000000}"/>
            </a:ext>
          </a:extLst>
        </xdr:cNvPr>
        <xdr:cNvSpPr txBox="1">
          <a:spLocks noChangeArrowheads="1" noTextEdit="1"/>
        </xdr:cNvSpPr>
      </xdr:nvSpPr>
      <xdr:spPr bwMode="auto">
        <a:xfrm>
          <a:off x="8031521" y="1529745"/>
          <a:ext cx="418556" cy="255281"/>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1.75A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6</xdr:col>
      <xdr:colOff>42289</xdr:colOff>
      <xdr:row>9</xdr:row>
      <xdr:rowOff>45412</xdr:rowOff>
    </xdr:from>
    <xdr:to>
      <xdr:col>6</xdr:col>
      <xdr:colOff>498469</xdr:colOff>
      <xdr:row>10</xdr:row>
      <xdr:rowOff>124220</xdr:rowOff>
    </xdr:to>
    <xdr:sp macro="" textlink="'Variable Management'!B381">
      <xdr:nvSpPr>
        <xdr:cNvPr id="37" name="Text Box 275">
          <a:extLst>
            <a:ext uri="{FF2B5EF4-FFF2-40B4-BE49-F238E27FC236}">
              <a16:creationId xmlns:a16="http://schemas.microsoft.com/office/drawing/2014/main" id="{00000000-0008-0000-0300-000025000000}"/>
            </a:ext>
          </a:extLst>
        </xdr:cNvPr>
        <xdr:cNvSpPr txBox="1">
          <a:spLocks noChangeArrowheads="1" noTextEdit="1"/>
        </xdr:cNvSpPr>
      </xdr:nvSpPr>
      <xdr:spPr bwMode="auto">
        <a:xfrm>
          <a:off x="7178195" y="1578377"/>
          <a:ext cx="456180" cy="24913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25mΩ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669234</xdr:colOff>
      <xdr:row>25</xdr:row>
      <xdr:rowOff>26559</xdr:rowOff>
    </xdr:from>
    <xdr:to>
      <xdr:col>1</xdr:col>
      <xdr:colOff>1085539</xdr:colOff>
      <xdr:row>26</xdr:row>
      <xdr:rowOff>96603</xdr:rowOff>
    </xdr:to>
    <xdr:sp macro="" textlink="'Variable Management'!B408">
      <xdr:nvSpPr>
        <xdr:cNvPr id="38" name="Text Box 261">
          <a:extLst>
            <a:ext uri="{FF2B5EF4-FFF2-40B4-BE49-F238E27FC236}">
              <a16:creationId xmlns:a16="http://schemas.microsoft.com/office/drawing/2014/main" id="{00000000-0008-0000-0300-000026000000}"/>
            </a:ext>
          </a:extLst>
        </xdr:cNvPr>
        <xdr:cNvSpPr txBox="1">
          <a:spLocks noChangeArrowheads="1" noTextEdit="1"/>
        </xdr:cNvSpPr>
      </xdr:nvSpPr>
      <xdr:spPr bwMode="auto">
        <a:xfrm>
          <a:off x="1323658" y="4284794"/>
          <a:ext cx="416305" cy="24037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3.9nF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2</xdr:col>
      <xdr:colOff>352105</xdr:colOff>
      <xdr:row>25</xdr:row>
      <xdr:rowOff>64471</xdr:rowOff>
    </xdr:from>
    <xdr:to>
      <xdr:col>2</xdr:col>
      <xdr:colOff>934239</xdr:colOff>
      <xdr:row>26</xdr:row>
      <xdr:rowOff>129510</xdr:rowOff>
    </xdr:to>
    <xdr:sp macro="" textlink="'Variable Management'!B443">
      <xdr:nvSpPr>
        <xdr:cNvPr id="39" name="Text Box 281">
          <a:extLst>
            <a:ext uri="{FF2B5EF4-FFF2-40B4-BE49-F238E27FC236}">
              <a16:creationId xmlns:a16="http://schemas.microsoft.com/office/drawing/2014/main" id="{00000000-0008-0000-0300-000027000000}"/>
            </a:ext>
          </a:extLst>
        </xdr:cNvPr>
        <xdr:cNvSpPr txBox="1">
          <a:spLocks noChangeArrowheads="1" noTextEdit="1"/>
        </xdr:cNvSpPr>
      </xdr:nvSpPr>
      <xdr:spPr bwMode="auto">
        <a:xfrm>
          <a:off x="2405023" y="4322706"/>
          <a:ext cx="582134" cy="235369"/>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53.6kΩ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841329</xdr:colOff>
      <xdr:row>15</xdr:row>
      <xdr:rowOff>70242</xdr:rowOff>
    </xdr:from>
    <xdr:to>
      <xdr:col>1</xdr:col>
      <xdr:colOff>1376142</xdr:colOff>
      <xdr:row>16</xdr:row>
      <xdr:rowOff>117161</xdr:rowOff>
    </xdr:to>
    <xdr:sp macro="" textlink="'Variable Management'!B417">
      <xdr:nvSpPr>
        <xdr:cNvPr id="40" name="Text Box 263">
          <a:extLst>
            <a:ext uri="{FF2B5EF4-FFF2-40B4-BE49-F238E27FC236}">
              <a16:creationId xmlns:a16="http://schemas.microsoft.com/office/drawing/2014/main" id="{00000000-0008-0000-0300-000028000000}"/>
            </a:ext>
          </a:extLst>
        </xdr:cNvPr>
        <xdr:cNvSpPr txBox="1">
          <a:spLocks noChangeArrowheads="1" noTextEdit="1"/>
        </xdr:cNvSpPr>
      </xdr:nvSpPr>
      <xdr:spPr bwMode="auto">
        <a:xfrm>
          <a:off x="1495753" y="2625183"/>
          <a:ext cx="534813" cy="217249"/>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826864</xdr:colOff>
      <xdr:row>18</xdr:row>
      <xdr:rowOff>76714</xdr:rowOff>
    </xdr:from>
    <xdr:to>
      <xdr:col>1</xdr:col>
      <xdr:colOff>1390656</xdr:colOff>
      <xdr:row>19</xdr:row>
      <xdr:rowOff>140317</xdr:rowOff>
    </xdr:to>
    <xdr:sp macro="" textlink="'Variable Management'!B418">
      <xdr:nvSpPr>
        <xdr:cNvPr id="41" name="Text Box 263">
          <a:extLst>
            <a:ext uri="{FF2B5EF4-FFF2-40B4-BE49-F238E27FC236}">
              <a16:creationId xmlns:a16="http://schemas.microsoft.com/office/drawing/2014/main" id="{00000000-0008-0000-0300-000029000000}"/>
            </a:ext>
          </a:extLst>
        </xdr:cNvPr>
        <xdr:cNvSpPr txBox="1">
          <a:spLocks noChangeArrowheads="1" noTextEdit="1"/>
        </xdr:cNvSpPr>
      </xdr:nvSpPr>
      <xdr:spPr bwMode="auto">
        <a:xfrm>
          <a:off x="1481288" y="3142643"/>
          <a:ext cx="571412" cy="233933"/>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980199</xdr:colOff>
      <xdr:row>25</xdr:row>
      <xdr:rowOff>59751</xdr:rowOff>
    </xdr:from>
    <xdr:to>
      <xdr:col>3</xdr:col>
      <xdr:colOff>421709</xdr:colOff>
      <xdr:row>26</xdr:row>
      <xdr:rowOff>99075</xdr:rowOff>
    </xdr:to>
    <xdr:sp macro="" textlink="'Variable Management'!B442">
      <xdr:nvSpPr>
        <xdr:cNvPr id="42" name="Text Box 263">
          <a:extLst>
            <a:ext uri="{FF2B5EF4-FFF2-40B4-BE49-F238E27FC236}">
              <a16:creationId xmlns:a16="http://schemas.microsoft.com/office/drawing/2014/main" id="{00000000-0008-0000-0300-00002A000000}"/>
            </a:ext>
          </a:extLst>
        </xdr:cNvPr>
        <xdr:cNvSpPr txBox="1">
          <a:spLocks noChangeArrowheads="1" noTextEdit="1"/>
        </xdr:cNvSpPr>
      </xdr:nvSpPr>
      <xdr:spPr bwMode="auto">
        <a:xfrm>
          <a:off x="3033117" y="4317986"/>
          <a:ext cx="544168" cy="209654"/>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607199</xdr:colOff>
      <xdr:row>7</xdr:row>
      <xdr:rowOff>42489</xdr:rowOff>
    </xdr:from>
    <xdr:to>
      <xdr:col>1</xdr:col>
      <xdr:colOff>1129336</xdr:colOff>
      <xdr:row>8</xdr:row>
      <xdr:rowOff>85089</xdr:rowOff>
    </xdr:to>
    <xdr:sp macro="" textlink="'Variable Management'!B385">
      <xdr:nvSpPr>
        <xdr:cNvPr id="43" name="Text Box 279">
          <a:extLst>
            <a:ext uri="{FF2B5EF4-FFF2-40B4-BE49-F238E27FC236}">
              <a16:creationId xmlns:a16="http://schemas.microsoft.com/office/drawing/2014/main" id="{00000000-0008-0000-0300-00002B000000}"/>
            </a:ext>
          </a:extLst>
        </xdr:cNvPr>
        <xdr:cNvSpPr txBox="1">
          <a:spLocks noChangeArrowheads="1"/>
        </xdr:cNvSpPr>
      </xdr:nvSpPr>
      <xdr:spPr bwMode="auto">
        <a:xfrm>
          <a:off x="1261623" y="1234795"/>
          <a:ext cx="522137" cy="2129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1</xdr:col>
      <xdr:colOff>606339</xdr:colOff>
      <xdr:row>4</xdr:row>
      <xdr:rowOff>55929</xdr:rowOff>
    </xdr:from>
    <xdr:to>
      <xdr:col>1</xdr:col>
      <xdr:colOff>1128476</xdr:colOff>
      <xdr:row>5</xdr:row>
      <xdr:rowOff>97803</xdr:rowOff>
    </xdr:to>
    <xdr:sp macro="" textlink="'Variable Management'!C385">
      <xdr:nvSpPr>
        <xdr:cNvPr id="61" name="Text Box 279">
          <a:extLst>
            <a:ext uri="{FF2B5EF4-FFF2-40B4-BE49-F238E27FC236}">
              <a16:creationId xmlns:a16="http://schemas.microsoft.com/office/drawing/2014/main" id="{00000000-0008-0000-0300-00003D000000}"/>
            </a:ext>
          </a:extLst>
        </xdr:cNvPr>
        <xdr:cNvSpPr txBox="1">
          <a:spLocks noChangeArrowheads="1"/>
        </xdr:cNvSpPr>
      </xdr:nvSpPr>
      <xdr:spPr bwMode="auto">
        <a:xfrm>
          <a:off x="1260763" y="737247"/>
          <a:ext cx="522137" cy="21220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0</xdr:col>
      <xdr:colOff>608007</xdr:colOff>
      <xdr:row>19</xdr:row>
      <xdr:rowOff>148705</xdr:rowOff>
    </xdr:from>
    <xdr:to>
      <xdr:col>1</xdr:col>
      <xdr:colOff>492206</xdr:colOff>
      <xdr:row>21</xdr:row>
      <xdr:rowOff>10005</xdr:rowOff>
    </xdr:to>
    <xdr:sp macro="" textlink="'Variable Management'!E385">
      <xdr:nvSpPr>
        <xdr:cNvPr id="62" name="Text Box 279">
          <a:extLst>
            <a:ext uri="{FF2B5EF4-FFF2-40B4-BE49-F238E27FC236}">
              <a16:creationId xmlns:a16="http://schemas.microsoft.com/office/drawing/2014/main" id="{00000000-0008-0000-0300-00003E000000}"/>
            </a:ext>
          </a:extLst>
        </xdr:cNvPr>
        <xdr:cNvSpPr txBox="1">
          <a:spLocks noChangeArrowheads="1"/>
        </xdr:cNvSpPr>
      </xdr:nvSpPr>
      <xdr:spPr bwMode="auto">
        <a:xfrm>
          <a:off x="608007" y="3384964"/>
          <a:ext cx="538623" cy="20195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1</xdr:col>
      <xdr:colOff>222020</xdr:colOff>
      <xdr:row>3</xdr:row>
      <xdr:rowOff>78673</xdr:rowOff>
    </xdr:from>
    <xdr:to>
      <xdr:col>1</xdr:col>
      <xdr:colOff>1206239</xdr:colOff>
      <xdr:row>5</xdr:row>
      <xdr:rowOff>10623</xdr:rowOff>
    </xdr:to>
    <xdr:sp macro="" textlink="'Variable Management'!B451">
      <xdr:nvSpPr>
        <xdr:cNvPr id="63" name="Text Box 283">
          <a:extLst>
            <a:ext uri="{FF2B5EF4-FFF2-40B4-BE49-F238E27FC236}">
              <a16:creationId xmlns:a16="http://schemas.microsoft.com/office/drawing/2014/main" id="{00000000-0008-0000-0300-00003F000000}"/>
            </a:ext>
          </a:extLst>
        </xdr:cNvPr>
        <xdr:cNvSpPr txBox="1">
          <a:spLocks noChangeArrowheads="1" noTextEdit="1"/>
        </xdr:cNvSpPr>
      </xdr:nvSpPr>
      <xdr:spPr bwMode="auto">
        <a:xfrm>
          <a:off x="876444" y="589661"/>
          <a:ext cx="984219" cy="272609"/>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5V...7.4V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xdr:col>
      <xdr:colOff>897814</xdr:colOff>
      <xdr:row>15</xdr:row>
      <xdr:rowOff>70412</xdr:rowOff>
    </xdr:from>
    <xdr:to>
      <xdr:col>2</xdr:col>
      <xdr:colOff>32590</xdr:colOff>
      <xdr:row>16</xdr:row>
      <xdr:rowOff>81226</xdr:rowOff>
    </xdr:to>
    <xdr:sp macro="" textlink="'Variable Management'!D419">
      <xdr:nvSpPr>
        <xdr:cNvPr id="64" name="Text Box 279">
          <a:extLst>
            <a:ext uri="{FF2B5EF4-FFF2-40B4-BE49-F238E27FC236}">
              <a16:creationId xmlns:a16="http://schemas.microsoft.com/office/drawing/2014/main" id="{00000000-0008-0000-0300-000040000000}"/>
            </a:ext>
          </a:extLst>
        </xdr:cNvPr>
        <xdr:cNvSpPr txBox="1">
          <a:spLocks noChangeArrowheads="1"/>
        </xdr:cNvSpPr>
      </xdr:nvSpPr>
      <xdr:spPr bwMode="auto">
        <a:xfrm>
          <a:off x="1552238" y="2625353"/>
          <a:ext cx="533270" cy="18114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0Ω</a:t>
          </a:fld>
          <a:endParaRPr lang="en-US" sz="1000">
            <a:latin typeface="Arial" pitchFamily="34" charset="0"/>
            <a:cs typeface="Arial" pitchFamily="34" charset="0"/>
          </a:endParaRPr>
        </a:p>
      </xdr:txBody>
    </xdr:sp>
    <xdr:clientData/>
  </xdr:twoCellAnchor>
  <xdr:twoCellAnchor editAs="absolute">
    <xdr:from>
      <xdr:col>1</xdr:col>
      <xdr:colOff>328560</xdr:colOff>
      <xdr:row>6</xdr:row>
      <xdr:rowOff>103158</xdr:rowOff>
    </xdr:from>
    <xdr:to>
      <xdr:col>1</xdr:col>
      <xdr:colOff>1003985</xdr:colOff>
      <xdr:row>7</xdr:row>
      <xdr:rowOff>103595</xdr:rowOff>
    </xdr:to>
    <xdr:sp macro="" textlink="'Variable Management'!B421">
      <xdr:nvSpPr>
        <xdr:cNvPr id="65" name="Text Box 276">
          <a:extLst>
            <a:ext uri="{FF2B5EF4-FFF2-40B4-BE49-F238E27FC236}">
              <a16:creationId xmlns:a16="http://schemas.microsoft.com/office/drawing/2014/main" id="{00000000-0008-0000-0300-000041000000}"/>
            </a:ext>
          </a:extLst>
        </xdr:cNvPr>
        <xdr:cNvSpPr txBox="1">
          <a:spLocks noChangeArrowheads="1" noTextEdit="1"/>
        </xdr:cNvSpPr>
      </xdr:nvSpPr>
      <xdr:spPr bwMode="auto">
        <a:xfrm>
          <a:off x="982984" y="1125134"/>
          <a:ext cx="675425" cy="170767"/>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0Ω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403912</xdr:colOff>
      <xdr:row>10</xdr:row>
      <xdr:rowOff>11263</xdr:rowOff>
    </xdr:from>
    <xdr:to>
      <xdr:col>1</xdr:col>
      <xdr:colOff>1004163</xdr:colOff>
      <xdr:row>11</xdr:row>
      <xdr:rowOff>88283</xdr:rowOff>
    </xdr:to>
    <xdr:sp macro="" textlink="'Variable Management'!B422">
      <xdr:nvSpPr>
        <xdr:cNvPr id="66" name="Text Box 276">
          <a:extLst>
            <a:ext uri="{FF2B5EF4-FFF2-40B4-BE49-F238E27FC236}">
              <a16:creationId xmlns:a16="http://schemas.microsoft.com/office/drawing/2014/main" id="{00000000-0008-0000-0300-000042000000}"/>
            </a:ext>
          </a:extLst>
        </xdr:cNvPr>
        <xdr:cNvSpPr txBox="1">
          <a:spLocks noChangeArrowheads="1" noTextEdit="1"/>
        </xdr:cNvSpPr>
      </xdr:nvSpPr>
      <xdr:spPr bwMode="auto">
        <a:xfrm>
          <a:off x="1058336" y="1714557"/>
          <a:ext cx="600251" cy="247350"/>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N/A</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1319056</xdr:colOff>
      <xdr:row>4</xdr:row>
      <xdr:rowOff>74181</xdr:rowOff>
    </xdr:from>
    <xdr:to>
      <xdr:col>2</xdr:col>
      <xdr:colOff>502766</xdr:colOff>
      <xdr:row>5</xdr:row>
      <xdr:rowOff>106405</xdr:rowOff>
    </xdr:to>
    <xdr:sp macro="" textlink="'Variable Management'!B405">
      <xdr:nvSpPr>
        <xdr:cNvPr id="67" name="Text Box 276">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973480" y="755499"/>
          <a:ext cx="582204" cy="202553"/>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34862</xdr:colOff>
      <xdr:row>6</xdr:row>
      <xdr:rowOff>136852</xdr:rowOff>
    </xdr:from>
    <xdr:to>
      <xdr:col>2</xdr:col>
      <xdr:colOff>502766</xdr:colOff>
      <xdr:row>8</xdr:row>
      <xdr:rowOff>35696</xdr:rowOff>
    </xdr:to>
    <xdr:sp macro="" textlink="'Variable Management'!B404">
      <xdr:nvSpPr>
        <xdr:cNvPr id="68" name="Text Box 276">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2087780" y="1158828"/>
          <a:ext cx="467904" cy="239503"/>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612187</xdr:colOff>
      <xdr:row>13</xdr:row>
      <xdr:rowOff>7296</xdr:rowOff>
    </xdr:from>
    <xdr:to>
      <xdr:col>4</xdr:col>
      <xdr:colOff>529928</xdr:colOff>
      <xdr:row>15</xdr:row>
      <xdr:rowOff>106291</xdr:rowOff>
    </xdr:to>
    <xdr:sp macro="" textlink="'Variable Management'!P29">
      <xdr:nvSpPr>
        <xdr:cNvPr id="69" name="Text Box 255">
          <a:extLst>
            <a:ext uri="{FF2B5EF4-FFF2-40B4-BE49-F238E27FC236}">
              <a16:creationId xmlns:a16="http://schemas.microsoft.com/office/drawing/2014/main" id="{00000000-0008-0000-0300-000045000000}"/>
            </a:ext>
          </a:extLst>
        </xdr:cNvPr>
        <xdr:cNvSpPr txBox="1">
          <a:spLocks noChangeArrowheads="1"/>
        </xdr:cNvSpPr>
      </xdr:nvSpPr>
      <xdr:spPr bwMode="auto">
        <a:xfrm>
          <a:off x="2665105" y="2221578"/>
          <a:ext cx="2400964" cy="439654"/>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LM25148-Q1</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xdr:col>
      <xdr:colOff>837118</xdr:colOff>
      <xdr:row>20</xdr:row>
      <xdr:rowOff>54945</xdr:rowOff>
    </xdr:from>
    <xdr:to>
      <xdr:col>2</xdr:col>
      <xdr:colOff>85309</xdr:colOff>
      <xdr:row>21</xdr:row>
      <xdr:rowOff>123967</xdr:rowOff>
    </xdr:to>
    <xdr:sp macro="" textlink="'Variable Management'!E407">
      <xdr:nvSpPr>
        <xdr:cNvPr id="70" name="Text Box 263">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1491542" y="3461533"/>
          <a:ext cx="646685" cy="239352"/>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264319</xdr:colOff>
      <xdr:row>20</xdr:row>
      <xdr:rowOff>16124</xdr:rowOff>
    </xdr:from>
    <xdr:to>
      <xdr:col>1</xdr:col>
      <xdr:colOff>900955</xdr:colOff>
      <xdr:row>21</xdr:row>
      <xdr:rowOff>123141</xdr:rowOff>
    </xdr:to>
    <xdr:sp macro="" textlink="'Variable Management'!C407">
      <xdr:nvSpPr>
        <xdr:cNvPr id="71" name="Text Box 263">
          <a:extLst>
            <a:ext uri="{FF2B5EF4-FFF2-40B4-BE49-F238E27FC236}">
              <a16:creationId xmlns:a16="http://schemas.microsoft.com/office/drawing/2014/main" id="{00000000-0008-0000-0300-000047000000}"/>
            </a:ext>
          </a:extLst>
        </xdr:cNvPr>
        <xdr:cNvSpPr txBox="1">
          <a:spLocks noChangeArrowheads="1" noTextEdit="1"/>
        </xdr:cNvSpPr>
      </xdr:nvSpPr>
      <xdr:spPr bwMode="auto">
        <a:xfrm>
          <a:off x="918743" y="3422712"/>
          <a:ext cx="636636" cy="277347"/>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296845</xdr:colOff>
      <xdr:row>19</xdr:row>
      <xdr:rowOff>121810</xdr:rowOff>
    </xdr:from>
    <xdr:to>
      <xdr:col>6</xdr:col>
      <xdr:colOff>565107</xdr:colOff>
      <xdr:row>22</xdr:row>
      <xdr:rowOff>6941</xdr:rowOff>
    </xdr:to>
    <xdr:sp macro="" textlink="">
      <xdr:nvSpPr>
        <xdr:cNvPr id="72" name="Text Box 249">
          <a:extLst>
            <a:ext uri="{FF2B5EF4-FFF2-40B4-BE49-F238E27FC236}">
              <a16:creationId xmlns:a16="http://schemas.microsoft.com/office/drawing/2014/main" id="{00000000-0008-0000-0300-000048000000}"/>
            </a:ext>
          </a:extLst>
        </xdr:cNvPr>
        <xdr:cNvSpPr txBox="1">
          <a:spLocks noChangeArrowheads="1"/>
        </xdr:cNvSpPr>
      </xdr:nvSpPr>
      <xdr:spPr bwMode="auto">
        <a:xfrm>
          <a:off x="6025292" y="3358069"/>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101600</xdr:colOff>
          <xdr:row>9</xdr:row>
          <xdr:rowOff>76200</xdr:rowOff>
        </xdr:from>
        <xdr:to>
          <xdr:col>24</xdr:col>
          <xdr:colOff>228600</xdr:colOff>
          <xdr:row>36</xdr:row>
          <xdr:rowOff>76200</xdr:rowOff>
        </xdr:to>
        <xdr:sp macro="" textlink="">
          <xdr:nvSpPr>
            <xdr:cNvPr id="819203" name="Object 3" hidden="1">
              <a:extLst>
                <a:ext uri="{63B3BB69-23CF-44E3-9099-C40C66FF867C}">
                  <a14:compatExt spid="_x0000_s819203"/>
                </a:ext>
                <a:ext uri="{FF2B5EF4-FFF2-40B4-BE49-F238E27FC236}">
                  <a16:creationId xmlns:a16="http://schemas.microsoft.com/office/drawing/2014/main" id="{00000000-0008-0000-0400-000003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139700</xdr:colOff>
          <xdr:row>69</xdr:row>
          <xdr:rowOff>101600</xdr:rowOff>
        </xdr:from>
        <xdr:to>
          <xdr:col>24</xdr:col>
          <xdr:colOff>139700</xdr:colOff>
          <xdr:row>96</xdr:row>
          <xdr:rowOff>69850</xdr:rowOff>
        </xdr:to>
        <xdr:sp macro="" textlink="">
          <xdr:nvSpPr>
            <xdr:cNvPr id="819207" name="Object 7" hidden="1">
              <a:extLst>
                <a:ext uri="{63B3BB69-23CF-44E3-9099-C40C66FF867C}">
                  <a14:compatExt spid="_x0000_s819207"/>
                </a:ext>
                <a:ext uri="{FF2B5EF4-FFF2-40B4-BE49-F238E27FC236}">
                  <a16:creationId xmlns:a16="http://schemas.microsoft.com/office/drawing/2014/main" id="{00000000-0008-0000-0400-000007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101600</xdr:colOff>
          <xdr:row>40</xdr:row>
          <xdr:rowOff>63500</xdr:rowOff>
        </xdr:from>
        <xdr:to>
          <xdr:col>24</xdr:col>
          <xdr:colOff>107950</xdr:colOff>
          <xdr:row>67</xdr:row>
          <xdr:rowOff>25400</xdr:rowOff>
        </xdr:to>
        <xdr:sp macro="" textlink="">
          <xdr:nvSpPr>
            <xdr:cNvPr id="819208" name="Object 8" hidden="1">
              <a:extLst>
                <a:ext uri="{63B3BB69-23CF-44E3-9099-C40C66FF867C}">
                  <a14:compatExt spid="_x0000_s819208"/>
                </a:ext>
                <a:ext uri="{FF2B5EF4-FFF2-40B4-BE49-F238E27FC236}">
                  <a16:creationId xmlns:a16="http://schemas.microsoft.com/office/drawing/2014/main" id="{00000000-0008-0000-0400-000008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336550</xdr:colOff>
          <xdr:row>40</xdr:row>
          <xdr:rowOff>63500</xdr:rowOff>
        </xdr:from>
        <xdr:to>
          <xdr:col>12</xdr:col>
          <xdr:colOff>444500</xdr:colOff>
          <xdr:row>67</xdr:row>
          <xdr:rowOff>63500</xdr:rowOff>
        </xdr:to>
        <xdr:sp macro="" textlink="">
          <xdr:nvSpPr>
            <xdr:cNvPr id="819209" name="Object 9" hidden="1">
              <a:extLst>
                <a:ext uri="{63B3BB69-23CF-44E3-9099-C40C66FF867C}">
                  <a14:compatExt spid="_x0000_s819209"/>
                </a:ext>
                <a:ext uri="{FF2B5EF4-FFF2-40B4-BE49-F238E27FC236}">
                  <a16:creationId xmlns:a16="http://schemas.microsoft.com/office/drawing/2014/main" id="{00000000-0008-0000-0400-000009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69</xdr:row>
          <xdr:rowOff>114300</xdr:rowOff>
        </xdr:from>
        <xdr:to>
          <xdr:col>12</xdr:col>
          <xdr:colOff>381000</xdr:colOff>
          <xdr:row>96</xdr:row>
          <xdr:rowOff>63500</xdr:rowOff>
        </xdr:to>
        <xdr:sp macro="" textlink="">
          <xdr:nvSpPr>
            <xdr:cNvPr id="819210" name="Object 10" hidden="1">
              <a:extLst>
                <a:ext uri="{63B3BB69-23CF-44E3-9099-C40C66FF867C}">
                  <a14:compatExt spid="_x0000_s819210"/>
                </a:ext>
                <a:ext uri="{FF2B5EF4-FFF2-40B4-BE49-F238E27FC236}">
                  <a16:creationId xmlns:a16="http://schemas.microsoft.com/office/drawing/2014/main" id="{00000000-0008-0000-0400-00000A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xdr:colOff>
          <xdr:row>9</xdr:row>
          <xdr:rowOff>76200</xdr:rowOff>
        </xdr:from>
        <xdr:to>
          <xdr:col>12</xdr:col>
          <xdr:colOff>444500</xdr:colOff>
          <xdr:row>36</xdr:row>
          <xdr:rowOff>31750</xdr:rowOff>
        </xdr:to>
        <xdr:sp macro="" textlink="">
          <xdr:nvSpPr>
            <xdr:cNvPr id="819211" name="Object 11" hidden="1">
              <a:extLst>
                <a:ext uri="{63B3BB69-23CF-44E3-9099-C40C66FF867C}">
                  <a14:compatExt spid="_x0000_s819211"/>
                </a:ext>
                <a:ext uri="{FF2B5EF4-FFF2-40B4-BE49-F238E27FC236}">
                  <a16:creationId xmlns:a16="http://schemas.microsoft.com/office/drawing/2014/main" id="{00000000-0008-0000-0400-00000B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552450</xdr:colOff>
      <xdr:row>36</xdr:row>
      <xdr:rowOff>95250</xdr:rowOff>
    </xdr:from>
    <xdr:to>
      <xdr:col>21</xdr:col>
      <xdr:colOff>552450</xdr:colOff>
      <xdr:row>68</xdr:row>
      <xdr:rowOff>38100</xdr:rowOff>
    </xdr:to>
    <xdr:grpSp>
      <xdr:nvGrpSpPr>
        <xdr:cNvPr id="2" name="Group 14">
          <a:extLst>
            <a:ext uri="{FF2B5EF4-FFF2-40B4-BE49-F238E27FC236}">
              <a16:creationId xmlns:a16="http://schemas.microsoft.com/office/drawing/2014/main" id="{00000000-0008-0000-0500-000002000000}"/>
            </a:ext>
          </a:extLst>
        </xdr:cNvPr>
        <xdr:cNvGrpSpPr>
          <a:grpSpLocks/>
        </xdr:cNvGrpSpPr>
      </xdr:nvGrpSpPr>
      <xdr:grpSpPr bwMode="auto">
        <a:xfrm>
          <a:off x="13854817" y="6254695"/>
          <a:ext cx="6851373" cy="5147144"/>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08">
        <xdr:nvSpPr>
          <xdr:cNvPr id="4" name="Text Box 5">
            <a:extLst>
              <a:ext uri="{FF2B5EF4-FFF2-40B4-BE49-F238E27FC236}">
                <a16:creationId xmlns:a16="http://schemas.microsoft.com/office/drawing/2014/main" id="{00000000-0008-0000-05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3.9nF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17">
        <xdr:nvSpPr>
          <xdr:cNvPr id="6" name="Text Box 9">
            <a:extLst>
              <a:ext uri="{FF2B5EF4-FFF2-40B4-BE49-F238E27FC236}">
                <a16:creationId xmlns:a16="http://schemas.microsoft.com/office/drawing/2014/main" id="{00000000-0008-0000-05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78.7kΩ</a:t>
            </a:fld>
            <a:endParaRPr lang="el-GR" sz="1000" b="1" i="0" u="none" strike="noStrike" baseline="0">
              <a:solidFill>
                <a:srgbClr val="000000"/>
              </a:solidFill>
              <a:latin typeface="Arial"/>
              <a:cs typeface="Arial"/>
            </a:endParaRPr>
          </a:p>
        </xdr:txBody>
      </xdr:sp>
      <xdr:sp macro="" textlink="$A$418">
        <xdr:nvSpPr>
          <xdr:cNvPr id="7" name="Text Box 10">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792kΩ</a:t>
            </a:fld>
            <a:endParaRPr lang="el-GR" sz="1000" b="1" i="0" u="none" strike="noStrike" baseline="0">
              <a:solidFill>
                <a:srgbClr val="000000"/>
              </a:solidFill>
              <a:latin typeface="Arial"/>
              <a:cs typeface="Arial"/>
            </a:endParaRPr>
          </a:p>
        </xdr:txBody>
      </xdr:sp>
      <xdr:sp macro="" textlink="$A$407">
        <xdr:nvSpPr>
          <xdr:cNvPr id="8" name="Text Box 4">
            <a:extLst>
              <a:ext uri="{FF2B5EF4-FFF2-40B4-BE49-F238E27FC236}">
                <a16:creationId xmlns:a16="http://schemas.microsoft.com/office/drawing/2014/main" id="{00000000-0008-0000-05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5.11kΩ</a:t>
            </a:fld>
            <a:endParaRPr lang="el-GR" sz="1000" b="1" i="0" u="none" strike="noStrike" baseline="0">
              <a:solidFill>
                <a:srgbClr val="000000"/>
              </a:solidFill>
              <a:latin typeface="Arial"/>
              <a:cs typeface="Arial"/>
            </a:endParaRPr>
          </a:p>
        </xdr:txBody>
      </xdr:sp>
      <xdr:sp macro="" textlink="$A$395">
        <xdr:nvSpPr>
          <xdr:cNvPr id="9" name="Text Box 9">
            <a:extLst>
              <a:ext uri="{FF2B5EF4-FFF2-40B4-BE49-F238E27FC236}">
                <a16:creationId xmlns:a16="http://schemas.microsoft.com/office/drawing/2014/main" id="{00000000-0008-0000-05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3.3V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411">
      <xdr:nvSpPr>
        <xdr:cNvPr id="10" name="Text Box 4">
          <a:extLst>
            <a:ext uri="{FF2B5EF4-FFF2-40B4-BE49-F238E27FC236}">
              <a16:creationId xmlns:a16="http://schemas.microsoft.com/office/drawing/2014/main" id="{00000000-0008-0000-05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412">
      <xdr:nvSpPr>
        <xdr:cNvPr id="11" name="Text Box 4">
          <a:extLst>
            <a:ext uri="{FF2B5EF4-FFF2-40B4-BE49-F238E27FC236}">
              <a16:creationId xmlns:a16="http://schemas.microsoft.com/office/drawing/2014/main" id="{00000000-0008-0000-05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413">
      <xdr:nvSpPr>
        <xdr:cNvPr id="12" name="Text Box 4">
          <a:extLst>
            <a:ext uri="{FF2B5EF4-FFF2-40B4-BE49-F238E27FC236}">
              <a16:creationId xmlns:a16="http://schemas.microsoft.com/office/drawing/2014/main" id="{00000000-0008-0000-05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6MHz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15</xdr:col>
      <xdr:colOff>796539</xdr:colOff>
      <xdr:row>3</xdr:row>
      <xdr:rowOff>3049</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368300</xdr:colOff>
          <xdr:row>18</xdr:row>
          <xdr:rowOff>63500</xdr:rowOff>
        </xdr:from>
        <xdr:to>
          <xdr:col>11</xdr:col>
          <xdr:colOff>0</xdr:colOff>
          <xdr:row>19</xdr:row>
          <xdr:rowOff>139700</xdr:rowOff>
        </xdr:to>
        <xdr:sp macro="" textlink="">
          <xdr:nvSpPr>
            <xdr:cNvPr id="702465" name="Drop Down 1" hidden="1">
              <a:extLst>
                <a:ext uri="{63B3BB69-23CF-44E3-9099-C40C66FF867C}">
                  <a14:compatExt spid="_x0000_s702465"/>
                </a:ext>
                <a:ext uri="{FF2B5EF4-FFF2-40B4-BE49-F238E27FC236}">
                  <a16:creationId xmlns:a16="http://schemas.microsoft.com/office/drawing/2014/main" id="{00000000-0008-0000-0500-000001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368300</xdr:colOff>
          <xdr:row>15</xdr:row>
          <xdr:rowOff>139700</xdr:rowOff>
        </xdr:from>
        <xdr:to>
          <xdr:col>20</xdr:col>
          <xdr:colOff>31750</xdr:colOff>
          <xdr:row>17</xdr:row>
          <xdr:rowOff>0</xdr:rowOff>
        </xdr:to>
        <xdr:sp macro="" textlink="">
          <xdr:nvSpPr>
            <xdr:cNvPr id="702468" name="Drop Down 4" hidden="1">
              <a:extLst>
                <a:ext uri="{63B3BB69-23CF-44E3-9099-C40C66FF867C}">
                  <a14:compatExt spid="_x0000_s702468"/>
                </a:ext>
                <a:ext uri="{FF2B5EF4-FFF2-40B4-BE49-F238E27FC236}">
                  <a16:creationId xmlns:a16="http://schemas.microsoft.com/office/drawing/2014/main" id="{00000000-0008-0000-0500-000004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412750</xdr:colOff>
          <xdr:row>31</xdr:row>
          <xdr:rowOff>38100</xdr:rowOff>
        </xdr:from>
        <xdr:to>
          <xdr:col>25</xdr:col>
          <xdr:colOff>69850</xdr:colOff>
          <xdr:row>32</xdr:row>
          <xdr:rowOff>177800</xdr:rowOff>
        </xdr:to>
        <xdr:sp macro="" textlink="">
          <xdr:nvSpPr>
            <xdr:cNvPr id="702470" name="Drop Down 6" hidden="1">
              <a:extLst>
                <a:ext uri="{63B3BB69-23CF-44E3-9099-C40C66FF867C}">
                  <a14:compatExt spid="_x0000_s702470"/>
                </a:ext>
                <a:ext uri="{FF2B5EF4-FFF2-40B4-BE49-F238E27FC236}">
                  <a16:creationId xmlns:a16="http://schemas.microsoft.com/office/drawing/2014/main" id="{00000000-0008-0000-0500-000006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51</xdr:row>
          <xdr:rowOff>38100</xdr:rowOff>
        </xdr:from>
        <xdr:to>
          <xdr:col>10</xdr:col>
          <xdr:colOff>527050</xdr:colOff>
          <xdr:row>52</xdr:row>
          <xdr:rowOff>114300</xdr:rowOff>
        </xdr:to>
        <xdr:sp macro="" textlink="">
          <xdr:nvSpPr>
            <xdr:cNvPr id="702471" name="Drop Down 7" hidden="1">
              <a:extLst>
                <a:ext uri="{63B3BB69-23CF-44E3-9099-C40C66FF867C}">
                  <a14:compatExt spid="_x0000_s702471"/>
                </a:ext>
                <a:ext uri="{FF2B5EF4-FFF2-40B4-BE49-F238E27FC236}">
                  <a16:creationId xmlns:a16="http://schemas.microsoft.com/office/drawing/2014/main" id="{00000000-0008-0000-0500-000007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xdr:col>
      <xdr:colOff>1859410</xdr:colOff>
      <xdr:row>7</xdr:row>
      <xdr:rowOff>1222954</xdr:rowOff>
    </xdr:from>
    <xdr:to>
      <xdr:col>1</xdr:col>
      <xdr:colOff>2204210</xdr:colOff>
      <xdr:row>7</xdr:row>
      <xdr:rowOff>1483106</xdr:rowOff>
    </xdr:to>
    <xdr:sp macro="" textlink="">
      <xdr:nvSpPr>
        <xdr:cNvPr id="21" name="Text Box 225">
          <a:extLst>
            <a:ext uri="{FF2B5EF4-FFF2-40B4-BE49-F238E27FC236}">
              <a16:creationId xmlns:a16="http://schemas.microsoft.com/office/drawing/2014/main" id="{00000000-0008-0000-0600-000015000000}"/>
            </a:ext>
          </a:extLst>
        </xdr:cNvPr>
        <xdr:cNvSpPr txBox="1">
          <a:spLocks noChangeArrowheads="1"/>
        </xdr:cNvSpPr>
      </xdr:nvSpPr>
      <xdr:spPr bwMode="auto">
        <a:xfrm>
          <a:off x="2563171" y="6492006"/>
          <a:ext cx="344800"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1375139</xdr:colOff>
      <xdr:row>7</xdr:row>
      <xdr:rowOff>913217</xdr:rowOff>
    </xdr:from>
    <xdr:to>
      <xdr:col>1</xdr:col>
      <xdr:colOff>1780062</xdr:colOff>
      <xdr:row>7</xdr:row>
      <xdr:rowOff>1110284</xdr:rowOff>
    </xdr:to>
    <xdr:sp macro="" textlink="">
      <xdr:nvSpPr>
        <xdr:cNvPr id="22" name="Text Box 255">
          <a:extLst>
            <a:ext uri="{FF2B5EF4-FFF2-40B4-BE49-F238E27FC236}">
              <a16:creationId xmlns:a16="http://schemas.microsoft.com/office/drawing/2014/main" id="{00000000-0008-0000-0600-000016000000}"/>
            </a:ext>
          </a:extLst>
        </xdr:cNvPr>
        <xdr:cNvSpPr txBox="1">
          <a:spLocks noChangeArrowheads="1"/>
        </xdr:cNvSpPr>
      </xdr:nvSpPr>
      <xdr:spPr bwMode="auto">
        <a:xfrm>
          <a:off x="2084615" y="618036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1364525</xdr:colOff>
      <xdr:row>7</xdr:row>
      <xdr:rowOff>2736721</xdr:rowOff>
    </xdr:from>
    <xdr:to>
      <xdr:col>1</xdr:col>
      <xdr:colOff>1748519</xdr:colOff>
      <xdr:row>7</xdr:row>
      <xdr:rowOff>2933788</xdr:rowOff>
    </xdr:to>
    <xdr:sp macro="" textlink="">
      <xdr:nvSpPr>
        <xdr:cNvPr id="23" name="Text Box 255">
          <a:extLst>
            <a:ext uri="{FF2B5EF4-FFF2-40B4-BE49-F238E27FC236}">
              <a16:creationId xmlns:a16="http://schemas.microsoft.com/office/drawing/2014/main" id="{00000000-0008-0000-0600-000017000000}"/>
            </a:ext>
          </a:extLst>
        </xdr:cNvPr>
        <xdr:cNvSpPr txBox="1">
          <a:spLocks noChangeArrowheads="1"/>
        </xdr:cNvSpPr>
      </xdr:nvSpPr>
      <xdr:spPr bwMode="auto">
        <a:xfrm>
          <a:off x="2068286" y="8000058"/>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1108229</xdr:colOff>
      <xdr:row>7</xdr:row>
      <xdr:rowOff>219733</xdr:rowOff>
    </xdr:from>
    <xdr:to>
      <xdr:col>1</xdr:col>
      <xdr:colOff>1513152</xdr:colOff>
      <xdr:row>7</xdr:row>
      <xdr:rowOff>414895</xdr:rowOff>
    </xdr:to>
    <xdr:sp macro="" textlink="">
      <xdr:nvSpPr>
        <xdr:cNvPr id="31" name="Text Box 255">
          <a:extLst>
            <a:ext uri="{FF2B5EF4-FFF2-40B4-BE49-F238E27FC236}">
              <a16:creationId xmlns:a16="http://schemas.microsoft.com/office/drawing/2014/main" id="{00000000-0008-0000-0600-00001F000000}"/>
            </a:ext>
          </a:extLst>
        </xdr:cNvPr>
        <xdr:cNvSpPr txBox="1">
          <a:spLocks noChangeArrowheads="1"/>
        </xdr:cNvSpPr>
      </xdr:nvSpPr>
      <xdr:spPr bwMode="auto">
        <a:xfrm>
          <a:off x="1813519" y="547697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1093868</xdr:colOff>
      <xdr:row>7</xdr:row>
      <xdr:rowOff>606156</xdr:rowOff>
    </xdr:from>
    <xdr:to>
      <xdr:col>1</xdr:col>
      <xdr:colOff>1485456</xdr:colOff>
      <xdr:row>7</xdr:row>
      <xdr:rowOff>803223</xdr:rowOff>
    </xdr:to>
    <xdr:sp macro="" textlink="">
      <xdr:nvSpPr>
        <xdr:cNvPr id="32" name="Text Box 255">
          <a:extLst>
            <a:ext uri="{FF2B5EF4-FFF2-40B4-BE49-F238E27FC236}">
              <a16:creationId xmlns:a16="http://schemas.microsoft.com/office/drawing/2014/main" id="{00000000-0008-0000-0600-000020000000}"/>
            </a:ext>
          </a:extLst>
        </xdr:cNvPr>
        <xdr:cNvSpPr txBox="1">
          <a:spLocks noChangeArrowheads="1"/>
        </xdr:cNvSpPr>
      </xdr:nvSpPr>
      <xdr:spPr bwMode="auto">
        <a:xfrm>
          <a:off x="1791538" y="586530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453056</xdr:colOff>
      <xdr:row>7</xdr:row>
      <xdr:rowOff>223689</xdr:rowOff>
    </xdr:from>
    <xdr:to>
      <xdr:col>1</xdr:col>
      <xdr:colOff>842739</xdr:colOff>
      <xdr:row>7</xdr:row>
      <xdr:rowOff>420756</xdr:rowOff>
    </xdr:to>
    <xdr:sp macro="" textlink="">
      <xdr:nvSpPr>
        <xdr:cNvPr id="33" name="Text Box 255">
          <a:extLst>
            <a:ext uri="{FF2B5EF4-FFF2-40B4-BE49-F238E27FC236}">
              <a16:creationId xmlns:a16="http://schemas.microsoft.com/office/drawing/2014/main" id="{00000000-0008-0000-0600-000021000000}"/>
            </a:ext>
          </a:extLst>
        </xdr:cNvPr>
        <xdr:cNvSpPr txBox="1">
          <a:spLocks noChangeArrowheads="1"/>
        </xdr:cNvSpPr>
      </xdr:nvSpPr>
      <xdr:spPr bwMode="auto">
        <a:xfrm>
          <a:off x="1152631" y="548284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450752</xdr:colOff>
      <xdr:row>7</xdr:row>
      <xdr:rowOff>602388</xdr:rowOff>
    </xdr:from>
    <xdr:to>
      <xdr:col>1</xdr:col>
      <xdr:colOff>842340</xdr:colOff>
      <xdr:row>7</xdr:row>
      <xdr:rowOff>799455</xdr:rowOff>
    </xdr:to>
    <xdr:sp macro="" textlink="">
      <xdr:nvSpPr>
        <xdr:cNvPr id="34" name="Text Box 255">
          <a:extLst>
            <a:ext uri="{FF2B5EF4-FFF2-40B4-BE49-F238E27FC236}">
              <a16:creationId xmlns:a16="http://schemas.microsoft.com/office/drawing/2014/main" id="{00000000-0008-0000-0600-000022000000}"/>
            </a:ext>
          </a:extLst>
        </xdr:cNvPr>
        <xdr:cNvSpPr txBox="1">
          <a:spLocks noChangeArrowheads="1"/>
        </xdr:cNvSpPr>
      </xdr:nvSpPr>
      <xdr:spPr bwMode="auto">
        <a:xfrm>
          <a:off x="1150327" y="586153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428477</xdr:colOff>
      <xdr:row>7</xdr:row>
      <xdr:rowOff>1089775</xdr:rowOff>
    </xdr:from>
    <xdr:to>
      <xdr:col>1</xdr:col>
      <xdr:colOff>833400</xdr:colOff>
      <xdr:row>7</xdr:row>
      <xdr:rowOff>1286842</xdr:rowOff>
    </xdr:to>
    <xdr:sp macro="" textlink="">
      <xdr:nvSpPr>
        <xdr:cNvPr id="35" name="Text Box 255">
          <a:extLst>
            <a:ext uri="{FF2B5EF4-FFF2-40B4-BE49-F238E27FC236}">
              <a16:creationId xmlns:a16="http://schemas.microsoft.com/office/drawing/2014/main" id="{00000000-0008-0000-0600-000023000000}"/>
            </a:ext>
          </a:extLst>
        </xdr:cNvPr>
        <xdr:cNvSpPr txBox="1">
          <a:spLocks noChangeArrowheads="1"/>
        </xdr:cNvSpPr>
      </xdr:nvSpPr>
      <xdr:spPr bwMode="auto">
        <a:xfrm>
          <a:off x="113567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719942</xdr:colOff>
      <xdr:row>7</xdr:row>
      <xdr:rowOff>1089775</xdr:rowOff>
    </xdr:from>
    <xdr:to>
      <xdr:col>1</xdr:col>
      <xdr:colOff>1111530</xdr:colOff>
      <xdr:row>7</xdr:row>
      <xdr:rowOff>1286842</xdr:rowOff>
    </xdr:to>
    <xdr:sp macro="" textlink="">
      <xdr:nvSpPr>
        <xdr:cNvPr id="36" name="Text Box 255">
          <a:extLst>
            <a:ext uri="{FF2B5EF4-FFF2-40B4-BE49-F238E27FC236}">
              <a16:creationId xmlns:a16="http://schemas.microsoft.com/office/drawing/2014/main" id="{00000000-0008-0000-0600-000024000000}"/>
            </a:ext>
          </a:extLst>
        </xdr:cNvPr>
        <xdr:cNvSpPr txBox="1">
          <a:spLocks noChangeArrowheads="1"/>
        </xdr:cNvSpPr>
      </xdr:nvSpPr>
      <xdr:spPr bwMode="auto">
        <a:xfrm>
          <a:off x="142142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599195</xdr:colOff>
      <xdr:row>7</xdr:row>
      <xdr:rowOff>1551370</xdr:rowOff>
    </xdr:from>
    <xdr:to>
      <xdr:col>1</xdr:col>
      <xdr:colOff>990783</xdr:colOff>
      <xdr:row>7</xdr:row>
      <xdr:rowOff>1748437</xdr:rowOff>
    </xdr:to>
    <xdr:sp macro="" textlink="">
      <xdr:nvSpPr>
        <xdr:cNvPr id="37" name="Text Box 255">
          <a:extLst>
            <a:ext uri="{FF2B5EF4-FFF2-40B4-BE49-F238E27FC236}">
              <a16:creationId xmlns:a16="http://schemas.microsoft.com/office/drawing/2014/main" id="{00000000-0008-0000-0600-000025000000}"/>
            </a:ext>
          </a:extLst>
        </xdr:cNvPr>
        <xdr:cNvSpPr txBox="1">
          <a:spLocks noChangeArrowheads="1"/>
        </xdr:cNvSpPr>
      </xdr:nvSpPr>
      <xdr:spPr bwMode="auto">
        <a:xfrm>
          <a:off x="1296865" y="680671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2518995</xdr:colOff>
      <xdr:row>7</xdr:row>
      <xdr:rowOff>3158017</xdr:rowOff>
    </xdr:from>
    <xdr:to>
      <xdr:col>1</xdr:col>
      <xdr:colOff>2922013</xdr:colOff>
      <xdr:row>7</xdr:row>
      <xdr:rowOff>3355084</xdr:rowOff>
    </xdr:to>
    <xdr:sp macro="" textlink="">
      <xdr:nvSpPr>
        <xdr:cNvPr id="38" name="Text Box 255">
          <a:extLst>
            <a:ext uri="{FF2B5EF4-FFF2-40B4-BE49-F238E27FC236}">
              <a16:creationId xmlns:a16="http://schemas.microsoft.com/office/drawing/2014/main" id="{00000000-0008-0000-0600-000026000000}"/>
            </a:ext>
          </a:extLst>
        </xdr:cNvPr>
        <xdr:cNvSpPr txBox="1">
          <a:spLocks noChangeArrowheads="1"/>
        </xdr:cNvSpPr>
      </xdr:nvSpPr>
      <xdr:spPr bwMode="auto">
        <a:xfrm>
          <a:off x="3222380" y="841716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1854004</xdr:colOff>
      <xdr:row>7</xdr:row>
      <xdr:rowOff>2891905</xdr:rowOff>
    </xdr:from>
    <xdr:to>
      <xdr:col>1</xdr:col>
      <xdr:colOff>2243687</xdr:colOff>
      <xdr:row>7</xdr:row>
      <xdr:rowOff>3088972</xdr:rowOff>
    </xdr:to>
    <xdr:sp macro="" textlink="">
      <xdr:nvSpPr>
        <xdr:cNvPr id="39" name="Text Box 255">
          <a:extLst>
            <a:ext uri="{FF2B5EF4-FFF2-40B4-BE49-F238E27FC236}">
              <a16:creationId xmlns:a16="http://schemas.microsoft.com/office/drawing/2014/main" id="{00000000-0008-0000-0600-000027000000}"/>
            </a:ext>
          </a:extLst>
        </xdr:cNvPr>
        <xdr:cNvSpPr txBox="1">
          <a:spLocks noChangeArrowheads="1"/>
        </xdr:cNvSpPr>
      </xdr:nvSpPr>
      <xdr:spPr bwMode="auto">
        <a:xfrm>
          <a:off x="2549769" y="81548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1570956</xdr:colOff>
      <xdr:row>7</xdr:row>
      <xdr:rowOff>569269</xdr:rowOff>
    </xdr:from>
    <xdr:to>
      <xdr:col>1</xdr:col>
      <xdr:colOff>1975879</xdr:colOff>
      <xdr:row>7</xdr:row>
      <xdr:rowOff>766336</xdr:rowOff>
    </xdr:to>
    <xdr:sp macro="" textlink="">
      <xdr:nvSpPr>
        <xdr:cNvPr id="43" name="Text Box 255">
          <a:extLst>
            <a:ext uri="{FF2B5EF4-FFF2-40B4-BE49-F238E27FC236}">
              <a16:creationId xmlns:a16="http://schemas.microsoft.com/office/drawing/2014/main" id="{00000000-0008-0000-0600-00002B000000}"/>
            </a:ext>
          </a:extLst>
        </xdr:cNvPr>
        <xdr:cNvSpPr txBox="1">
          <a:spLocks noChangeArrowheads="1"/>
        </xdr:cNvSpPr>
      </xdr:nvSpPr>
      <xdr:spPr bwMode="auto">
        <a:xfrm>
          <a:off x="2282337" y="58364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1566057</xdr:colOff>
      <xdr:row>7</xdr:row>
      <xdr:rowOff>235747</xdr:rowOff>
    </xdr:from>
    <xdr:to>
      <xdr:col>1</xdr:col>
      <xdr:colOff>1970980</xdr:colOff>
      <xdr:row>7</xdr:row>
      <xdr:rowOff>446149</xdr:rowOff>
    </xdr:to>
    <xdr:sp macro="" textlink="">
      <xdr:nvSpPr>
        <xdr:cNvPr id="44" name="Text Box 255">
          <a:extLst>
            <a:ext uri="{FF2B5EF4-FFF2-40B4-BE49-F238E27FC236}">
              <a16:creationId xmlns:a16="http://schemas.microsoft.com/office/drawing/2014/main" id="{00000000-0008-0000-0600-00002C000000}"/>
            </a:ext>
          </a:extLst>
        </xdr:cNvPr>
        <xdr:cNvSpPr txBox="1">
          <a:spLocks noChangeArrowheads="1"/>
        </xdr:cNvSpPr>
      </xdr:nvSpPr>
      <xdr:spPr bwMode="auto">
        <a:xfrm>
          <a:off x="2271347" y="550251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2179614</xdr:colOff>
      <xdr:row>7</xdr:row>
      <xdr:rowOff>567320</xdr:rowOff>
    </xdr:from>
    <xdr:to>
      <xdr:col>1</xdr:col>
      <xdr:colOff>2584537</xdr:colOff>
      <xdr:row>7</xdr:row>
      <xdr:rowOff>764387</xdr:rowOff>
    </xdr:to>
    <xdr:sp macro="" textlink="">
      <xdr:nvSpPr>
        <xdr:cNvPr id="45" name="Text Box 255">
          <a:extLst>
            <a:ext uri="{FF2B5EF4-FFF2-40B4-BE49-F238E27FC236}">
              <a16:creationId xmlns:a16="http://schemas.microsoft.com/office/drawing/2014/main" id="{00000000-0008-0000-0600-00002D000000}"/>
            </a:ext>
          </a:extLst>
        </xdr:cNvPr>
        <xdr:cNvSpPr txBox="1">
          <a:spLocks noChangeArrowheads="1"/>
        </xdr:cNvSpPr>
      </xdr:nvSpPr>
      <xdr:spPr bwMode="auto">
        <a:xfrm>
          <a:off x="2890995" y="583065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2176097</xdr:colOff>
      <xdr:row>7</xdr:row>
      <xdr:rowOff>310062</xdr:rowOff>
    </xdr:from>
    <xdr:to>
      <xdr:col>1</xdr:col>
      <xdr:colOff>2579115</xdr:colOff>
      <xdr:row>7</xdr:row>
      <xdr:rowOff>522369</xdr:rowOff>
    </xdr:to>
    <xdr:sp macro="" textlink="">
      <xdr:nvSpPr>
        <xdr:cNvPr id="46" name="Text Box 255">
          <a:extLst>
            <a:ext uri="{FF2B5EF4-FFF2-40B4-BE49-F238E27FC236}">
              <a16:creationId xmlns:a16="http://schemas.microsoft.com/office/drawing/2014/main" id="{00000000-0008-0000-0600-00002E000000}"/>
            </a:ext>
          </a:extLst>
        </xdr:cNvPr>
        <xdr:cNvSpPr txBox="1">
          <a:spLocks noChangeArrowheads="1"/>
        </xdr:cNvSpPr>
      </xdr:nvSpPr>
      <xdr:spPr bwMode="auto">
        <a:xfrm>
          <a:off x="2883668" y="558101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1129995</xdr:colOff>
      <xdr:row>11</xdr:row>
      <xdr:rowOff>190468</xdr:rowOff>
    </xdr:from>
    <xdr:to>
      <xdr:col>1</xdr:col>
      <xdr:colOff>1519678</xdr:colOff>
      <xdr:row>11</xdr:row>
      <xdr:rowOff>387535</xdr:rowOff>
    </xdr:to>
    <xdr:sp macro="" textlink="">
      <xdr:nvSpPr>
        <xdr:cNvPr id="40" name="Text Box 255">
          <a:extLst>
            <a:ext uri="{FF2B5EF4-FFF2-40B4-BE49-F238E27FC236}">
              <a16:creationId xmlns:a16="http://schemas.microsoft.com/office/drawing/2014/main" id="{00000000-0008-0000-0600-000028000000}"/>
            </a:ext>
          </a:extLst>
        </xdr:cNvPr>
        <xdr:cNvSpPr txBox="1">
          <a:spLocks noChangeArrowheads="1"/>
        </xdr:cNvSpPr>
      </xdr:nvSpPr>
      <xdr:spPr bwMode="auto">
        <a:xfrm>
          <a:off x="1829946" y="136899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1100394</xdr:colOff>
      <xdr:row>11</xdr:row>
      <xdr:rowOff>574986</xdr:rowOff>
    </xdr:from>
    <xdr:to>
      <xdr:col>1</xdr:col>
      <xdr:colOff>1493887</xdr:colOff>
      <xdr:row>11</xdr:row>
      <xdr:rowOff>787293</xdr:rowOff>
    </xdr:to>
    <xdr:sp macro="" textlink="">
      <xdr:nvSpPr>
        <xdr:cNvPr id="41" name="Text Box 255">
          <a:extLst>
            <a:ext uri="{FF2B5EF4-FFF2-40B4-BE49-F238E27FC236}">
              <a16:creationId xmlns:a16="http://schemas.microsoft.com/office/drawing/2014/main" id="{00000000-0008-0000-0600-000029000000}"/>
            </a:ext>
          </a:extLst>
        </xdr:cNvPr>
        <xdr:cNvSpPr txBox="1">
          <a:spLocks noChangeArrowheads="1"/>
        </xdr:cNvSpPr>
      </xdr:nvSpPr>
      <xdr:spPr bwMode="auto">
        <a:xfrm>
          <a:off x="1807965" y="140782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461487</xdr:colOff>
      <xdr:row>11</xdr:row>
      <xdr:rowOff>194424</xdr:rowOff>
    </xdr:from>
    <xdr:to>
      <xdr:col>1</xdr:col>
      <xdr:colOff>864505</xdr:colOff>
      <xdr:row>11</xdr:row>
      <xdr:rowOff>404826</xdr:rowOff>
    </xdr:to>
    <xdr:sp macro="" textlink="">
      <xdr:nvSpPr>
        <xdr:cNvPr id="42" name="Text Box 255">
          <a:extLst>
            <a:ext uri="{FF2B5EF4-FFF2-40B4-BE49-F238E27FC236}">
              <a16:creationId xmlns:a16="http://schemas.microsoft.com/office/drawing/2014/main" id="{00000000-0008-0000-0600-00002A000000}"/>
            </a:ext>
          </a:extLst>
        </xdr:cNvPr>
        <xdr:cNvSpPr txBox="1">
          <a:spLocks noChangeArrowheads="1"/>
        </xdr:cNvSpPr>
      </xdr:nvSpPr>
      <xdr:spPr bwMode="auto">
        <a:xfrm>
          <a:off x="1169058" y="136957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459183</xdr:colOff>
      <xdr:row>11</xdr:row>
      <xdr:rowOff>575028</xdr:rowOff>
    </xdr:from>
    <xdr:to>
      <xdr:col>1</xdr:col>
      <xdr:colOff>864106</xdr:colOff>
      <xdr:row>11</xdr:row>
      <xdr:rowOff>772095</xdr:rowOff>
    </xdr:to>
    <xdr:sp macro="" textlink="">
      <xdr:nvSpPr>
        <xdr:cNvPr id="47" name="Text Box 255">
          <a:extLst>
            <a:ext uri="{FF2B5EF4-FFF2-40B4-BE49-F238E27FC236}">
              <a16:creationId xmlns:a16="http://schemas.microsoft.com/office/drawing/2014/main" id="{00000000-0008-0000-0600-00002F000000}"/>
            </a:ext>
          </a:extLst>
        </xdr:cNvPr>
        <xdr:cNvSpPr txBox="1">
          <a:spLocks noChangeArrowheads="1"/>
        </xdr:cNvSpPr>
      </xdr:nvSpPr>
      <xdr:spPr bwMode="auto">
        <a:xfrm>
          <a:off x="1166754" y="1407449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448338</xdr:colOff>
      <xdr:row>11</xdr:row>
      <xdr:rowOff>1062415</xdr:rowOff>
    </xdr:from>
    <xdr:to>
      <xdr:col>1</xdr:col>
      <xdr:colOff>841831</xdr:colOff>
      <xdr:row>11</xdr:row>
      <xdr:rowOff>1259482</xdr:rowOff>
    </xdr:to>
    <xdr:sp macro="" textlink="">
      <xdr:nvSpPr>
        <xdr:cNvPr id="48" name="Text Box 255">
          <a:extLst>
            <a:ext uri="{FF2B5EF4-FFF2-40B4-BE49-F238E27FC236}">
              <a16:creationId xmlns:a16="http://schemas.microsoft.com/office/drawing/2014/main" id="{00000000-0008-0000-0600-000030000000}"/>
            </a:ext>
          </a:extLst>
        </xdr:cNvPr>
        <xdr:cNvSpPr txBox="1">
          <a:spLocks noChangeArrowheads="1"/>
        </xdr:cNvSpPr>
      </xdr:nvSpPr>
      <xdr:spPr bwMode="auto">
        <a:xfrm>
          <a:off x="115209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728373</xdr:colOff>
      <xdr:row>11</xdr:row>
      <xdr:rowOff>1062415</xdr:rowOff>
    </xdr:from>
    <xdr:to>
      <xdr:col>1</xdr:col>
      <xdr:colOff>1133296</xdr:colOff>
      <xdr:row>11</xdr:row>
      <xdr:rowOff>1259482</xdr:rowOff>
    </xdr:to>
    <xdr:sp macro="" textlink="">
      <xdr:nvSpPr>
        <xdr:cNvPr id="49" name="Text Box 255">
          <a:extLst>
            <a:ext uri="{FF2B5EF4-FFF2-40B4-BE49-F238E27FC236}">
              <a16:creationId xmlns:a16="http://schemas.microsoft.com/office/drawing/2014/main" id="{00000000-0008-0000-0600-000031000000}"/>
            </a:ext>
          </a:extLst>
        </xdr:cNvPr>
        <xdr:cNvSpPr txBox="1">
          <a:spLocks noChangeArrowheads="1"/>
        </xdr:cNvSpPr>
      </xdr:nvSpPr>
      <xdr:spPr bwMode="auto">
        <a:xfrm>
          <a:off x="143784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605721</xdr:colOff>
      <xdr:row>11</xdr:row>
      <xdr:rowOff>1520200</xdr:rowOff>
    </xdr:from>
    <xdr:to>
      <xdr:col>1</xdr:col>
      <xdr:colOff>999214</xdr:colOff>
      <xdr:row>11</xdr:row>
      <xdr:rowOff>1719172</xdr:rowOff>
    </xdr:to>
    <xdr:sp macro="" textlink="">
      <xdr:nvSpPr>
        <xdr:cNvPr id="50" name="Text Box 255">
          <a:extLst>
            <a:ext uri="{FF2B5EF4-FFF2-40B4-BE49-F238E27FC236}">
              <a16:creationId xmlns:a16="http://schemas.microsoft.com/office/drawing/2014/main" id="{00000000-0008-0000-0600-000032000000}"/>
            </a:ext>
          </a:extLst>
        </xdr:cNvPr>
        <xdr:cNvSpPr txBox="1">
          <a:spLocks noChangeArrowheads="1"/>
        </xdr:cNvSpPr>
      </xdr:nvSpPr>
      <xdr:spPr bwMode="auto">
        <a:xfrm>
          <a:off x="1313292" y="1501966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2538856</xdr:colOff>
      <xdr:row>11</xdr:row>
      <xdr:rowOff>3128752</xdr:rowOff>
    </xdr:from>
    <xdr:to>
      <xdr:col>1</xdr:col>
      <xdr:colOff>2930444</xdr:colOff>
      <xdr:row>11</xdr:row>
      <xdr:rowOff>3339154</xdr:rowOff>
    </xdr:to>
    <xdr:sp macro="" textlink="">
      <xdr:nvSpPr>
        <xdr:cNvPr id="51" name="Text Box 255">
          <a:extLst>
            <a:ext uri="{FF2B5EF4-FFF2-40B4-BE49-F238E27FC236}">
              <a16:creationId xmlns:a16="http://schemas.microsoft.com/office/drawing/2014/main" id="{00000000-0008-0000-0600-000033000000}"/>
            </a:ext>
          </a:extLst>
        </xdr:cNvPr>
        <xdr:cNvSpPr txBox="1">
          <a:spLocks noChangeArrowheads="1"/>
        </xdr:cNvSpPr>
      </xdr:nvSpPr>
      <xdr:spPr bwMode="auto">
        <a:xfrm>
          <a:off x="3238807" y="1663012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1862435</xdr:colOff>
      <xdr:row>11</xdr:row>
      <xdr:rowOff>2864545</xdr:rowOff>
    </xdr:from>
    <xdr:to>
      <xdr:col>1</xdr:col>
      <xdr:colOff>2252118</xdr:colOff>
      <xdr:row>11</xdr:row>
      <xdr:rowOff>3074947</xdr:rowOff>
    </xdr:to>
    <xdr:sp macro="" textlink="">
      <xdr:nvSpPr>
        <xdr:cNvPr id="52" name="Text Box 255">
          <a:extLst>
            <a:ext uri="{FF2B5EF4-FFF2-40B4-BE49-F238E27FC236}">
              <a16:creationId xmlns:a16="http://schemas.microsoft.com/office/drawing/2014/main" id="{00000000-0008-0000-0600-000034000000}"/>
            </a:ext>
          </a:extLst>
        </xdr:cNvPr>
        <xdr:cNvSpPr txBox="1">
          <a:spLocks noChangeArrowheads="1"/>
        </xdr:cNvSpPr>
      </xdr:nvSpPr>
      <xdr:spPr bwMode="auto">
        <a:xfrm>
          <a:off x="2566196" y="1636782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1566595</xdr:colOff>
      <xdr:row>11</xdr:row>
      <xdr:rowOff>541909</xdr:rowOff>
    </xdr:from>
    <xdr:to>
      <xdr:col>1</xdr:col>
      <xdr:colOff>1969613</xdr:colOff>
      <xdr:row>11</xdr:row>
      <xdr:rowOff>752311</xdr:rowOff>
    </xdr:to>
    <xdr:sp macro="" textlink="">
      <xdr:nvSpPr>
        <xdr:cNvPr id="53" name="Text Box 255">
          <a:extLst>
            <a:ext uri="{FF2B5EF4-FFF2-40B4-BE49-F238E27FC236}">
              <a16:creationId xmlns:a16="http://schemas.microsoft.com/office/drawing/2014/main" id="{00000000-0008-0000-0600-000035000000}"/>
            </a:ext>
          </a:extLst>
        </xdr:cNvPr>
        <xdr:cNvSpPr txBox="1">
          <a:spLocks noChangeArrowheads="1"/>
        </xdr:cNvSpPr>
      </xdr:nvSpPr>
      <xdr:spPr bwMode="auto">
        <a:xfrm>
          <a:off x="2274166" y="1404518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1587823</xdr:colOff>
      <xdr:row>11</xdr:row>
      <xdr:rowOff>219817</xdr:rowOff>
    </xdr:from>
    <xdr:to>
      <xdr:col>1</xdr:col>
      <xdr:colOff>1977506</xdr:colOff>
      <xdr:row>11</xdr:row>
      <xdr:rowOff>416884</xdr:rowOff>
    </xdr:to>
    <xdr:sp macro="" textlink="">
      <xdr:nvSpPr>
        <xdr:cNvPr id="54" name="Text Box 255">
          <a:extLst>
            <a:ext uri="{FF2B5EF4-FFF2-40B4-BE49-F238E27FC236}">
              <a16:creationId xmlns:a16="http://schemas.microsoft.com/office/drawing/2014/main" id="{00000000-0008-0000-0600-000036000000}"/>
            </a:ext>
          </a:extLst>
        </xdr:cNvPr>
        <xdr:cNvSpPr txBox="1">
          <a:spLocks noChangeArrowheads="1"/>
        </xdr:cNvSpPr>
      </xdr:nvSpPr>
      <xdr:spPr bwMode="auto">
        <a:xfrm>
          <a:off x="2287774" y="137154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2175253</xdr:colOff>
      <xdr:row>11</xdr:row>
      <xdr:rowOff>559283</xdr:rowOff>
    </xdr:from>
    <xdr:to>
      <xdr:col>1</xdr:col>
      <xdr:colOff>2580176</xdr:colOff>
      <xdr:row>11</xdr:row>
      <xdr:rowOff>758255</xdr:rowOff>
    </xdr:to>
    <xdr:sp macro="" textlink="">
      <xdr:nvSpPr>
        <xdr:cNvPr id="55" name="Text Box 255">
          <a:extLst>
            <a:ext uri="{FF2B5EF4-FFF2-40B4-BE49-F238E27FC236}">
              <a16:creationId xmlns:a16="http://schemas.microsoft.com/office/drawing/2014/main" id="{00000000-0008-0000-0600-000037000000}"/>
            </a:ext>
          </a:extLst>
        </xdr:cNvPr>
        <xdr:cNvSpPr txBox="1">
          <a:spLocks noChangeArrowheads="1"/>
        </xdr:cNvSpPr>
      </xdr:nvSpPr>
      <xdr:spPr bwMode="auto">
        <a:xfrm>
          <a:off x="2882824" y="140530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2174730</xdr:colOff>
      <xdr:row>11</xdr:row>
      <xdr:rowOff>272904</xdr:rowOff>
    </xdr:from>
    <xdr:to>
      <xdr:col>1</xdr:col>
      <xdr:colOff>2579653</xdr:colOff>
      <xdr:row>11</xdr:row>
      <xdr:rowOff>483306</xdr:rowOff>
    </xdr:to>
    <xdr:sp macro="" textlink="">
      <xdr:nvSpPr>
        <xdr:cNvPr id="56" name="Text Box 255">
          <a:extLst>
            <a:ext uri="{FF2B5EF4-FFF2-40B4-BE49-F238E27FC236}">
              <a16:creationId xmlns:a16="http://schemas.microsoft.com/office/drawing/2014/main" id="{00000000-0008-0000-0600-000038000000}"/>
            </a:ext>
          </a:extLst>
        </xdr:cNvPr>
        <xdr:cNvSpPr txBox="1">
          <a:spLocks noChangeArrowheads="1"/>
        </xdr:cNvSpPr>
      </xdr:nvSpPr>
      <xdr:spPr bwMode="auto">
        <a:xfrm>
          <a:off x="2882301" y="1377618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1096312</xdr:colOff>
      <xdr:row>16</xdr:row>
      <xdr:rowOff>252302</xdr:rowOff>
    </xdr:from>
    <xdr:to>
      <xdr:col>1</xdr:col>
      <xdr:colOff>1487900</xdr:colOff>
      <xdr:row>16</xdr:row>
      <xdr:rowOff>449369</xdr:rowOff>
    </xdr:to>
    <xdr:sp macro="" textlink="">
      <xdr:nvSpPr>
        <xdr:cNvPr id="83" name="Text Box 255">
          <a:extLst>
            <a:ext uri="{FF2B5EF4-FFF2-40B4-BE49-F238E27FC236}">
              <a16:creationId xmlns:a16="http://schemas.microsoft.com/office/drawing/2014/main" id="{00000000-0008-0000-0600-000053000000}"/>
            </a:ext>
          </a:extLst>
        </xdr:cNvPr>
        <xdr:cNvSpPr txBox="1">
          <a:spLocks noChangeArrowheads="1"/>
        </xdr:cNvSpPr>
      </xdr:nvSpPr>
      <xdr:spPr bwMode="auto">
        <a:xfrm>
          <a:off x="1797035" y="221138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1068616</xdr:colOff>
      <xdr:row>16</xdr:row>
      <xdr:rowOff>638725</xdr:rowOff>
    </xdr:from>
    <xdr:to>
      <xdr:col>1</xdr:col>
      <xdr:colOff>1473539</xdr:colOff>
      <xdr:row>16</xdr:row>
      <xdr:rowOff>833887</xdr:rowOff>
    </xdr:to>
    <xdr:sp macro="" textlink="">
      <xdr:nvSpPr>
        <xdr:cNvPr id="84" name="Text Box 255">
          <a:extLst>
            <a:ext uri="{FF2B5EF4-FFF2-40B4-BE49-F238E27FC236}">
              <a16:creationId xmlns:a16="http://schemas.microsoft.com/office/drawing/2014/main" id="{00000000-0008-0000-0600-000054000000}"/>
            </a:ext>
          </a:extLst>
        </xdr:cNvPr>
        <xdr:cNvSpPr txBox="1">
          <a:spLocks noChangeArrowheads="1"/>
        </xdr:cNvSpPr>
      </xdr:nvSpPr>
      <xdr:spPr bwMode="auto">
        <a:xfrm>
          <a:off x="1775054" y="2250220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425899</xdr:colOff>
      <xdr:row>16</xdr:row>
      <xdr:rowOff>256258</xdr:rowOff>
    </xdr:from>
    <xdr:to>
      <xdr:col>1</xdr:col>
      <xdr:colOff>830822</xdr:colOff>
      <xdr:row>16</xdr:row>
      <xdr:rowOff>453325</xdr:rowOff>
    </xdr:to>
    <xdr:sp macro="" textlink="">
      <xdr:nvSpPr>
        <xdr:cNvPr id="85" name="Text Box 255">
          <a:extLst>
            <a:ext uri="{FF2B5EF4-FFF2-40B4-BE49-F238E27FC236}">
              <a16:creationId xmlns:a16="http://schemas.microsoft.com/office/drawing/2014/main" id="{00000000-0008-0000-0600-000055000000}"/>
            </a:ext>
          </a:extLst>
        </xdr:cNvPr>
        <xdr:cNvSpPr txBox="1">
          <a:spLocks noChangeArrowheads="1"/>
        </xdr:cNvSpPr>
      </xdr:nvSpPr>
      <xdr:spPr bwMode="auto">
        <a:xfrm>
          <a:off x="1136147" y="221197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423595</xdr:colOff>
      <xdr:row>16</xdr:row>
      <xdr:rowOff>636862</xdr:rowOff>
    </xdr:from>
    <xdr:to>
      <xdr:col>1</xdr:col>
      <xdr:colOff>828518</xdr:colOff>
      <xdr:row>16</xdr:row>
      <xdr:rowOff>833929</xdr:rowOff>
    </xdr:to>
    <xdr:sp macro="" textlink="">
      <xdr:nvSpPr>
        <xdr:cNvPr id="86" name="Text Box 255">
          <a:extLst>
            <a:ext uri="{FF2B5EF4-FFF2-40B4-BE49-F238E27FC236}">
              <a16:creationId xmlns:a16="http://schemas.microsoft.com/office/drawing/2014/main" id="{00000000-0008-0000-0600-000056000000}"/>
            </a:ext>
          </a:extLst>
        </xdr:cNvPr>
        <xdr:cNvSpPr txBox="1">
          <a:spLocks noChangeArrowheads="1"/>
        </xdr:cNvSpPr>
      </xdr:nvSpPr>
      <xdr:spPr bwMode="auto">
        <a:xfrm>
          <a:off x="1133843" y="2249843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414655</xdr:colOff>
      <xdr:row>16</xdr:row>
      <xdr:rowOff>1109009</xdr:rowOff>
    </xdr:from>
    <xdr:to>
      <xdr:col>1</xdr:col>
      <xdr:colOff>806243</xdr:colOff>
      <xdr:row>16</xdr:row>
      <xdr:rowOff>1321316</xdr:rowOff>
    </xdr:to>
    <xdr:sp macro="" textlink="">
      <xdr:nvSpPr>
        <xdr:cNvPr id="87" name="Text Box 255">
          <a:extLst>
            <a:ext uri="{FF2B5EF4-FFF2-40B4-BE49-F238E27FC236}">
              <a16:creationId xmlns:a16="http://schemas.microsoft.com/office/drawing/2014/main" id="{00000000-0008-0000-0600-000057000000}"/>
            </a:ext>
          </a:extLst>
        </xdr:cNvPr>
        <xdr:cNvSpPr txBox="1">
          <a:spLocks noChangeArrowheads="1"/>
        </xdr:cNvSpPr>
      </xdr:nvSpPr>
      <xdr:spPr bwMode="auto">
        <a:xfrm>
          <a:off x="111918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694690</xdr:colOff>
      <xdr:row>16</xdr:row>
      <xdr:rowOff>1109009</xdr:rowOff>
    </xdr:from>
    <xdr:to>
      <xdr:col>1</xdr:col>
      <xdr:colOff>1099613</xdr:colOff>
      <xdr:row>16</xdr:row>
      <xdr:rowOff>1321316</xdr:rowOff>
    </xdr:to>
    <xdr:sp macro="" textlink="">
      <xdr:nvSpPr>
        <xdr:cNvPr id="88" name="Text Box 255">
          <a:extLst>
            <a:ext uri="{FF2B5EF4-FFF2-40B4-BE49-F238E27FC236}">
              <a16:creationId xmlns:a16="http://schemas.microsoft.com/office/drawing/2014/main" id="{00000000-0008-0000-0600-000058000000}"/>
            </a:ext>
          </a:extLst>
        </xdr:cNvPr>
        <xdr:cNvSpPr txBox="1">
          <a:spLocks noChangeArrowheads="1"/>
        </xdr:cNvSpPr>
      </xdr:nvSpPr>
      <xdr:spPr bwMode="auto">
        <a:xfrm>
          <a:off x="140493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573943</xdr:colOff>
      <xdr:row>16</xdr:row>
      <xdr:rowOff>1570604</xdr:rowOff>
    </xdr:from>
    <xdr:to>
      <xdr:col>1</xdr:col>
      <xdr:colOff>978866</xdr:colOff>
      <xdr:row>16</xdr:row>
      <xdr:rowOff>1781006</xdr:rowOff>
    </xdr:to>
    <xdr:sp macro="" textlink="">
      <xdr:nvSpPr>
        <xdr:cNvPr id="89" name="Text Box 255">
          <a:extLst>
            <a:ext uri="{FF2B5EF4-FFF2-40B4-BE49-F238E27FC236}">
              <a16:creationId xmlns:a16="http://schemas.microsoft.com/office/drawing/2014/main" id="{00000000-0008-0000-0600-000059000000}"/>
            </a:ext>
          </a:extLst>
        </xdr:cNvPr>
        <xdr:cNvSpPr txBox="1">
          <a:spLocks noChangeArrowheads="1"/>
        </xdr:cNvSpPr>
      </xdr:nvSpPr>
      <xdr:spPr bwMode="auto">
        <a:xfrm>
          <a:off x="1280381" y="2344360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2505173</xdr:colOff>
      <xdr:row>16</xdr:row>
      <xdr:rowOff>3190586</xdr:rowOff>
    </xdr:from>
    <xdr:to>
      <xdr:col>1</xdr:col>
      <xdr:colOff>2896761</xdr:colOff>
      <xdr:row>16</xdr:row>
      <xdr:rowOff>3387653</xdr:rowOff>
    </xdr:to>
    <xdr:sp macro="" textlink="">
      <xdr:nvSpPr>
        <xdr:cNvPr id="90" name="Text Box 255">
          <a:extLst>
            <a:ext uri="{FF2B5EF4-FFF2-40B4-BE49-F238E27FC236}">
              <a16:creationId xmlns:a16="http://schemas.microsoft.com/office/drawing/2014/main" id="{00000000-0008-0000-0600-00005A000000}"/>
            </a:ext>
          </a:extLst>
        </xdr:cNvPr>
        <xdr:cNvSpPr txBox="1">
          <a:spLocks noChangeArrowheads="1"/>
        </xdr:cNvSpPr>
      </xdr:nvSpPr>
      <xdr:spPr bwMode="auto">
        <a:xfrm>
          <a:off x="3205896" y="250540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1826847</xdr:colOff>
      <xdr:row>16</xdr:row>
      <xdr:rowOff>2926379</xdr:rowOff>
    </xdr:from>
    <xdr:to>
      <xdr:col>1</xdr:col>
      <xdr:colOff>2231770</xdr:colOff>
      <xdr:row>16</xdr:row>
      <xdr:rowOff>3123446</xdr:rowOff>
    </xdr:to>
    <xdr:sp macro="" textlink="">
      <xdr:nvSpPr>
        <xdr:cNvPr id="91" name="Text Box 255">
          <a:extLst>
            <a:ext uri="{FF2B5EF4-FFF2-40B4-BE49-F238E27FC236}">
              <a16:creationId xmlns:a16="http://schemas.microsoft.com/office/drawing/2014/main" id="{00000000-0008-0000-0600-00005B000000}"/>
            </a:ext>
          </a:extLst>
        </xdr:cNvPr>
        <xdr:cNvSpPr txBox="1">
          <a:spLocks noChangeArrowheads="1"/>
        </xdr:cNvSpPr>
      </xdr:nvSpPr>
      <xdr:spPr bwMode="auto">
        <a:xfrm>
          <a:off x="2533285" y="2479176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1521209</xdr:colOff>
      <xdr:row>16</xdr:row>
      <xdr:rowOff>606737</xdr:rowOff>
    </xdr:from>
    <xdr:to>
      <xdr:col>1</xdr:col>
      <xdr:colOff>1914702</xdr:colOff>
      <xdr:row>16</xdr:row>
      <xdr:rowOff>803804</xdr:rowOff>
    </xdr:to>
    <xdr:sp macro="" textlink="">
      <xdr:nvSpPr>
        <xdr:cNvPr id="92" name="Text Box 255">
          <a:extLst>
            <a:ext uri="{FF2B5EF4-FFF2-40B4-BE49-F238E27FC236}">
              <a16:creationId xmlns:a16="http://schemas.microsoft.com/office/drawing/2014/main" id="{00000000-0008-0000-0600-00005C000000}"/>
            </a:ext>
          </a:extLst>
        </xdr:cNvPr>
        <xdr:cNvSpPr txBox="1">
          <a:spLocks noChangeArrowheads="1"/>
        </xdr:cNvSpPr>
      </xdr:nvSpPr>
      <xdr:spPr bwMode="auto">
        <a:xfrm>
          <a:off x="2228780" y="2250654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1552235</xdr:colOff>
      <xdr:row>16</xdr:row>
      <xdr:rowOff>270221</xdr:rowOff>
    </xdr:from>
    <xdr:to>
      <xdr:col>1</xdr:col>
      <xdr:colOff>1945728</xdr:colOff>
      <xdr:row>16</xdr:row>
      <xdr:rowOff>467288</xdr:rowOff>
    </xdr:to>
    <xdr:sp macro="" textlink="">
      <xdr:nvSpPr>
        <xdr:cNvPr id="93" name="Text Box 255">
          <a:extLst>
            <a:ext uri="{FF2B5EF4-FFF2-40B4-BE49-F238E27FC236}">
              <a16:creationId xmlns:a16="http://schemas.microsoft.com/office/drawing/2014/main" id="{00000000-0008-0000-0600-00005D000000}"/>
            </a:ext>
          </a:extLst>
        </xdr:cNvPr>
        <xdr:cNvSpPr txBox="1">
          <a:spLocks noChangeArrowheads="1"/>
        </xdr:cNvSpPr>
      </xdr:nvSpPr>
      <xdr:spPr bwMode="auto">
        <a:xfrm>
          <a:off x="2254863" y="2213941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2126873</xdr:colOff>
      <xdr:row>16</xdr:row>
      <xdr:rowOff>607782</xdr:rowOff>
    </xdr:from>
    <xdr:to>
      <xdr:col>1</xdr:col>
      <xdr:colOff>2518461</xdr:colOff>
      <xdr:row>16</xdr:row>
      <xdr:rowOff>804849</xdr:rowOff>
    </xdr:to>
    <xdr:sp macro="" textlink="">
      <xdr:nvSpPr>
        <xdr:cNvPr id="94" name="Text Box 255">
          <a:extLst>
            <a:ext uri="{FF2B5EF4-FFF2-40B4-BE49-F238E27FC236}">
              <a16:creationId xmlns:a16="http://schemas.microsoft.com/office/drawing/2014/main" id="{00000000-0008-0000-0600-00005E000000}"/>
            </a:ext>
          </a:extLst>
        </xdr:cNvPr>
        <xdr:cNvSpPr txBox="1">
          <a:spLocks noChangeArrowheads="1"/>
        </xdr:cNvSpPr>
      </xdr:nvSpPr>
      <xdr:spPr bwMode="auto">
        <a:xfrm>
          <a:off x="2830634" y="2250759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2126350</xdr:colOff>
      <xdr:row>16</xdr:row>
      <xdr:rowOff>339637</xdr:rowOff>
    </xdr:from>
    <xdr:to>
      <xdr:col>1</xdr:col>
      <xdr:colOff>2517938</xdr:colOff>
      <xdr:row>16</xdr:row>
      <xdr:rowOff>536704</xdr:rowOff>
    </xdr:to>
    <xdr:sp macro="" textlink="">
      <xdr:nvSpPr>
        <xdr:cNvPr id="95" name="Text Box 255">
          <a:extLst>
            <a:ext uri="{FF2B5EF4-FFF2-40B4-BE49-F238E27FC236}">
              <a16:creationId xmlns:a16="http://schemas.microsoft.com/office/drawing/2014/main" id="{00000000-0008-0000-0600-00005F000000}"/>
            </a:ext>
          </a:extLst>
        </xdr:cNvPr>
        <xdr:cNvSpPr txBox="1">
          <a:spLocks noChangeArrowheads="1"/>
        </xdr:cNvSpPr>
      </xdr:nvSpPr>
      <xdr:spPr bwMode="auto">
        <a:xfrm>
          <a:off x="2830111" y="222375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1095542</xdr:colOff>
      <xdr:row>20</xdr:row>
      <xdr:rowOff>223723</xdr:rowOff>
    </xdr:from>
    <xdr:to>
      <xdr:col>1</xdr:col>
      <xdr:colOff>1489035</xdr:colOff>
      <xdr:row>20</xdr:row>
      <xdr:rowOff>420790</xdr:rowOff>
    </xdr:to>
    <xdr:sp macro="" textlink="">
      <xdr:nvSpPr>
        <xdr:cNvPr id="109" name="Text Box 255">
          <a:extLst>
            <a:ext uri="{FF2B5EF4-FFF2-40B4-BE49-F238E27FC236}">
              <a16:creationId xmlns:a16="http://schemas.microsoft.com/office/drawing/2014/main" id="{00000000-0008-0000-0600-00006D000000}"/>
            </a:ext>
          </a:extLst>
        </xdr:cNvPr>
        <xdr:cNvSpPr txBox="1">
          <a:spLocks noChangeArrowheads="1"/>
        </xdr:cNvSpPr>
      </xdr:nvSpPr>
      <xdr:spPr bwMode="auto">
        <a:xfrm>
          <a:off x="1799303" y="3035413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1069751</xdr:colOff>
      <xdr:row>20</xdr:row>
      <xdr:rowOff>608241</xdr:rowOff>
    </xdr:from>
    <xdr:to>
      <xdr:col>1</xdr:col>
      <xdr:colOff>1474674</xdr:colOff>
      <xdr:row>20</xdr:row>
      <xdr:rowOff>805308</xdr:rowOff>
    </xdr:to>
    <xdr:sp macro="" textlink="">
      <xdr:nvSpPr>
        <xdr:cNvPr id="110" name="Text Box 255">
          <a:extLst>
            <a:ext uri="{FF2B5EF4-FFF2-40B4-BE49-F238E27FC236}">
              <a16:creationId xmlns:a16="http://schemas.microsoft.com/office/drawing/2014/main" id="{00000000-0008-0000-0600-00006E000000}"/>
            </a:ext>
          </a:extLst>
        </xdr:cNvPr>
        <xdr:cNvSpPr txBox="1">
          <a:spLocks noChangeArrowheads="1"/>
        </xdr:cNvSpPr>
      </xdr:nvSpPr>
      <xdr:spPr bwMode="auto">
        <a:xfrm>
          <a:off x="1777322" y="307424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427034</xdr:colOff>
      <xdr:row>20</xdr:row>
      <xdr:rowOff>225774</xdr:rowOff>
    </xdr:from>
    <xdr:to>
      <xdr:col>1</xdr:col>
      <xdr:colOff>831957</xdr:colOff>
      <xdr:row>20</xdr:row>
      <xdr:rowOff>422841</xdr:rowOff>
    </xdr:to>
    <xdr:sp macro="" textlink="">
      <xdr:nvSpPr>
        <xdr:cNvPr id="111" name="Text Box 255">
          <a:extLst>
            <a:ext uri="{FF2B5EF4-FFF2-40B4-BE49-F238E27FC236}">
              <a16:creationId xmlns:a16="http://schemas.microsoft.com/office/drawing/2014/main" id="{00000000-0008-0000-0600-00006F000000}"/>
            </a:ext>
          </a:extLst>
        </xdr:cNvPr>
        <xdr:cNvSpPr txBox="1">
          <a:spLocks noChangeArrowheads="1"/>
        </xdr:cNvSpPr>
      </xdr:nvSpPr>
      <xdr:spPr bwMode="auto">
        <a:xfrm>
          <a:off x="1138415" y="3035999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424730</xdr:colOff>
      <xdr:row>20</xdr:row>
      <xdr:rowOff>606378</xdr:rowOff>
    </xdr:from>
    <xdr:to>
      <xdr:col>1</xdr:col>
      <xdr:colOff>829653</xdr:colOff>
      <xdr:row>20</xdr:row>
      <xdr:rowOff>803445</xdr:rowOff>
    </xdr:to>
    <xdr:sp macro="" textlink="">
      <xdr:nvSpPr>
        <xdr:cNvPr id="112" name="Text Box 255">
          <a:extLst>
            <a:ext uri="{FF2B5EF4-FFF2-40B4-BE49-F238E27FC236}">
              <a16:creationId xmlns:a16="http://schemas.microsoft.com/office/drawing/2014/main" id="{00000000-0008-0000-0600-000070000000}"/>
            </a:ext>
          </a:extLst>
        </xdr:cNvPr>
        <xdr:cNvSpPr txBox="1">
          <a:spLocks noChangeArrowheads="1"/>
        </xdr:cNvSpPr>
      </xdr:nvSpPr>
      <xdr:spPr bwMode="auto">
        <a:xfrm>
          <a:off x="1136111" y="307386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415790</xdr:colOff>
      <xdr:row>20</xdr:row>
      <xdr:rowOff>1093765</xdr:rowOff>
    </xdr:from>
    <xdr:to>
      <xdr:col>1</xdr:col>
      <xdr:colOff>807378</xdr:colOff>
      <xdr:row>20</xdr:row>
      <xdr:rowOff>1290832</xdr:rowOff>
    </xdr:to>
    <xdr:sp macro="" textlink="">
      <xdr:nvSpPr>
        <xdr:cNvPr id="113" name="Text Box 255">
          <a:extLst>
            <a:ext uri="{FF2B5EF4-FFF2-40B4-BE49-F238E27FC236}">
              <a16:creationId xmlns:a16="http://schemas.microsoft.com/office/drawing/2014/main" id="{00000000-0008-0000-0600-000071000000}"/>
            </a:ext>
          </a:extLst>
        </xdr:cNvPr>
        <xdr:cNvSpPr txBox="1">
          <a:spLocks noChangeArrowheads="1"/>
        </xdr:cNvSpPr>
      </xdr:nvSpPr>
      <xdr:spPr bwMode="auto">
        <a:xfrm>
          <a:off x="112145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695825</xdr:colOff>
      <xdr:row>20</xdr:row>
      <xdr:rowOff>1093765</xdr:rowOff>
    </xdr:from>
    <xdr:to>
      <xdr:col>1</xdr:col>
      <xdr:colOff>1100748</xdr:colOff>
      <xdr:row>20</xdr:row>
      <xdr:rowOff>1290832</xdr:rowOff>
    </xdr:to>
    <xdr:sp macro="" textlink="">
      <xdr:nvSpPr>
        <xdr:cNvPr id="114" name="Text Box 255">
          <a:extLst>
            <a:ext uri="{FF2B5EF4-FFF2-40B4-BE49-F238E27FC236}">
              <a16:creationId xmlns:a16="http://schemas.microsoft.com/office/drawing/2014/main" id="{00000000-0008-0000-0600-000072000000}"/>
            </a:ext>
          </a:extLst>
        </xdr:cNvPr>
        <xdr:cNvSpPr txBox="1">
          <a:spLocks noChangeArrowheads="1"/>
        </xdr:cNvSpPr>
      </xdr:nvSpPr>
      <xdr:spPr bwMode="auto">
        <a:xfrm>
          <a:off x="140720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575078</xdr:colOff>
      <xdr:row>20</xdr:row>
      <xdr:rowOff>1553455</xdr:rowOff>
    </xdr:from>
    <xdr:to>
      <xdr:col>1</xdr:col>
      <xdr:colOff>980001</xdr:colOff>
      <xdr:row>20</xdr:row>
      <xdr:rowOff>1750522</xdr:rowOff>
    </xdr:to>
    <xdr:sp macro="" textlink="">
      <xdr:nvSpPr>
        <xdr:cNvPr id="115" name="Text Box 255">
          <a:extLst>
            <a:ext uri="{FF2B5EF4-FFF2-40B4-BE49-F238E27FC236}">
              <a16:creationId xmlns:a16="http://schemas.microsoft.com/office/drawing/2014/main" id="{00000000-0008-0000-0600-000073000000}"/>
            </a:ext>
          </a:extLst>
        </xdr:cNvPr>
        <xdr:cNvSpPr txBox="1">
          <a:spLocks noChangeArrowheads="1"/>
        </xdr:cNvSpPr>
      </xdr:nvSpPr>
      <xdr:spPr bwMode="auto">
        <a:xfrm>
          <a:off x="1282649" y="3168387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2504403</xdr:colOff>
      <xdr:row>20</xdr:row>
      <xdr:rowOff>3160102</xdr:rowOff>
    </xdr:from>
    <xdr:to>
      <xdr:col>1</xdr:col>
      <xdr:colOff>2897896</xdr:colOff>
      <xdr:row>20</xdr:row>
      <xdr:rowOff>3357169</xdr:rowOff>
    </xdr:to>
    <xdr:sp macro="" textlink="">
      <xdr:nvSpPr>
        <xdr:cNvPr id="116" name="Text Box 255">
          <a:extLst>
            <a:ext uri="{FF2B5EF4-FFF2-40B4-BE49-F238E27FC236}">
              <a16:creationId xmlns:a16="http://schemas.microsoft.com/office/drawing/2014/main" id="{00000000-0008-0000-0600-000074000000}"/>
            </a:ext>
          </a:extLst>
        </xdr:cNvPr>
        <xdr:cNvSpPr txBox="1">
          <a:spLocks noChangeArrowheads="1"/>
        </xdr:cNvSpPr>
      </xdr:nvSpPr>
      <xdr:spPr bwMode="auto">
        <a:xfrm>
          <a:off x="3208164" y="3329432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1827982</xdr:colOff>
      <xdr:row>20</xdr:row>
      <xdr:rowOff>2897800</xdr:rowOff>
    </xdr:from>
    <xdr:to>
      <xdr:col>1</xdr:col>
      <xdr:colOff>2232905</xdr:colOff>
      <xdr:row>20</xdr:row>
      <xdr:rowOff>3094867</xdr:rowOff>
    </xdr:to>
    <xdr:sp macro="" textlink="">
      <xdr:nvSpPr>
        <xdr:cNvPr id="117" name="Text Box 255">
          <a:extLst>
            <a:ext uri="{FF2B5EF4-FFF2-40B4-BE49-F238E27FC236}">
              <a16:creationId xmlns:a16="http://schemas.microsoft.com/office/drawing/2014/main" id="{00000000-0008-0000-0600-000075000000}"/>
            </a:ext>
          </a:extLst>
        </xdr:cNvPr>
        <xdr:cNvSpPr txBox="1">
          <a:spLocks noChangeArrowheads="1"/>
        </xdr:cNvSpPr>
      </xdr:nvSpPr>
      <xdr:spPr bwMode="auto">
        <a:xfrm>
          <a:off x="2535553" y="3303202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1519350</xdr:colOff>
      <xdr:row>20</xdr:row>
      <xdr:rowOff>575164</xdr:rowOff>
    </xdr:from>
    <xdr:to>
      <xdr:col>1</xdr:col>
      <xdr:colOff>1909033</xdr:colOff>
      <xdr:row>20</xdr:row>
      <xdr:rowOff>772231</xdr:rowOff>
    </xdr:to>
    <xdr:sp macro="" textlink="">
      <xdr:nvSpPr>
        <xdr:cNvPr id="118" name="Text Box 255">
          <a:extLst>
            <a:ext uri="{FF2B5EF4-FFF2-40B4-BE49-F238E27FC236}">
              <a16:creationId xmlns:a16="http://schemas.microsoft.com/office/drawing/2014/main" id="{00000000-0008-0000-0600-000076000000}"/>
            </a:ext>
          </a:extLst>
        </xdr:cNvPr>
        <xdr:cNvSpPr txBox="1">
          <a:spLocks noChangeArrowheads="1"/>
        </xdr:cNvSpPr>
      </xdr:nvSpPr>
      <xdr:spPr bwMode="auto">
        <a:xfrm>
          <a:off x="2223111" y="3070938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1553370</xdr:colOff>
      <xdr:row>20</xdr:row>
      <xdr:rowOff>253072</xdr:rowOff>
    </xdr:from>
    <xdr:to>
      <xdr:col>1</xdr:col>
      <xdr:colOff>1946863</xdr:colOff>
      <xdr:row>20</xdr:row>
      <xdr:rowOff>450139</xdr:rowOff>
    </xdr:to>
    <xdr:sp macro="" textlink="">
      <xdr:nvSpPr>
        <xdr:cNvPr id="119" name="Text Box 255">
          <a:extLst>
            <a:ext uri="{FF2B5EF4-FFF2-40B4-BE49-F238E27FC236}">
              <a16:creationId xmlns:a16="http://schemas.microsoft.com/office/drawing/2014/main" id="{00000000-0008-0000-0600-000077000000}"/>
            </a:ext>
          </a:extLst>
        </xdr:cNvPr>
        <xdr:cNvSpPr txBox="1">
          <a:spLocks noChangeArrowheads="1"/>
        </xdr:cNvSpPr>
      </xdr:nvSpPr>
      <xdr:spPr bwMode="auto">
        <a:xfrm>
          <a:off x="2257131" y="3037967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2123109</xdr:colOff>
      <xdr:row>20</xdr:row>
      <xdr:rowOff>597437</xdr:rowOff>
    </xdr:from>
    <xdr:to>
      <xdr:col>1</xdr:col>
      <xdr:colOff>2514697</xdr:colOff>
      <xdr:row>20</xdr:row>
      <xdr:rowOff>794504</xdr:rowOff>
    </xdr:to>
    <xdr:sp macro="" textlink="">
      <xdr:nvSpPr>
        <xdr:cNvPr id="120" name="Text Box 255">
          <a:extLst>
            <a:ext uri="{FF2B5EF4-FFF2-40B4-BE49-F238E27FC236}">
              <a16:creationId xmlns:a16="http://schemas.microsoft.com/office/drawing/2014/main" id="{00000000-0008-0000-0600-000078000000}"/>
            </a:ext>
          </a:extLst>
        </xdr:cNvPr>
        <xdr:cNvSpPr txBox="1">
          <a:spLocks noChangeArrowheads="1"/>
        </xdr:cNvSpPr>
      </xdr:nvSpPr>
      <xdr:spPr bwMode="auto">
        <a:xfrm>
          <a:off x="2824965" y="307240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2122586</xdr:colOff>
      <xdr:row>20</xdr:row>
      <xdr:rowOff>306159</xdr:rowOff>
    </xdr:from>
    <xdr:to>
      <xdr:col>1</xdr:col>
      <xdr:colOff>2514174</xdr:colOff>
      <xdr:row>20</xdr:row>
      <xdr:rowOff>503226</xdr:rowOff>
    </xdr:to>
    <xdr:sp macro="" textlink="">
      <xdr:nvSpPr>
        <xdr:cNvPr id="121" name="Text Box 255">
          <a:extLst>
            <a:ext uri="{FF2B5EF4-FFF2-40B4-BE49-F238E27FC236}">
              <a16:creationId xmlns:a16="http://schemas.microsoft.com/office/drawing/2014/main" id="{00000000-0008-0000-0600-000079000000}"/>
            </a:ext>
          </a:extLst>
        </xdr:cNvPr>
        <xdr:cNvSpPr txBox="1">
          <a:spLocks noChangeArrowheads="1"/>
        </xdr:cNvSpPr>
      </xdr:nvSpPr>
      <xdr:spPr bwMode="auto">
        <a:xfrm>
          <a:off x="2824442" y="3044038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1225096</xdr:colOff>
      <xdr:row>20</xdr:row>
      <xdr:rowOff>1094810</xdr:rowOff>
    </xdr:from>
    <xdr:to>
      <xdr:col>1</xdr:col>
      <xdr:colOff>1630019</xdr:colOff>
      <xdr:row>20</xdr:row>
      <xdr:rowOff>1291877</xdr:rowOff>
    </xdr:to>
    <xdr:sp macro="" textlink="">
      <xdr:nvSpPr>
        <xdr:cNvPr id="122" name="Text Box 255">
          <a:extLst>
            <a:ext uri="{FF2B5EF4-FFF2-40B4-BE49-F238E27FC236}">
              <a16:creationId xmlns:a16="http://schemas.microsoft.com/office/drawing/2014/main" id="{00000000-0008-0000-0600-00007A000000}"/>
            </a:ext>
          </a:extLst>
        </xdr:cNvPr>
        <xdr:cNvSpPr txBox="1">
          <a:spLocks noChangeArrowheads="1"/>
        </xdr:cNvSpPr>
      </xdr:nvSpPr>
      <xdr:spPr bwMode="auto">
        <a:xfrm>
          <a:off x="1932928" y="3124225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1241852</xdr:colOff>
      <xdr:row>20</xdr:row>
      <xdr:rowOff>1482055</xdr:rowOff>
    </xdr:from>
    <xdr:to>
      <xdr:col>1</xdr:col>
      <xdr:colOff>1635345</xdr:colOff>
      <xdr:row>20</xdr:row>
      <xdr:rowOff>1681027</xdr:rowOff>
    </xdr:to>
    <xdr:sp macro="" textlink="">
      <xdr:nvSpPr>
        <xdr:cNvPr id="123" name="Text Box 255">
          <a:extLst>
            <a:ext uri="{FF2B5EF4-FFF2-40B4-BE49-F238E27FC236}">
              <a16:creationId xmlns:a16="http://schemas.microsoft.com/office/drawing/2014/main" id="{00000000-0008-0000-0600-00007B000000}"/>
            </a:ext>
          </a:extLst>
        </xdr:cNvPr>
        <xdr:cNvSpPr txBox="1">
          <a:spLocks noChangeArrowheads="1"/>
        </xdr:cNvSpPr>
      </xdr:nvSpPr>
      <xdr:spPr bwMode="auto">
        <a:xfrm>
          <a:off x="1938254" y="3163330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1387929</xdr:colOff>
      <xdr:row>11</xdr:row>
      <xdr:rowOff>966107</xdr:rowOff>
    </xdr:from>
    <xdr:to>
      <xdr:col>1</xdr:col>
      <xdr:colOff>1785207</xdr:colOff>
      <xdr:row>11</xdr:row>
      <xdr:rowOff>1166961</xdr:rowOff>
    </xdr:to>
    <xdr:sp macro="" textlink="">
      <xdr:nvSpPr>
        <xdr:cNvPr id="124" name="Text Box 255">
          <a:extLst>
            <a:ext uri="{FF2B5EF4-FFF2-40B4-BE49-F238E27FC236}">
              <a16:creationId xmlns:a16="http://schemas.microsoft.com/office/drawing/2014/main" id="{00000000-0008-0000-0600-00007C000000}"/>
            </a:ext>
          </a:extLst>
        </xdr:cNvPr>
        <xdr:cNvSpPr txBox="1">
          <a:spLocks noChangeArrowheads="1"/>
        </xdr:cNvSpPr>
      </xdr:nvSpPr>
      <xdr:spPr bwMode="auto">
        <a:xfrm>
          <a:off x="2095500" y="14382750"/>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1760538</xdr:colOff>
      <xdr:row>16</xdr:row>
      <xdr:rowOff>1646238</xdr:rowOff>
    </xdr:from>
    <xdr:to>
      <xdr:col>1</xdr:col>
      <xdr:colOff>2157816</xdr:colOff>
      <xdr:row>16</xdr:row>
      <xdr:rowOff>1847092</xdr:rowOff>
    </xdr:to>
    <xdr:sp macro="" textlink="">
      <xdr:nvSpPr>
        <xdr:cNvPr id="125" name="Text Box 255">
          <a:extLst>
            <a:ext uri="{FF2B5EF4-FFF2-40B4-BE49-F238E27FC236}">
              <a16:creationId xmlns:a16="http://schemas.microsoft.com/office/drawing/2014/main" id="{00000000-0008-0000-0600-00007D000000}"/>
            </a:ext>
          </a:extLst>
        </xdr:cNvPr>
        <xdr:cNvSpPr txBox="1">
          <a:spLocks noChangeArrowheads="1"/>
        </xdr:cNvSpPr>
      </xdr:nvSpPr>
      <xdr:spPr bwMode="auto">
        <a:xfrm>
          <a:off x="2465388" y="23506113"/>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1388765</xdr:colOff>
      <xdr:row>20</xdr:row>
      <xdr:rowOff>956060</xdr:rowOff>
    </xdr:from>
    <xdr:to>
      <xdr:col>1</xdr:col>
      <xdr:colOff>1786043</xdr:colOff>
      <xdr:row>20</xdr:row>
      <xdr:rowOff>1156914</xdr:rowOff>
    </xdr:to>
    <xdr:sp macro="" textlink="">
      <xdr:nvSpPr>
        <xdr:cNvPr id="128" name="Text Box 255">
          <a:extLst>
            <a:ext uri="{FF2B5EF4-FFF2-40B4-BE49-F238E27FC236}">
              <a16:creationId xmlns:a16="http://schemas.microsoft.com/office/drawing/2014/main" id="{00000000-0008-0000-0600-000080000000}"/>
            </a:ext>
          </a:extLst>
        </xdr:cNvPr>
        <xdr:cNvSpPr txBox="1">
          <a:spLocks noChangeArrowheads="1"/>
        </xdr:cNvSpPr>
      </xdr:nvSpPr>
      <xdr:spPr bwMode="auto">
        <a:xfrm>
          <a:off x="2092150" y="31025752"/>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1222303</xdr:colOff>
      <xdr:row>16</xdr:row>
      <xdr:rowOff>1130401</xdr:rowOff>
    </xdr:from>
    <xdr:to>
      <xdr:col>1</xdr:col>
      <xdr:colOff>1627226</xdr:colOff>
      <xdr:row>16</xdr:row>
      <xdr:rowOff>1327468</xdr:rowOff>
    </xdr:to>
    <xdr:sp macro="" textlink="">
      <xdr:nvSpPr>
        <xdr:cNvPr id="132" name="Text Box 255">
          <a:extLst>
            <a:ext uri="{FF2B5EF4-FFF2-40B4-BE49-F238E27FC236}">
              <a16:creationId xmlns:a16="http://schemas.microsoft.com/office/drawing/2014/main" id="{00000000-0008-0000-0600-000084000000}"/>
            </a:ext>
          </a:extLst>
        </xdr:cNvPr>
        <xdr:cNvSpPr txBox="1">
          <a:spLocks noChangeArrowheads="1"/>
        </xdr:cNvSpPr>
      </xdr:nvSpPr>
      <xdr:spPr bwMode="auto">
        <a:xfrm>
          <a:off x="1931779" y="2302259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1225724</xdr:colOff>
      <xdr:row>16</xdr:row>
      <xdr:rowOff>1517646</xdr:rowOff>
    </xdr:from>
    <xdr:to>
      <xdr:col>1</xdr:col>
      <xdr:colOff>1630647</xdr:colOff>
      <xdr:row>16</xdr:row>
      <xdr:rowOff>1714713</xdr:rowOff>
    </xdr:to>
    <xdr:sp macro="" textlink="">
      <xdr:nvSpPr>
        <xdr:cNvPr id="133" name="Text Box 255">
          <a:extLst>
            <a:ext uri="{FF2B5EF4-FFF2-40B4-BE49-F238E27FC236}">
              <a16:creationId xmlns:a16="http://schemas.microsoft.com/office/drawing/2014/main" id="{00000000-0008-0000-0600-000085000000}"/>
            </a:ext>
          </a:extLst>
        </xdr:cNvPr>
        <xdr:cNvSpPr txBox="1">
          <a:spLocks noChangeArrowheads="1"/>
        </xdr:cNvSpPr>
      </xdr:nvSpPr>
      <xdr:spPr bwMode="auto">
        <a:xfrm>
          <a:off x="1937105" y="2341364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1384067</xdr:colOff>
      <xdr:row>16</xdr:row>
      <xdr:rowOff>960438</xdr:rowOff>
    </xdr:from>
    <xdr:to>
      <xdr:col>1</xdr:col>
      <xdr:colOff>1781345</xdr:colOff>
      <xdr:row>16</xdr:row>
      <xdr:rowOff>1161292</xdr:rowOff>
    </xdr:to>
    <xdr:sp macro="" textlink="">
      <xdr:nvSpPr>
        <xdr:cNvPr id="134" name="Text Box 255">
          <a:extLst>
            <a:ext uri="{FF2B5EF4-FFF2-40B4-BE49-F238E27FC236}">
              <a16:creationId xmlns:a16="http://schemas.microsoft.com/office/drawing/2014/main" id="{00000000-0008-0000-0600-000086000000}"/>
            </a:ext>
          </a:extLst>
        </xdr:cNvPr>
        <xdr:cNvSpPr txBox="1">
          <a:spLocks noChangeArrowheads="1"/>
        </xdr:cNvSpPr>
      </xdr:nvSpPr>
      <xdr:spPr bwMode="auto">
        <a:xfrm>
          <a:off x="2091638" y="22827117"/>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1359626</xdr:colOff>
      <xdr:row>11</xdr:row>
      <xdr:rowOff>2709634</xdr:rowOff>
    </xdr:from>
    <xdr:to>
      <xdr:col>1</xdr:col>
      <xdr:colOff>1745525</xdr:colOff>
      <xdr:row>11</xdr:row>
      <xdr:rowOff>2921941</xdr:rowOff>
    </xdr:to>
    <xdr:sp macro="" textlink="">
      <xdr:nvSpPr>
        <xdr:cNvPr id="138" name="Text Box 255">
          <a:extLst>
            <a:ext uri="{FF2B5EF4-FFF2-40B4-BE49-F238E27FC236}">
              <a16:creationId xmlns:a16="http://schemas.microsoft.com/office/drawing/2014/main" id="{00000000-0008-0000-0600-00008A000000}"/>
            </a:ext>
          </a:extLst>
        </xdr:cNvPr>
        <xdr:cNvSpPr txBox="1">
          <a:spLocks noChangeArrowheads="1"/>
        </xdr:cNvSpPr>
      </xdr:nvSpPr>
      <xdr:spPr bwMode="auto">
        <a:xfrm>
          <a:off x="2061482" y="1621291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1360760</xdr:colOff>
      <xdr:row>16</xdr:row>
      <xdr:rowOff>2777880</xdr:rowOff>
    </xdr:from>
    <xdr:to>
      <xdr:col>1</xdr:col>
      <xdr:colOff>1746659</xdr:colOff>
      <xdr:row>16</xdr:row>
      <xdr:rowOff>2974947</xdr:rowOff>
    </xdr:to>
    <xdr:sp macro="" textlink="">
      <xdr:nvSpPr>
        <xdr:cNvPr id="139" name="Text Box 255">
          <a:extLst>
            <a:ext uri="{FF2B5EF4-FFF2-40B4-BE49-F238E27FC236}">
              <a16:creationId xmlns:a16="http://schemas.microsoft.com/office/drawing/2014/main" id="{00000000-0008-0000-0600-00008B000000}"/>
            </a:ext>
          </a:extLst>
        </xdr:cNvPr>
        <xdr:cNvSpPr txBox="1">
          <a:spLocks noChangeArrowheads="1"/>
        </xdr:cNvSpPr>
      </xdr:nvSpPr>
      <xdr:spPr bwMode="auto">
        <a:xfrm>
          <a:off x="2062616" y="24677690"/>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1359625</xdr:colOff>
      <xdr:row>20</xdr:row>
      <xdr:rowOff>2747438</xdr:rowOff>
    </xdr:from>
    <xdr:to>
      <xdr:col>1</xdr:col>
      <xdr:colOff>1745524</xdr:colOff>
      <xdr:row>20</xdr:row>
      <xdr:rowOff>2955935</xdr:rowOff>
    </xdr:to>
    <xdr:sp macro="" textlink="">
      <xdr:nvSpPr>
        <xdr:cNvPr id="140" name="Text Box 255">
          <a:extLst>
            <a:ext uri="{FF2B5EF4-FFF2-40B4-BE49-F238E27FC236}">
              <a16:creationId xmlns:a16="http://schemas.microsoft.com/office/drawing/2014/main" id="{00000000-0008-0000-0600-00008C000000}"/>
            </a:ext>
          </a:extLst>
        </xdr:cNvPr>
        <xdr:cNvSpPr txBox="1">
          <a:spLocks noChangeArrowheads="1"/>
        </xdr:cNvSpPr>
      </xdr:nvSpPr>
      <xdr:spPr bwMode="auto">
        <a:xfrm>
          <a:off x="2061481" y="3288166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2129310</xdr:colOff>
      <xdr:row>20</xdr:row>
      <xdr:rowOff>1664661</xdr:rowOff>
    </xdr:from>
    <xdr:to>
      <xdr:col>1</xdr:col>
      <xdr:colOff>2518993</xdr:colOff>
      <xdr:row>20</xdr:row>
      <xdr:rowOff>1931823</xdr:rowOff>
    </xdr:to>
    <xdr:sp macro="" textlink="">
      <xdr:nvSpPr>
        <xdr:cNvPr id="141" name="Text Box 255">
          <a:extLst>
            <a:ext uri="{FF2B5EF4-FFF2-40B4-BE49-F238E27FC236}">
              <a16:creationId xmlns:a16="http://schemas.microsoft.com/office/drawing/2014/main" id="{00000000-0008-0000-0600-00008D000000}"/>
            </a:ext>
          </a:extLst>
        </xdr:cNvPr>
        <xdr:cNvSpPr txBox="1">
          <a:spLocks noChangeArrowheads="1"/>
        </xdr:cNvSpPr>
      </xdr:nvSpPr>
      <xdr:spPr bwMode="auto">
        <a:xfrm>
          <a:off x="2833071" y="31791266"/>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1857169</xdr:colOff>
      <xdr:row>20</xdr:row>
      <xdr:rowOff>1942790</xdr:rowOff>
    </xdr:from>
    <xdr:to>
      <xdr:col>1</xdr:col>
      <xdr:colOff>2250662</xdr:colOff>
      <xdr:row>20</xdr:row>
      <xdr:rowOff>2209952</xdr:rowOff>
    </xdr:to>
    <xdr:sp macro="" textlink="">
      <xdr:nvSpPr>
        <xdr:cNvPr id="143" name="Text Box 255">
          <a:extLst>
            <a:ext uri="{FF2B5EF4-FFF2-40B4-BE49-F238E27FC236}">
              <a16:creationId xmlns:a16="http://schemas.microsoft.com/office/drawing/2014/main" id="{00000000-0008-0000-0600-00008F000000}"/>
            </a:ext>
          </a:extLst>
        </xdr:cNvPr>
        <xdr:cNvSpPr txBox="1">
          <a:spLocks noChangeArrowheads="1"/>
        </xdr:cNvSpPr>
      </xdr:nvSpPr>
      <xdr:spPr bwMode="auto">
        <a:xfrm>
          <a:off x="2560930" y="32077015"/>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2129520</xdr:colOff>
      <xdr:row>11</xdr:row>
      <xdr:rowOff>1628682</xdr:rowOff>
    </xdr:from>
    <xdr:to>
      <xdr:col>1</xdr:col>
      <xdr:colOff>2523013</xdr:colOff>
      <xdr:row>11</xdr:row>
      <xdr:rowOff>1895844</xdr:rowOff>
    </xdr:to>
    <xdr:sp macro="" textlink="">
      <xdr:nvSpPr>
        <xdr:cNvPr id="150" name="Text Box 255">
          <a:extLst>
            <a:ext uri="{FF2B5EF4-FFF2-40B4-BE49-F238E27FC236}">
              <a16:creationId xmlns:a16="http://schemas.microsoft.com/office/drawing/2014/main" id="{00000000-0008-0000-0600-000096000000}"/>
            </a:ext>
          </a:extLst>
        </xdr:cNvPr>
        <xdr:cNvSpPr txBox="1">
          <a:spLocks noChangeArrowheads="1"/>
        </xdr:cNvSpPr>
      </xdr:nvSpPr>
      <xdr:spPr bwMode="auto">
        <a:xfrm>
          <a:off x="2837091"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1603739</xdr:colOff>
      <xdr:row>11</xdr:row>
      <xdr:rowOff>1628682</xdr:rowOff>
    </xdr:from>
    <xdr:to>
      <xdr:col>1</xdr:col>
      <xdr:colOff>2008662</xdr:colOff>
      <xdr:row>11</xdr:row>
      <xdr:rowOff>1895844</xdr:rowOff>
    </xdr:to>
    <xdr:sp macro="" textlink="">
      <xdr:nvSpPr>
        <xdr:cNvPr id="151" name="Text Box 255">
          <a:extLst>
            <a:ext uri="{FF2B5EF4-FFF2-40B4-BE49-F238E27FC236}">
              <a16:creationId xmlns:a16="http://schemas.microsoft.com/office/drawing/2014/main" id="{00000000-0008-0000-0600-000097000000}"/>
            </a:ext>
          </a:extLst>
        </xdr:cNvPr>
        <xdr:cNvSpPr txBox="1">
          <a:spLocks noChangeArrowheads="1"/>
        </xdr:cNvSpPr>
      </xdr:nvSpPr>
      <xdr:spPr bwMode="auto">
        <a:xfrm>
          <a:off x="2313215"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1861189</xdr:colOff>
      <xdr:row>11</xdr:row>
      <xdr:rowOff>1908716</xdr:rowOff>
    </xdr:from>
    <xdr:to>
      <xdr:col>1</xdr:col>
      <xdr:colOff>2250872</xdr:colOff>
      <xdr:row>11</xdr:row>
      <xdr:rowOff>2175878</xdr:rowOff>
    </xdr:to>
    <xdr:sp macro="" textlink="">
      <xdr:nvSpPr>
        <xdr:cNvPr id="152" name="Text Box 255">
          <a:extLst>
            <a:ext uri="{FF2B5EF4-FFF2-40B4-BE49-F238E27FC236}">
              <a16:creationId xmlns:a16="http://schemas.microsoft.com/office/drawing/2014/main" id="{00000000-0008-0000-0600-000098000000}"/>
            </a:ext>
          </a:extLst>
        </xdr:cNvPr>
        <xdr:cNvSpPr txBox="1">
          <a:spLocks noChangeArrowheads="1"/>
        </xdr:cNvSpPr>
      </xdr:nvSpPr>
      <xdr:spPr bwMode="auto">
        <a:xfrm>
          <a:off x="2564950" y="15410090"/>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2126524</xdr:colOff>
      <xdr:row>7</xdr:row>
      <xdr:rowOff>1641470</xdr:rowOff>
    </xdr:from>
    <xdr:to>
      <xdr:col>1</xdr:col>
      <xdr:colOff>2518112</xdr:colOff>
      <xdr:row>7</xdr:row>
      <xdr:rowOff>1908632</xdr:rowOff>
    </xdr:to>
    <xdr:sp macro="" textlink="">
      <xdr:nvSpPr>
        <xdr:cNvPr id="158" name="Text Box 255">
          <a:extLst>
            <a:ext uri="{FF2B5EF4-FFF2-40B4-BE49-F238E27FC236}">
              <a16:creationId xmlns:a16="http://schemas.microsoft.com/office/drawing/2014/main" id="{00000000-0008-0000-0600-00009E000000}"/>
            </a:ext>
          </a:extLst>
        </xdr:cNvPr>
        <xdr:cNvSpPr txBox="1">
          <a:spLocks noChangeArrowheads="1"/>
        </xdr:cNvSpPr>
      </xdr:nvSpPr>
      <xdr:spPr bwMode="auto">
        <a:xfrm>
          <a:off x="2830285" y="6912427"/>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2121627</xdr:colOff>
      <xdr:row>16</xdr:row>
      <xdr:rowOff>1684364</xdr:rowOff>
    </xdr:from>
    <xdr:to>
      <xdr:col>1</xdr:col>
      <xdr:colOff>2513215</xdr:colOff>
      <xdr:row>16</xdr:row>
      <xdr:rowOff>1951526</xdr:rowOff>
    </xdr:to>
    <xdr:sp macro="" textlink="">
      <xdr:nvSpPr>
        <xdr:cNvPr id="161" name="Text Box 255">
          <a:extLst>
            <a:ext uri="{FF2B5EF4-FFF2-40B4-BE49-F238E27FC236}">
              <a16:creationId xmlns:a16="http://schemas.microsoft.com/office/drawing/2014/main" id="{00000000-0008-0000-0600-0000A1000000}"/>
            </a:ext>
          </a:extLst>
        </xdr:cNvPr>
        <xdr:cNvSpPr txBox="1">
          <a:spLocks noChangeArrowheads="1"/>
        </xdr:cNvSpPr>
      </xdr:nvSpPr>
      <xdr:spPr bwMode="auto">
        <a:xfrm>
          <a:off x="2823483" y="23587984"/>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xdr:from>
      <xdr:col>1</xdr:col>
      <xdr:colOff>1850570</xdr:colOff>
      <xdr:row>11</xdr:row>
      <xdr:rowOff>1285875</xdr:rowOff>
    </xdr:from>
    <xdr:to>
      <xdr:col>1</xdr:col>
      <xdr:colOff>2195349</xdr:colOff>
      <xdr:row>11</xdr:row>
      <xdr:rowOff>1544092</xdr:rowOff>
    </xdr:to>
    <xdr:sp macro="" textlink="">
      <xdr:nvSpPr>
        <xdr:cNvPr id="163" name="Text Box 225">
          <a:extLst>
            <a:ext uri="{FF2B5EF4-FFF2-40B4-BE49-F238E27FC236}">
              <a16:creationId xmlns:a16="http://schemas.microsoft.com/office/drawing/2014/main" id="{00000000-0008-0000-0600-0000A3000000}"/>
            </a:ext>
          </a:extLst>
        </xdr:cNvPr>
        <xdr:cNvSpPr txBox="1">
          <a:spLocks noChangeArrowheads="1"/>
        </xdr:cNvSpPr>
      </xdr:nvSpPr>
      <xdr:spPr bwMode="auto">
        <a:xfrm>
          <a:off x="2558141" y="14702518"/>
          <a:ext cx="344779" cy="25821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1947765</xdr:colOff>
      <xdr:row>6</xdr:row>
      <xdr:rowOff>307971</xdr:rowOff>
    </xdr:from>
    <xdr:to>
      <xdr:col>1</xdr:col>
      <xdr:colOff>2352688</xdr:colOff>
      <xdr:row>7</xdr:row>
      <xdr:rowOff>217349</xdr:rowOff>
    </xdr:to>
    <xdr:sp macro="" textlink="">
      <xdr:nvSpPr>
        <xdr:cNvPr id="164" name="Text Box 255">
          <a:extLst>
            <a:ext uri="{FF2B5EF4-FFF2-40B4-BE49-F238E27FC236}">
              <a16:creationId xmlns:a16="http://schemas.microsoft.com/office/drawing/2014/main" id="{00000000-0008-0000-0600-0000A4000000}"/>
            </a:ext>
          </a:extLst>
        </xdr:cNvPr>
        <xdr:cNvSpPr txBox="1">
          <a:spLocks noChangeArrowheads="1"/>
        </xdr:cNvSpPr>
      </xdr:nvSpPr>
      <xdr:spPr bwMode="auto">
        <a:xfrm>
          <a:off x="2659146" y="5143500"/>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1945826</xdr:colOff>
      <xdr:row>10</xdr:row>
      <xdr:rowOff>26849</xdr:rowOff>
    </xdr:from>
    <xdr:to>
      <xdr:col>1</xdr:col>
      <xdr:colOff>2350749</xdr:colOff>
      <xdr:row>11</xdr:row>
      <xdr:rowOff>189319</xdr:rowOff>
    </xdr:to>
    <xdr:sp macro="" textlink="">
      <xdr:nvSpPr>
        <xdr:cNvPr id="166" name="Text Box 255">
          <a:extLst>
            <a:ext uri="{FF2B5EF4-FFF2-40B4-BE49-F238E27FC236}">
              <a16:creationId xmlns:a16="http://schemas.microsoft.com/office/drawing/2014/main" id="{00000000-0008-0000-0600-0000A6000000}"/>
            </a:ext>
          </a:extLst>
        </xdr:cNvPr>
        <xdr:cNvSpPr txBox="1">
          <a:spLocks noChangeArrowheads="1"/>
        </xdr:cNvSpPr>
      </xdr:nvSpPr>
      <xdr:spPr bwMode="auto">
        <a:xfrm>
          <a:off x="2653397" y="13355412"/>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1893344</xdr:colOff>
      <xdr:row>15</xdr:row>
      <xdr:rowOff>107884</xdr:rowOff>
    </xdr:from>
    <xdr:to>
      <xdr:col>1</xdr:col>
      <xdr:colOff>2283027</xdr:colOff>
      <xdr:row>16</xdr:row>
      <xdr:rowOff>254570</xdr:rowOff>
    </xdr:to>
    <xdr:sp macro="" textlink="">
      <xdr:nvSpPr>
        <xdr:cNvPr id="167" name="Text Box 255">
          <a:extLst>
            <a:ext uri="{FF2B5EF4-FFF2-40B4-BE49-F238E27FC236}">
              <a16:creationId xmlns:a16="http://schemas.microsoft.com/office/drawing/2014/main" id="{00000000-0008-0000-0600-0000A7000000}"/>
            </a:ext>
          </a:extLst>
        </xdr:cNvPr>
        <xdr:cNvSpPr txBox="1">
          <a:spLocks noChangeArrowheads="1"/>
        </xdr:cNvSpPr>
      </xdr:nvSpPr>
      <xdr:spPr bwMode="auto">
        <a:xfrm>
          <a:off x="2593295" y="21813384"/>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1873976</xdr:colOff>
      <xdr:row>19</xdr:row>
      <xdr:rowOff>80439</xdr:rowOff>
    </xdr:from>
    <xdr:to>
      <xdr:col>1</xdr:col>
      <xdr:colOff>2278899</xdr:colOff>
      <xdr:row>20</xdr:row>
      <xdr:rowOff>220320</xdr:rowOff>
    </xdr:to>
    <xdr:sp macro="" textlink="">
      <xdr:nvSpPr>
        <xdr:cNvPr id="168" name="Text Box 255">
          <a:extLst>
            <a:ext uri="{FF2B5EF4-FFF2-40B4-BE49-F238E27FC236}">
              <a16:creationId xmlns:a16="http://schemas.microsoft.com/office/drawing/2014/main" id="{00000000-0008-0000-0600-0000A8000000}"/>
            </a:ext>
          </a:extLst>
        </xdr:cNvPr>
        <xdr:cNvSpPr txBox="1">
          <a:spLocks noChangeArrowheads="1"/>
        </xdr:cNvSpPr>
      </xdr:nvSpPr>
      <xdr:spPr bwMode="auto">
        <a:xfrm>
          <a:off x="2585357" y="30017359"/>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1603737</xdr:colOff>
      <xdr:row>20</xdr:row>
      <xdr:rowOff>1679279</xdr:rowOff>
    </xdr:from>
    <xdr:to>
      <xdr:col>1</xdr:col>
      <xdr:colOff>2008660</xdr:colOff>
      <xdr:row>20</xdr:row>
      <xdr:rowOff>1946441</xdr:rowOff>
    </xdr:to>
    <xdr:sp macro="" textlink="">
      <xdr:nvSpPr>
        <xdr:cNvPr id="169" name="Text Box 255">
          <a:extLst>
            <a:ext uri="{FF2B5EF4-FFF2-40B4-BE49-F238E27FC236}">
              <a16:creationId xmlns:a16="http://schemas.microsoft.com/office/drawing/2014/main" id="{00000000-0008-0000-0600-0000A9000000}"/>
            </a:ext>
          </a:extLst>
        </xdr:cNvPr>
        <xdr:cNvSpPr txBox="1">
          <a:spLocks noChangeArrowheads="1"/>
        </xdr:cNvSpPr>
      </xdr:nvSpPr>
      <xdr:spPr bwMode="auto">
        <a:xfrm>
          <a:off x="2313213" y="31813504"/>
          <a:ext cx="397303" cy="267162"/>
        </a:xfrm>
        <a:prstGeom prst="rect">
          <a:avLst/>
        </a:prstGeom>
        <a:noFill/>
        <a:ln w="9525">
          <a:noFill/>
          <a:miter lim="800000"/>
          <a:headEnd/>
          <a:tailEnd/>
        </a:ln>
      </xdr:spPr>
      <xdr:txBody>
        <a:bodyPr vertOverflow="clip" wrap="square" lIns="27432" tIns="27432" rIns="0" bIns="0" anchor="ctr" upright="1"/>
        <a:lstStyle/>
        <a:p>
          <a:pPr algn="ctr" rtl="0">
            <a:spcAft>
              <a:spcPts val="600"/>
            </a:spcAft>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oneCell">
    <xdr:from>
      <xdr:col>1</xdr:col>
      <xdr:colOff>0</xdr:colOff>
      <xdr:row>18</xdr:row>
      <xdr:rowOff>0</xdr:rowOff>
    </xdr:from>
    <xdr:to>
      <xdr:col>1</xdr:col>
      <xdr:colOff>6812280</xdr:colOff>
      <xdr:row>18</xdr:row>
      <xdr:rowOff>3940516</xdr:rowOff>
    </xdr:to>
    <xdr:pic>
      <xdr:nvPicPr>
        <xdr:cNvPr id="165" name="Picture 164">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571" y="26005971"/>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6812280</xdr:colOff>
      <xdr:row>14</xdr:row>
      <xdr:rowOff>10773</xdr:rowOff>
    </xdr:to>
    <xdr:pic>
      <xdr:nvPicPr>
        <xdr:cNvPr id="170" name="Picture 169">
          <a:extLst>
            <a:ext uri="{FF2B5EF4-FFF2-40B4-BE49-F238E27FC236}">
              <a16:creationId xmlns:a16="http://schemas.microsoft.com/office/drawing/2014/main" id="{00000000-0008-0000-0600-0000A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7571" y="17645743"/>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6812280</xdr:colOff>
      <xdr:row>9</xdr:row>
      <xdr:rowOff>3940516</xdr:rowOff>
    </xdr:to>
    <xdr:pic>
      <xdr:nvPicPr>
        <xdr:cNvPr id="171" name="Picture 170">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7571" y="9405257"/>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6812280</xdr:colOff>
      <xdr:row>4</xdr:row>
      <xdr:rowOff>3940516</xdr:rowOff>
    </xdr:to>
    <xdr:pic>
      <xdr:nvPicPr>
        <xdr:cNvPr id="172" name="Picture 171">
          <a:extLst>
            <a:ext uri="{FF2B5EF4-FFF2-40B4-BE49-F238E27FC236}">
              <a16:creationId xmlns:a16="http://schemas.microsoft.com/office/drawing/2014/main" id="{00000000-0008-0000-0600-0000A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7571" y="740229"/>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569071</xdr:colOff>
      <xdr:row>17</xdr:row>
      <xdr:rowOff>102345</xdr:rowOff>
    </xdr:from>
    <xdr:to>
      <xdr:col>21</xdr:col>
      <xdr:colOff>976592</xdr:colOff>
      <xdr:row>46</xdr:row>
      <xdr:rowOff>45196</xdr:rowOff>
    </xdr:to>
    <xdr:graphicFrame macro="">
      <xdr:nvGraphicFramePr>
        <xdr:cNvPr id="2" name="Chart 102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579743</xdr:colOff>
      <xdr:row>17</xdr:row>
      <xdr:rowOff>114617</xdr:rowOff>
    </xdr:from>
    <xdr:to>
      <xdr:col>21</xdr:col>
      <xdr:colOff>987264</xdr:colOff>
      <xdr:row>46</xdr:row>
      <xdr:rowOff>63872</xdr:rowOff>
    </xdr:to>
    <xdr:graphicFrame macro="">
      <xdr:nvGraphicFramePr>
        <xdr:cNvPr id="3" name="Chart 1029">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8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425">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31</xdr:col>
      <xdr:colOff>238125</xdr:colOff>
      <xdr:row>46</xdr:row>
      <xdr:rowOff>95250</xdr:rowOff>
    </xdr:from>
    <xdr:to>
      <xdr:col>42</xdr:col>
      <xdr:colOff>200025</xdr:colOff>
      <xdr:row>75</xdr:row>
      <xdr:rowOff>114300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209550</xdr:colOff>
      <xdr:row>9</xdr:row>
      <xdr:rowOff>123825</xdr:rowOff>
    </xdr:from>
    <xdr:to>
      <xdr:col>41</xdr:col>
      <xdr:colOff>152400</xdr:colOff>
      <xdr:row>38</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200025</xdr:colOff>
      <xdr:row>9</xdr:row>
      <xdr:rowOff>117232</xdr:rowOff>
    </xdr:from>
    <xdr:to>
      <xdr:col>29</xdr:col>
      <xdr:colOff>632312</xdr:colOff>
      <xdr:row>38</xdr:row>
      <xdr:rowOff>145807</xdr:rowOff>
    </xdr:to>
    <xdr:graphicFrame macro="">
      <xdr:nvGraphicFramePr>
        <xdr:cNvPr id="4" name="Chart 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428">
      <xdr:nvSpPr>
        <xdr:cNvPr id="5" name="Text Box 24">
          <a:extLst>
            <a:ext uri="{FF2B5EF4-FFF2-40B4-BE49-F238E27FC236}">
              <a16:creationId xmlns:a16="http://schemas.microsoft.com/office/drawing/2014/main" id="{00000000-0008-0000-09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91.7%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429">
      <xdr:nvSpPr>
        <xdr:cNvPr id="6" name="Text Box 24">
          <a:extLst>
            <a:ext uri="{FF2B5EF4-FFF2-40B4-BE49-F238E27FC236}">
              <a16:creationId xmlns:a16="http://schemas.microsoft.com/office/drawing/2014/main" id="{00000000-0008-0000-09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87.8%</a:t>
          </a:fld>
          <a:endParaRPr lang="en-US" sz="900" b="1" i="0" u="none" strike="noStrike" baseline="0">
            <a:solidFill>
              <a:srgbClr val="000000"/>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Visio_Drawing.vsdx"/><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oleObject" Target="../embeddings/Microsoft_Visio_2003-2010_Drawing.vsd"/><Relationship Id="rId5" Type="http://schemas.openxmlformats.org/officeDocument/2006/relationships/vmlDrawing" Target="../drawings/vmlDrawing3.vml"/><Relationship Id="rId10" Type="http://schemas.openxmlformats.org/officeDocument/2006/relationships/comments" Target="../comments2.xml"/><Relationship Id="rId4" Type="http://schemas.openxmlformats.org/officeDocument/2006/relationships/drawing" Target="../drawings/drawing2.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13" Type="http://schemas.openxmlformats.org/officeDocument/2006/relationships/image" Target="../media/image21.emf"/><Relationship Id="rId3" Type="http://schemas.openxmlformats.org/officeDocument/2006/relationships/vmlDrawing" Target="../drawings/vmlDrawing6.vml"/><Relationship Id="rId7" Type="http://schemas.openxmlformats.org/officeDocument/2006/relationships/image" Target="../media/image18.emf"/><Relationship Id="rId12" Type="http://schemas.openxmlformats.org/officeDocument/2006/relationships/package" Target="../embeddings/Microsoft_Visio_Drawing5.vsdx"/><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package" Target="../embeddings/Microsoft_Visio_Drawing2.vsdx"/><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19.emf"/><Relationship Id="rId14" Type="http://schemas.openxmlformats.org/officeDocument/2006/relationships/package" Target="../embeddings/Microsoft_Visio_Drawing6.vsdx"/></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H454"/>
  <sheetViews>
    <sheetView tabSelected="1" zoomScaleNormal="100" zoomScaleSheetLayoutView="100" workbookViewId="0">
      <selection activeCell="F82" sqref="F82"/>
    </sheetView>
  </sheetViews>
  <sheetFormatPr defaultColWidth="9.08984375" defaultRowHeight="13" x14ac:dyDescent="0.3"/>
  <cols>
    <col min="1" max="1" width="8.36328125" style="187" customWidth="1"/>
    <col min="2" max="2" width="8.36328125" style="79" customWidth="1"/>
    <col min="3" max="3" width="13.54296875" style="79" customWidth="1"/>
    <col min="4" max="4" width="8.36328125" style="79" customWidth="1"/>
    <col min="5" max="5" width="8.54296875" style="79" customWidth="1"/>
    <col min="6" max="6" width="7.54296875" style="79" customWidth="1"/>
    <col min="7" max="7" width="14" style="79" customWidth="1"/>
    <col min="8" max="8" width="6.54296875" style="79" customWidth="1"/>
    <col min="9" max="9" width="6.6328125" style="79" customWidth="1"/>
    <col min="10" max="10" width="7.54296875" style="79" customWidth="1"/>
    <col min="11" max="11" width="12.453125" style="79" bestFit="1" customWidth="1"/>
    <col min="12" max="14" width="9.08984375" style="79"/>
    <col min="15" max="15" width="10.08984375" style="79" customWidth="1"/>
    <col min="16" max="16" width="89" style="79" customWidth="1"/>
    <col min="17" max="17" width="3.08984375" style="79" customWidth="1"/>
    <col min="18" max="18" width="10" style="79" bestFit="1" customWidth="1"/>
    <col min="19" max="16384" width="9.08984375" style="79"/>
  </cols>
  <sheetData>
    <row r="1" spans="1:17" ht="47.25" customHeight="1" x14ac:dyDescent="0.3">
      <c r="A1" s="787" t="s">
        <v>919</v>
      </c>
      <c r="B1" s="788"/>
      <c r="C1" s="788"/>
      <c r="D1" s="788"/>
      <c r="E1" s="788"/>
      <c r="F1" s="788"/>
      <c r="G1" s="788"/>
      <c r="H1" s="788"/>
      <c r="I1" s="788"/>
      <c r="J1" s="788"/>
      <c r="K1" s="788"/>
      <c r="L1" s="788"/>
      <c r="M1" s="788"/>
      <c r="N1" s="788"/>
      <c r="O1" s="788"/>
      <c r="P1" s="788"/>
      <c r="Q1" s="484"/>
    </row>
    <row r="2" spans="1:17" ht="14.15" customHeight="1" x14ac:dyDescent="0.65">
      <c r="A2" s="487"/>
      <c r="B2" s="488"/>
      <c r="C2" s="488"/>
      <c r="D2" s="488"/>
      <c r="E2" s="488"/>
      <c r="F2" s="488"/>
      <c r="G2" s="488"/>
      <c r="H2" s="488"/>
      <c r="I2" s="488"/>
      <c r="J2" s="488"/>
      <c r="K2" s="488"/>
      <c r="L2" s="488"/>
      <c r="M2" s="488"/>
      <c r="N2" s="502" t="s">
        <v>585</v>
      </c>
      <c r="O2" s="488"/>
      <c r="P2" s="488"/>
      <c r="Q2" s="484"/>
    </row>
    <row r="3" spans="1:17" ht="16.25" customHeight="1" x14ac:dyDescent="0.65">
      <c r="A3" s="489" t="s">
        <v>232</v>
      </c>
      <c r="B3" s="490"/>
      <c r="C3" s="501" t="s">
        <v>233</v>
      </c>
      <c r="D3" s="491"/>
      <c r="E3" s="119"/>
      <c r="F3" s="495" t="s">
        <v>145</v>
      </c>
      <c r="G3" s="496"/>
      <c r="H3" s="488"/>
      <c r="I3" s="496"/>
      <c r="J3" s="497"/>
      <c r="K3" s="498"/>
      <c r="L3" s="484"/>
      <c r="M3" s="484"/>
      <c r="N3" s="786" t="s">
        <v>51</v>
      </c>
      <c r="O3" s="786"/>
      <c r="P3" s="484" t="s">
        <v>165</v>
      </c>
      <c r="Q3" s="484"/>
    </row>
    <row r="4" spans="1:17" ht="13.5" customHeight="1" thickBot="1" x14ac:dyDescent="0.5">
      <c r="A4" s="492"/>
      <c r="B4" s="493"/>
      <c r="C4" s="494"/>
      <c r="D4" s="494"/>
      <c r="E4" s="494"/>
      <c r="F4" s="494"/>
      <c r="G4" s="494"/>
      <c r="H4" s="494"/>
      <c r="I4" s="494"/>
      <c r="J4" s="494"/>
      <c r="K4" s="494"/>
      <c r="L4" s="499"/>
      <c r="M4" s="499"/>
      <c r="N4" s="499"/>
      <c r="O4" s="499"/>
      <c r="P4" s="500"/>
      <c r="Q4" s="484"/>
    </row>
    <row r="5" spans="1:17" ht="20.149999999999999" customHeight="1" thickBot="1" x14ac:dyDescent="0.5">
      <c r="A5" s="182" t="s">
        <v>222</v>
      </c>
      <c r="B5" s="118"/>
      <c r="C5" s="80"/>
      <c r="D5" s="80"/>
      <c r="E5" s="82"/>
      <c r="F5" s="80"/>
      <c r="G5" s="107"/>
      <c r="H5" s="83"/>
      <c r="I5" s="83"/>
      <c r="J5" s="83"/>
      <c r="K5" s="83"/>
      <c r="L5" s="83"/>
      <c r="M5" s="83"/>
      <c r="N5" s="83"/>
      <c r="O5" s="83"/>
      <c r="P5" s="106"/>
      <c r="Q5" s="484"/>
    </row>
    <row r="6" spans="1:17" ht="15.75" customHeight="1" x14ac:dyDescent="0.3">
      <c r="A6" s="261"/>
      <c r="B6" s="613"/>
      <c r="C6" s="614"/>
      <c r="D6" s="615" t="s">
        <v>690</v>
      </c>
      <c r="E6" s="616">
        <v>5</v>
      </c>
      <c r="F6" s="617" t="s">
        <v>0</v>
      </c>
      <c r="G6" s="129"/>
      <c r="H6" s="127"/>
      <c r="I6" s="83"/>
      <c r="J6" s="83"/>
      <c r="K6" s="83"/>
      <c r="L6" s="83"/>
      <c r="M6" s="83"/>
      <c r="N6" s="83"/>
      <c r="O6" s="83"/>
      <c r="P6" s="106"/>
      <c r="Q6" s="484"/>
    </row>
    <row r="7" spans="1:17" ht="13.5" customHeight="1" x14ac:dyDescent="0.3">
      <c r="A7" s="254"/>
      <c r="B7" s="253"/>
      <c r="C7" s="255"/>
      <c r="D7" s="265" t="s">
        <v>691</v>
      </c>
      <c r="E7" s="266">
        <v>6.6</v>
      </c>
      <c r="F7" s="278" t="s">
        <v>0</v>
      </c>
      <c r="G7" s="129"/>
      <c r="H7" s="127"/>
      <c r="I7" s="83"/>
      <c r="J7" s="83"/>
      <c r="K7" s="83"/>
      <c r="L7" s="83"/>
      <c r="M7" s="83"/>
      <c r="N7" s="83"/>
      <c r="O7" s="83"/>
      <c r="P7" s="106"/>
      <c r="Q7" s="484"/>
    </row>
    <row r="8" spans="1:17" ht="13.5" customHeight="1" x14ac:dyDescent="0.3">
      <c r="A8" s="254"/>
      <c r="B8" s="253"/>
      <c r="C8" s="255"/>
      <c r="D8" s="265" t="s">
        <v>692</v>
      </c>
      <c r="E8" s="266">
        <v>7.4</v>
      </c>
      <c r="F8" s="267" t="s">
        <v>0</v>
      </c>
      <c r="G8" s="129"/>
      <c r="H8" s="127"/>
      <c r="I8" s="83"/>
      <c r="J8" s="83"/>
      <c r="K8" s="83"/>
      <c r="L8" s="83"/>
      <c r="M8" s="83"/>
      <c r="N8" s="83"/>
      <c r="O8" s="83"/>
      <c r="P8" s="106"/>
      <c r="Q8" s="484"/>
    </row>
    <row r="9" spans="1:17" ht="13.5" customHeight="1" x14ac:dyDescent="0.3">
      <c r="A9" s="254"/>
      <c r="B9" s="253"/>
      <c r="C9" s="255"/>
      <c r="D9" s="265" t="s">
        <v>699</v>
      </c>
      <c r="E9" s="266">
        <v>3.3</v>
      </c>
      <c r="F9" s="267" t="s">
        <v>0</v>
      </c>
      <c r="G9" s="129"/>
      <c r="H9" s="127"/>
      <c r="I9" s="83"/>
      <c r="J9" s="83"/>
      <c r="K9" s="83"/>
      <c r="L9" s="83"/>
      <c r="M9" s="83"/>
      <c r="N9" s="83"/>
      <c r="O9" s="83"/>
      <c r="P9" s="106"/>
      <c r="Q9" s="484"/>
    </row>
    <row r="10" spans="1:17" ht="13.5" customHeight="1" x14ac:dyDescent="0.3">
      <c r="A10" s="254"/>
      <c r="B10" s="253"/>
      <c r="C10" s="255"/>
      <c r="D10" s="265" t="s">
        <v>700</v>
      </c>
      <c r="E10" s="266">
        <v>1.75</v>
      </c>
      <c r="F10" s="267" t="s">
        <v>1</v>
      </c>
      <c r="G10" s="610"/>
      <c r="H10" s="112"/>
      <c r="I10" s="590"/>
      <c r="J10" s="590"/>
      <c r="K10" s="83"/>
      <c r="L10" s="83"/>
      <c r="M10" s="83"/>
      <c r="N10" s="83"/>
      <c r="O10" s="83"/>
      <c r="P10" s="106"/>
      <c r="Q10" s="484"/>
    </row>
    <row r="11" spans="1:17" ht="13.5" customHeight="1" x14ac:dyDescent="0.3">
      <c r="A11" s="254"/>
      <c r="B11" s="253"/>
      <c r="C11" s="255"/>
      <c r="D11" s="265" t="s">
        <v>693</v>
      </c>
      <c r="E11" s="268">
        <v>405.68</v>
      </c>
      <c r="F11" s="267" t="s">
        <v>2</v>
      </c>
      <c r="G11" s="606"/>
      <c r="H11" s="134"/>
      <c r="I11" s="112"/>
      <c r="J11" s="112"/>
      <c r="K11" s="83"/>
      <c r="L11" s="83"/>
      <c r="M11" s="83"/>
      <c r="N11" s="83"/>
      <c r="O11" s="83"/>
      <c r="P11" s="106"/>
      <c r="Q11" s="484"/>
    </row>
    <row r="12" spans="1:17" ht="13.5" customHeight="1" x14ac:dyDescent="0.3">
      <c r="A12" s="572"/>
      <c r="B12" s="253"/>
      <c r="C12" s="255"/>
      <c r="D12" s="255" t="s">
        <v>273</v>
      </c>
      <c r="E12" s="255">
        <f>'Variable Management'!C443</f>
        <v>53.6</v>
      </c>
      <c r="F12" s="257" t="s">
        <v>50</v>
      </c>
      <c r="G12" s="606"/>
      <c r="H12" s="134"/>
      <c r="I12" s="112"/>
      <c r="J12" s="112"/>
      <c r="K12" s="83"/>
      <c r="L12" s="83"/>
      <c r="M12" s="83"/>
      <c r="N12" s="83"/>
      <c r="O12" s="83"/>
      <c r="P12" s="106"/>
      <c r="Q12" s="484"/>
    </row>
    <row r="13" spans="1:17" ht="17.25" customHeight="1" thickBot="1" x14ac:dyDescent="0.35">
      <c r="A13" s="259"/>
      <c r="B13" s="543"/>
      <c r="C13" s="272"/>
      <c r="D13" s="574" t="s">
        <v>689</v>
      </c>
      <c r="E13" s="587">
        <v>25</v>
      </c>
      <c r="F13" s="573" t="s">
        <v>223</v>
      </c>
      <c r="G13" s="606"/>
      <c r="H13" s="134"/>
      <c r="I13" s="112"/>
      <c r="J13" s="112"/>
      <c r="K13" s="83"/>
      <c r="L13" s="83"/>
      <c r="M13" s="83"/>
      <c r="N13" s="83"/>
      <c r="O13" s="83"/>
      <c r="P13" s="106"/>
      <c r="Q13" s="484"/>
    </row>
    <row r="14" spans="1:17" ht="17.25" customHeight="1" x14ac:dyDescent="0.3">
      <c r="A14" s="572"/>
      <c r="B14" s="253"/>
      <c r="C14" s="255"/>
      <c r="D14" s="589"/>
      <c r="E14" s="589"/>
      <c r="F14" s="590"/>
      <c r="G14" s="606"/>
      <c r="H14" s="134"/>
      <c r="I14" s="112"/>
      <c r="J14" s="112"/>
      <c r="K14" s="83"/>
      <c r="L14" s="83"/>
      <c r="M14" s="83"/>
      <c r="N14" s="83"/>
      <c r="O14" s="83"/>
      <c r="P14" s="106"/>
      <c r="Q14" s="484"/>
    </row>
    <row r="15" spans="1:17" ht="20.149999999999999" customHeight="1" thickBot="1" x14ac:dyDescent="0.4">
      <c r="A15" s="182" t="s">
        <v>755</v>
      </c>
      <c r="B15" s="131"/>
      <c r="C15" s="127"/>
      <c r="D15" s="127"/>
      <c r="E15" s="127"/>
      <c r="F15" s="127"/>
      <c r="G15" s="606"/>
      <c r="H15" s="134"/>
      <c r="I15" s="112"/>
      <c r="J15" s="112"/>
      <c r="K15" s="83"/>
      <c r="L15" s="83"/>
      <c r="M15" s="83"/>
      <c r="N15" s="83"/>
      <c r="O15" s="83"/>
      <c r="P15" s="106"/>
      <c r="Q15" s="484"/>
    </row>
    <row r="16" spans="1:17" ht="15" customHeight="1" x14ac:dyDescent="0.4">
      <c r="A16" s="261"/>
      <c r="B16" s="153"/>
      <c r="C16" s="153"/>
      <c r="D16" s="155" t="s">
        <v>609</v>
      </c>
      <c r="E16" s="293">
        <v>1.75</v>
      </c>
      <c r="F16" s="156" t="s">
        <v>1</v>
      </c>
      <c r="G16" s="610"/>
      <c r="H16" s="134"/>
      <c r="I16" s="581"/>
      <c r="J16" s="581"/>
      <c r="K16" s="83"/>
      <c r="L16" s="83"/>
      <c r="M16" s="83"/>
      <c r="N16" s="83"/>
      <c r="O16" s="83"/>
      <c r="P16" s="106"/>
      <c r="Q16" s="484"/>
    </row>
    <row r="17" spans="1:17" ht="15" customHeight="1" x14ac:dyDescent="0.3">
      <c r="A17" s="254"/>
      <c r="B17" s="127"/>
      <c r="C17" s="127"/>
      <c r="D17" s="124" t="s">
        <v>949</v>
      </c>
      <c r="E17" s="295">
        <f>Rs_ideal*1000</f>
        <v>29.244362836285781</v>
      </c>
      <c r="F17" s="162" t="s">
        <v>49</v>
      </c>
      <c r="G17" s="606"/>
      <c r="H17" s="134"/>
      <c r="I17" s="536"/>
      <c r="J17" s="134"/>
      <c r="K17" s="83"/>
      <c r="L17" s="83"/>
      <c r="M17" s="83"/>
      <c r="N17" s="83"/>
      <c r="O17" s="83"/>
      <c r="P17" s="106"/>
      <c r="Q17" s="484"/>
    </row>
    <row r="18" spans="1:17" ht="14" customHeight="1" x14ac:dyDescent="0.4">
      <c r="A18" s="254"/>
      <c r="B18" s="127"/>
      <c r="C18" s="127"/>
      <c r="D18" s="152" t="s">
        <v>948</v>
      </c>
      <c r="E18" s="128">
        <v>25</v>
      </c>
      <c r="F18" s="157" t="s">
        <v>49</v>
      </c>
      <c r="G18" s="606"/>
      <c r="H18" s="134"/>
      <c r="I18" s="581"/>
      <c r="J18" s="581"/>
      <c r="K18" s="83"/>
      <c r="L18" s="83"/>
      <c r="M18" s="83"/>
      <c r="N18" s="83"/>
      <c r="O18" s="83"/>
      <c r="P18" s="106"/>
      <c r="Q18" s="484"/>
    </row>
    <row r="19" spans="1:17" ht="13.5" customHeight="1" x14ac:dyDescent="0.4">
      <c r="A19" s="254"/>
      <c r="B19" s="127"/>
      <c r="C19" s="127"/>
      <c r="D19" s="513" t="s">
        <v>639</v>
      </c>
      <c r="E19" s="536">
        <f>'Variable Management'!B95</f>
        <v>2.4</v>
      </c>
      <c r="F19" s="162" t="s">
        <v>1</v>
      </c>
      <c r="G19" s="606"/>
      <c r="H19" s="134"/>
      <c r="I19" s="536"/>
      <c r="J19" s="134"/>
      <c r="K19" s="83"/>
      <c r="L19" s="83"/>
      <c r="M19" s="83"/>
      <c r="N19" s="83"/>
      <c r="O19" s="83"/>
      <c r="P19" s="106"/>
      <c r="Q19" s="484"/>
    </row>
    <row r="20" spans="1:17" ht="14" customHeight="1" x14ac:dyDescent="0.3">
      <c r="A20" s="254"/>
      <c r="B20" s="127"/>
      <c r="C20" s="127"/>
      <c r="D20" s="513" t="s">
        <v>950</v>
      </c>
      <c r="E20" s="514">
        <f>'Variable Management'!B105</f>
        <v>0.12083174736098196</v>
      </c>
      <c r="F20" s="162" t="s">
        <v>116</v>
      </c>
      <c r="G20" s="606"/>
      <c r="H20" s="134"/>
      <c r="I20" s="514"/>
      <c r="J20" s="134"/>
      <c r="K20" s="83"/>
      <c r="L20" s="83"/>
      <c r="M20" s="83"/>
      <c r="N20" s="83"/>
      <c r="O20" s="83"/>
      <c r="P20" s="106"/>
      <c r="Q20" s="484"/>
    </row>
    <row r="21" spans="1:17" ht="14" customHeight="1" x14ac:dyDescent="0.4">
      <c r="A21" s="254"/>
      <c r="B21" s="127"/>
      <c r="C21" s="112"/>
      <c r="D21" s="294" t="s">
        <v>274</v>
      </c>
      <c r="E21" s="256">
        <f>'Variable Management'!B97</f>
        <v>2.1952907010414933</v>
      </c>
      <c r="F21" s="257" t="s">
        <v>1</v>
      </c>
      <c r="G21" s="606"/>
      <c r="H21" s="134"/>
      <c r="I21" s="603"/>
      <c r="J21" s="601"/>
      <c r="K21" s="83"/>
      <c r="L21" s="83"/>
      <c r="M21" s="83"/>
      <c r="N21" s="83"/>
      <c r="O21" s="83"/>
      <c r="P21" s="106"/>
      <c r="Q21" s="484"/>
    </row>
    <row r="22" spans="1:17" ht="14" customHeight="1" x14ac:dyDescent="0.4">
      <c r="A22" s="254"/>
      <c r="B22" s="127"/>
      <c r="C22" s="124" t="s">
        <v>501</v>
      </c>
      <c r="D22" s="294" t="s">
        <v>275</v>
      </c>
      <c r="E22" s="256">
        <f>'Variable Management'!B98</f>
        <v>2.0983225421634666</v>
      </c>
      <c r="F22" s="257" t="s">
        <v>1</v>
      </c>
      <c r="G22" s="606"/>
      <c r="H22" s="607"/>
      <c r="I22" s="603"/>
      <c r="J22" s="601"/>
      <c r="K22" s="83"/>
      <c r="L22" s="83"/>
      <c r="M22" s="83"/>
      <c r="N22" s="83"/>
      <c r="O22" s="83"/>
      <c r="P22" s="106"/>
      <c r="Q22" s="484"/>
    </row>
    <row r="23" spans="1:17" ht="13.5" customHeight="1" thickBot="1" x14ac:dyDescent="0.45">
      <c r="A23" s="273"/>
      <c r="B23" s="174"/>
      <c r="C23" s="174"/>
      <c r="D23" s="544" t="s">
        <v>276</v>
      </c>
      <c r="E23" s="545">
        <f>'Variable Management'!B99</f>
        <v>2.0654706092438331</v>
      </c>
      <c r="F23" s="275" t="s">
        <v>1</v>
      </c>
      <c r="G23" s="610"/>
      <c r="H23" s="134"/>
      <c r="I23" s="603"/>
      <c r="J23" s="601"/>
      <c r="K23" s="83"/>
      <c r="L23" s="83"/>
      <c r="M23" s="83"/>
      <c r="N23" s="83"/>
      <c r="O23" s="83"/>
      <c r="P23" s="106"/>
      <c r="Q23" s="484"/>
    </row>
    <row r="24" spans="1:17" ht="17.25" customHeight="1" x14ac:dyDescent="0.3">
      <c r="A24" s="572"/>
      <c r="B24" s="253"/>
      <c r="C24" s="255"/>
      <c r="D24" s="589"/>
      <c r="E24" s="589"/>
      <c r="F24" s="590"/>
      <c r="G24" s="606"/>
      <c r="H24" s="134"/>
      <c r="I24" s="112"/>
      <c r="J24" s="112"/>
      <c r="K24" s="83"/>
      <c r="L24" s="83"/>
      <c r="M24" s="83"/>
      <c r="N24" s="83"/>
      <c r="O24" s="83"/>
      <c r="P24" s="106"/>
      <c r="Q24" s="484"/>
    </row>
    <row r="25" spans="1:17" ht="19.5" customHeight="1" thickBot="1" x14ac:dyDescent="0.4">
      <c r="A25" s="182" t="s">
        <v>754</v>
      </c>
      <c r="B25" s="131"/>
      <c r="C25" s="132"/>
      <c r="D25" s="132"/>
      <c r="E25" s="133"/>
      <c r="F25" s="132"/>
      <c r="G25" s="606"/>
      <c r="H25" s="134"/>
      <c r="I25" s="112"/>
      <c r="J25" s="112"/>
      <c r="K25" s="83"/>
      <c r="L25" s="83"/>
      <c r="M25" s="83"/>
      <c r="N25" s="83"/>
      <c r="O25" s="83"/>
      <c r="P25" s="106"/>
      <c r="Q25" s="484"/>
    </row>
    <row r="26" spans="1:17" ht="13.5" customHeight="1" x14ac:dyDescent="0.3">
      <c r="A26" s="183"/>
      <c r="B26" s="153"/>
      <c r="C26" s="154"/>
      <c r="D26" s="154" t="s">
        <v>946</v>
      </c>
      <c r="E26" s="541">
        <f>Lopt*1000000</f>
        <v>8.9508035195991571</v>
      </c>
      <c r="F26" s="161" t="s">
        <v>214</v>
      </c>
      <c r="G26" s="610"/>
      <c r="H26" s="134"/>
      <c r="I26" s="612"/>
      <c r="J26" s="134"/>
      <c r="K26" s="83"/>
      <c r="L26" s="83"/>
      <c r="M26" s="83"/>
      <c r="N26" s="83"/>
      <c r="O26" s="83"/>
      <c r="P26" s="106"/>
      <c r="Q26" s="484"/>
    </row>
    <row r="27" spans="1:17" ht="13.5" customHeight="1" x14ac:dyDescent="0.4">
      <c r="A27" s="126"/>
      <c r="B27" s="127"/>
      <c r="C27" s="124"/>
      <c r="D27" s="152" t="s">
        <v>748</v>
      </c>
      <c r="E27" s="128">
        <v>6.8</v>
      </c>
      <c r="F27" s="157" t="s">
        <v>214</v>
      </c>
      <c r="G27" s="606"/>
      <c r="H27" s="607"/>
      <c r="I27" s="581"/>
      <c r="J27" s="581"/>
      <c r="K27" s="83"/>
      <c r="L27" s="83"/>
      <c r="M27" s="83"/>
      <c r="N27" s="83"/>
      <c r="O27" s="83"/>
      <c r="P27" s="106"/>
      <c r="Q27" s="484"/>
    </row>
    <row r="28" spans="1:17" ht="13.5" customHeight="1" x14ac:dyDescent="0.3">
      <c r="A28" s="126"/>
      <c r="B28" s="127"/>
      <c r="C28" s="124"/>
      <c r="D28" s="152" t="s">
        <v>740</v>
      </c>
      <c r="E28" s="128">
        <v>4.0999999999999996</v>
      </c>
      <c r="F28" s="157" t="s">
        <v>49</v>
      </c>
      <c r="G28" s="606"/>
      <c r="H28" s="607"/>
      <c r="I28" s="581"/>
      <c r="J28" s="581"/>
      <c r="K28" s="83"/>
      <c r="L28" s="83"/>
      <c r="M28" s="83"/>
      <c r="N28" s="83"/>
      <c r="O28" s="83"/>
      <c r="P28" s="106"/>
      <c r="Q28" s="484"/>
    </row>
    <row r="29" spans="1:17" ht="13.5" customHeight="1" x14ac:dyDescent="0.3">
      <c r="A29" s="583"/>
      <c r="B29" s="127"/>
      <c r="C29" s="124"/>
      <c r="D29" s="255" t="s">
        <v>295</v>
      </c>
      <c r="E29" s="258">
        <f>'Variable Management'!B68*100</f>
        <v>34.477423752746645</v>
      </c>
      <c r="F29" s="257" t="s">
        <v>153</v>
      </c>
      <c r="G29" s="606"/>
      <c r="H29" s="607"/>
      <c r="I29" s="581"/>
      <c r="J29" s="581"/>
      <c r="K29" s="83"/>
      <c r="L29" s="83"/>
      <c r="M29" s="83"/>
      <c r="N29" s="83"/>
      <c r="O29" s="83"/>
      <c r="P29" s="106"/>
      <c r="Q29" s="484"/>
    </row>
    <row r="30" spans="1:17" ht="16.5" customHeight="1" thickBot="1" x14ac:dyDescent="0.35">
      <c r="A30" s="273"/>
      <c r="B30" s="274"/>
      <c r="C30" s="272"/>
      <c r="D30" s="767" t="s">
        <v>947</v>
      </c>
      <c r="E30" s="781">
        <v>0.2</v>
      </c>
      <c r="F30" s="779" t="s">
        <v>116</v>
      </c>
      <c r="G30" s="610"/>
      <c r="H30" s="134"/>
      <c r="I30" s="602"/>
      <c r="J30" s="601"/>
      <c r="K30" s="83"/>
      <c r="L30" s="83"/>
      <c r="M30" s="83"/>
      <c r="N30" s="83"/>
      <c r="O30" s="83"/>
      <c r="P30" s="106"/>
      <c r="Q30" s="484"/>
    </row>
    <row r="31" spans="1:17" ht="14.15" customHeight="1" x14ac:dyDescent="0.3">
      <c r="A31" s="126"/>
      <c r="B31" s="127"/>
      <c r="C31" s="134"/>
      <c r="D31" s="134"/>
      <c r="E31" s="134"/>
      <c r="F31" s="134"/>
      <c r="G31" s="134"/>
      <c r="H31" s="134"/>
      <c r="I31" s="112"/>
      <c r="J31" s="112"/>
      <c r="K31" s="83"/>
      <c r="L31" s="83"/>
      <c r="M31" s="83"/>
      <c r="N31" s="83"/>
      <c r="O31" s="83"/>
      <c r="P31" s="106"/>
      <c r="Q31" s="484"/>
    </row>
    <row r="32" spans="1:17" ht="18" thickBot="1" x14ac:dyDescent="0.4">
      <c r="A32" s="182" t="s">
        <v>587</v>
      </c>
      <c r="B32" s="131"/>
      <c r="C32" s="132"/>
      <c r="D32" s="132"/>
      <c r="E32" s="133"/>
      <c r="F32" s="132"/>
      <c r="G32" s="134"/>
      <c r="H32" s="134"/>
      <c r="I32" s="112"/>
      <c r="J32" s="112"/>
      <c r="K32" s="83"/>
      <c r="L32" s="83"/>
      <c r="M32" s="83"/>
      <c r="N32" s="83"/>
      <c r="O32" s="83"/>
      <c r="P32" s="106"/>
      <c r="Q32" s="484"/>
    </row>
    <row r="33" spans="1:17" ht="15.75" customHeight="1" x14ac:dyDescent="0.4">
      <c r="A33" s="172"/>
      <c r="B33" s="163"/>
      <c r="C33" s="154"/>
      <c r="D33" s="164" t="s">
        <v>741</v>
      </c>
      <c r="E33" s="165">
        <v>5</v>
      </c>
      <c r="F33" s="156" t="s">
        <v>920</v>
      </c>
      <c r="G33" s="582"/>
      <c r="H33" s="134"/>
      <c r="I33" s="633"/>
      <c r="J33" s="581"/>
      <c r="K33" s="83"/>
      <c r="L33" s="83"/>
      <c r="M33" s="83"/>
      <c r="N33" s="83"/>
      <c r="O33" s="83"/>
      <c r="P33" s="106"/>
      <c r="Q33" s="484"/>
    </row>
    <row r="34" spans="1:17" ht="14.15" customHeight="1" x14ac:dyDescent="0.3">
      <c r="A34" s="126"/>
      <c r="B34" s="127"/>
      <c r="C34" s="124"/>
      <c r="D34" s="124" t="s">
        <v>742</v>
      </c>
      <c r="E34" s="511">
        <f>'Variable Management'!B121</f>
        <v>37.181702060310236</v>
      </c>
      <c r="F34" s="162" t="s">
        <v>215</v>
      </c>
      <c r="G34" s="134"/>
      <c r="H34" s="134"/>
      <c r="I34" s="608"/>
      <c r="J34" s="134"/>
      <c r="K34" s="83"/>
      <c r="L34" s="83"/>
      <c r="M34" s="83"/>
      <c r="N34" s="83"/>
      <c r="O34" s="83"/>
      <c r="P34" s="106"/>
      <c r="Q34" s="484"/>
    </row>
    <row r="35" spans="1:17" ht="14.15" customHeight="1" x14ac:dyDescent="0.4">
      <c r="A35" s="126"/>
      <c r="B35" s="127"/>
      <c r="C35" s="124"/>
      <c r="D35" s="123" t="s">
        <v>758</v>
      </c>
      <c r="E35" s="130">
        <v>66</v>
      </c>
      <c r="F35" s="157" t="s">
        <v>215</v>
      </c>
      <c r="G35" s="606"/>
      <c r="H35" s="134"/>
      <c r="I35" s="633"/>
      <c r="J35" s="581"/>
      <c r="K35" s="791"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L35" s="791"/>
      <c r="M35" s="791"/>
      <c r="N35" s="791"/>
      <c r="O35" s="791"/>
      <c r="P35" s="792"/>
      <c r="Q35" s="484"/>
    </row>
    <row r="36" spans="1:17" ht="14.15" customHeight="1" x14ac:dyDescent="0.3">
      <c r="A36" s="126"/>
      <c r="B36" s="127"/>
      <c r="C36" s="124"/>
      <c r="D36" s="124" t="s">
        <v>726</v>
      </c>
      <c r="E36" s="560">
        <f>'Variable Management'!B125</f>
        <v>6.846817006660598</v>
      </c>
      <c r="F36" s="162" t="s">
        <v>49</v>
      </c>
      <c r="G36" s="606"/>
      <c r="H36" s="134"/>
      <c r="I36" s="144"/>
      <c r="J36" s="134"/>
      <c r="K36" s="791"/>
      <c r="L36" s="791"/>
      <c r="M36" s="791"/>
      <c r="N36" s="791"/>
      <c r="O36" s="791"/>
      <c r="P36" s="792"/>
      <c r="Q36" s="484"/>
    </row>
    <row r="37" spans="1:17" ht="14.15" customHeight="1" x14ac:dyDescent="0.3">
      <c r="A37" s="126"/>
      <c r="B37" s="127"/>
      <c r="C37" s="124"/>
      <c r="D37" s="123" t="s">
        <v>466</v>
      </c>
      <c r="E37" s="130">
        <v>1</v>
      </c>
      <c r="F37" s="157" t="s">
        <v>49</v>
      </c>
      <c r="G37" s="606"/>
      <c r="H37" s="134"/>
      <c r="I37" s="633"/>
      <c r="J37" s="581"/>
      <c r="K37" s="586" t="str">
        <f>CHOOSE(SCH_MODE,  "", "** Tie VCCX to GND if not used **", "** Slave controller (CNTRL2) not shown **","** Slave controller (CNTRL2) not shown **")</f>
        <v/>
      </c>
      <c r="L37" s="132"/>
      <c r="M37" s="83"/>
      <c r="N37" s="83"/>
      <c r="O37" s="83"/>
      <c r="P37" s="661" t="str">
        <f>IF(SCH_MODE=1,  "** Tie VCCX to GND if not used **", "")</f>
        <v>** Tie VCCX to GND if not used **</v>
      </c>
      <c r="Q37" s="484"/>
    </row>
    <row r="38" spans="1:17" ht="14.15" customHeight="1" x14ac:dyDescent="0.4">
      <c r="A38" s="126"/>
      <c r="B38" s="127"/>
      <c r="C38" s="127"/>
      <c r="D38" s="124" t="s">
        <v>539</v>
      </c>
      <c r="E38" s="151">
        <f>'Variable Management'!B127*1000</f>
        <v>2.8806899635901169</v>
      </c>
      <c r="F38" s="162" t="s">
        <v>921</v>
      </c>
      <c r="G38" s="606"/>
      <c r="H38" s="134"/>
      <c r="I38" s="609"/>
      <c r="J38" s="134"/>
      <c r="K38" s="270" t="str">
        <f>IF(OR(SCH_MODE=3, SCH_MODE=4),"** Tie VCCX to GND if not used **", "")</f>
        <v/>
      </c>
      <c r="L38" s="112"/>
      <c r="M38" s="83"/>
      <c r="N38" s="83"/>
      <c r="O38" s="83"/>
      <c r="P38" s="106"/>
      <c r="Q38" s="484"/>
    </row>
    <row r="39" spans="1:17" ht="14.15" customHeight="1" thickBot="1" x14ac:dyDescent="0.45">
      <c r="A39" s="158"/>
      <c r="B39" s="159"/>
      <c r="C39" s="159"/>
      <c r="D39" s="125" t="s">
        <v>540</v>
      </c>
      <c r="E39" s="554">
        <f>'Variable Management'!B114</f>
        <v>0.19314063380491445</v>
      </c>
      <c r="F39" s="160" t="s">
        <v>922</v>
      </c>
      <c r="G39" s="611"/>
      <c r="H39" s="134"/>
      <c r="I39" s="514"/>
      <c r="J39" s="134"/>
      <c r="K39" s="112"/>
      <c r="L39" s="83"/>
      <c r="M39" s="83"/>
      <c r="N39" s="83"/>
      <c r="O39" s="83"/>
      <c r="P39" s="570"/>
      <c r="Q39" s="484"/>
    </row>
    <row r="40" spans="1:17" ht="13.5" customHeight="1" x14ac:dyDescent="0.3">
      <c r="A40" s="184"/>
      <c r="B40" s="134"/>
      <c r="C40" s="134"/>
      <c r="D40" s="134"/>
      <c r="E40" s="134"/>
      <c r="F40" s="134"/>
      <c r="G40" s="134"/>
      <c r="H40" s="127"/>
      <c r="I40" s="83"/>
      <c r="J40" s="83"/>
      <c r="K40" s="83"/>
      <c r="L40" s="112"/>
      <c r="M40" s="112"/>
      <c r="N40" s="112"/>
      <c r="O40" s="112"/>
      <c r="P40" s="106"/>
      <c r="Q40" s="484"/>
    </row>
    <row r="41" spans="1:17" ht="18" thickBot="1" x14ac:dyDescent="0.4">
      <c r="A41" s="182" t="s">
        <v>918</v>
      </c>
      <c r="B41" s="131"/>
      <c r="C41" s="132"/>
      <c r="D41" s="132"/>
      <c r="E41" s="127"/>
      <c r="F41" s="134"/>
      <c r="G41" s="134"/>
      <c r="H41" s="134"/>
      <c r="I41" s="83"/>
      <c r="J41" s="83"/>
      <c r="K41" s="108"/>
      <c r="L41" s="112"/>
      <c r="M41" s="112"/>
      <c r="N41" s="83"/>
      <c r="O41" s="83"/>
      <c r="P41" s="106"/>
      <c r="Q41" s="484"/>
    </row>
    <row r="42" spans="1:17" ht="14.15" customHeight="1" x14ac:dyDescent="0.4">
      <c r="A42" s="172"/>
      <c r="B42" s="163"/>
      <c r="C42" s="153"/>
      <c r="D42" s="155" t="s">
        <v>545</v>
      </c>
      <c r="E42" s="165">
        <v>400</v>
      </c>
      <c r="F42" s="156" t="s">
        <v>923</v>
      </c>
      <c r="G42" s="127"/>
      <c r="H42" s="127"/>
      <c r="I42" s="109"/>
      <c r="J42" s="83"/>
      <c r="K42" s="83"/>
      <c r="L42" s="83"/>
      <c r="M42" s="83"/>
      <c r="N42" s="83"/>
      <c r="O42" s="83"/>
      <c r="P42" s="106"/>
      <c r="Q42" s="484"/>
    </row>
    <row r="43" spans="1:17" ht="14.15" customHeight="1" x14ac:dyDescent="0.3">
      <c r="A43" s="135"/>
      <c r="B43" s="132"/>
      <c r="C43" s="127"/>
      <c r="D43" s="124" t="s">
        <v>546</v>
      </c>
      <c r="E43" s="560">
        <f>'Variable Management'!B148</f>
        <v>2.6960905146913823</v>
      </c>
      <c r="F43" s="162" t="s">
        <v>215</v>
      </c>
      <c r="G43" s="611"/>
      <c r="H43" s="134"/>
      <c r="I43" s="109"/>
      <c r="J43" s="83"/>
      <c r="K43" s="83"/>
      <c r="L43" s="265"/>
      <c r="M43" s="290"/>
      <c r="N43" s="83"/>
      <c r="O43" s="83"/>
      <c r="P43" s="106"/>
      <c r="Q43" s="484"/>
    </row>
    <row r="44" spans="1:17" ht="14.15" customHeight="1" x14ac:dyDescent="0.4">
      <c r="A44" s="126"/>
      <c r="B44" s="127"/>
      <c r="C44" s="132"/>
      <c r="D44" s="152" t="s">
        <v>759</v>
      </c>
      <c r="E44" s="128">
        <v>4.7</v>
      </c>
      <c r="F44" s="157" t="s">
        <v>215</v>
      </c>
      <c r="G44" s="127"/>
      <c r="H44" s="127"/>
      <c r="I44" s="109"/>
      <c r="J44" s="83"/>
      <c r="K44" s="83"/>
      <c r="L44" s="83"/>
      <c r="M44" s="83"/>
      <c r="N44" s="83"/>
      <c r="O44" s="83"/>
      <c r="P44" s="106"/>
      <c r="Q44" s="484"/>
    </row>
    <row r="45" spans="1:17" ht="14.15" customHeight="1" x14ac:dyDescent="0.3">
      <c r="A45" s="126"/>
      <c r="B45" s="127"/>
      <c r="C45" s="132"/>
      <c r="D45" s="124" t="s">
        <v>726</v>
      </c>
      <c r="E45" s="510">
        <f>'Variable Management'!B155</f>
        <v>81.814863761410464</v>
      </c>
      <c r="F45" s="162" t="s">
        <v>49</v>
      </c>
      <c r="G45" s="611"/>
      <c r="H45" s="127"/>
      <c r="I45" s="110"/>
      <c r="J45" s="83"/>
      <c r="K45" s="83"/>
      <c r="L45" s="83"/>
      <c r="M45" s="83"/>
      <c r="N45" s="83"/>
      <c r="O45" s="83"/>
      <c r="P45" s="106" t="s">
        <v>175</v>
      </c>
      <c r="Q45" s="484"/>
    </row>
    <row r="46" spans="1:17" ht="14.15" customHeight="1" x14ac:dyDescent="0.3">
      <c r="A46" s="126"/>
      <c r="B46" s="127"/>
      <c r="C46" s="132"/>
      <c r="D46" s="152" t="s">
        <v>464</v>
      </c>
      <c r="E46" s="128">
        <v>3</v>
      </c>
      <c r="F46" s="157" t="s">
        <v>49</v>
      </c>
      <c r="G46" s="127"/>
      <c r="H46" s="127"/>
      <c r="I46" s="110"/>
      <c r="J46" s="83"/>
      <c r="K46" s="83"/>
      <c r="L46" s="83"/>
      <c r="M46" s="83"/>
      <c r="N46" s="83"/>
      <c r="O46" s="83"/>
      <c r="P46" s="106"/>
      <c r="Q46" s="484"/>
    </row>
    <row r="47" spans="1:17" ht="14.15" customHeight="1" x14ac:dyDescent="0.3">
      <c r="A47" s="126"/>
      <c r="B47" s="127"/>
      <c r="C47" s="132"/>
      <c r="D47" s="255" t="s">
        <v>727</v>
      </c>
      <c r="E47" s="258">
        <f>'Variable Management'!B162*1000</f>
        <v>235.70810006089678</v>
      </c>
      <c r="F47" s="257" t="s">
        <v>921</v>
      </c>
      <c r="G47" s="611"/>
      <c r="H47" s="127"/>
      <c r="I47" s="110"/>
      <c r="J47" s="83"/>
      <c r="K47" s="83"/>
      <c r="L47" s="83"/>
      <c r="M47" s="83"/>
      <c r="N47" s="83"/>
      <c r="O47" s="83"/>
      <c r="P47" s="106"/>
      <c r="Q47" s="484"/>
    </row>
    <row r="48" spans="1:17" ht="15.75" customHeight="1" thickBot="1" x14ac:dyDescent="0.35">
      <c r="A48" s="693"/>
      <c r="B48" s="694"/>
      <c r="C48" s="694"/>
      <c r="D48" s="695" t="s">
        <v>541</v>
      </c>
      <c r="E48" s="772">
        <f>'Variable Management'!B138</f>
        <v>0.875</v>
      </c>
      <c r="F48" s="782" t="s">
        <v>922</v>
      </c>
      <c r="G48" s="611"/>
      <c r="H48" s="127"/>
      <c r="I48" s="110"/>
      <c r="J48" s="83"/>
      <c r="K48" s="83"/>
      <c r="L48" s="83"/>
      <c r="M48" s="83"/>
      <c r="N48" s="83"/>
      <c r="O48" s="83"/>
      <c r="P48" s="106"/>
      <c r="Q48" s="484"/>
    </row>
    <row r="49" spans="1:34" ht="15.75" customHeight="1" x14ac:dyDescent="0.3">
      <c r="A49" s="583"/>
      <c r="B49" s="127"/>
      <c r="C49" s="134"/>
      <c r="D49" s="152" t="s">
        <v>814</v>
      </c>
      <c r="E49" s="776">
        <v>0.68</v>
      </c>
      <c r="F49" s="700" t="s">
        <v>214</v>
      </c>
      <c r="G49" s="699"/>
      <c r="H49" s="127"/>
      <c r="I49" s="110"/>
      <c r="J49" s="83"/>
      <c r="K49" s="83"/>
      <c r="L49" s="83"/>
      <c r="M49" s="83"/>
      <c r="N49" s="83"/>
      <c r="O49" s="83"/>
      <c r="P49" s="106"/>
      <c r="Q49" s="484"/>
    </row>
    <row r="50" spans="1:34" ht="18" thickBot="1" x14ac:dyDescent="0.4">
      <c r="A50" s="182" t="s">
        <v>945</v>
      </c>
      <c r="B50" s="131"/>
      <c r="C50" s="127"/>
      <c r="D50" s="124"/>
      <c r="E50" s="127"/>
      <c r="F50" s="127"/>
      <c r="G50" s="127"/>
      <c r="H50" s="136"/>
      <c r="I50" s="112"/>
      <c r="J50" s="112"/>
      <c r="K50" s="112"/>
      <c r="L50" s="112"/>
      <c r="M50" s="83"/>
      <c r="N50" s="83"/>
      <c r="O50" s="83"/>
      <c r="P50" s="106"/>
      <c r="Q50" s="484"/>
    </row>
    <row r="51" spans="1:34" ht="14" customHeight="1" x14ac:dyDescent="0.3">
      <c r="A51" s="261"/>
      <c r="B51" s="262"/>
      <c r="C51" s="262"/>
      <c r="D51" s="269"/>
      <c r="E51" s="269"/>
      <c r="F51" s="264"/>
      <c r="G51" s="127"/>
      <c r="H51" s="134"/>
      <c r="I51" s="112"/>
      <c r="J51" s="112"/>
      <c r="K51" s="112"/>
      <c r="L51" s="112"/>
      <c r="M51" s="83"/>
      <c r="N51" s="83"/>
      <c r="O51" s="83"/>
      <c r="P51" s="106"/>
      <c r="Q51" s="484"/>
    </row>
    <row r="52" spans="1:34" ht="14" customHeight="1" x14ac:dyDescent="0.3">
      <c r="A52" s="254"/>
      <c r="B52" s="253"/>
      <c r="C52" s="253"/>
      <c r="D52" s="112"/>
      <c r="E52" s="112"/>
      <c r="F52" s="267"/>
      <c r="G52" s="127"/>
      <c r="H52" s="134"/>
      <c r="I52" s="112"/>
      <c r="J52" s="112"/>
      <c r="K52" s="112"/>
      <c r="L52" s="112"/>
      <c r="M52" s="83"/>
      <c r="N52" s="83"/>
      <c r="O52" s="83"/>
      <c r="P52" s="106"/>
      <c r="Q52" s="484"/>
    </row>
    <row r="53" spans="1:34" ht="14" customHeight="1" x14ac:dyDescent="0.3">
      <c r="A53" s="254"/>
      <c r="B53" s="253"/>
      <c r="C53" s="270"/>
      <c r="D53" s="271" t="s">
        <v>924</v>
      </c>
      <c r="E53" s="266">
        <v>22</v>
      </c>
      <c r="F53" s="267" t="s">
        <v>0</v>
      </c>
      <c r="G53" s="127"/>
      <c r="H53" s="134"/>
      <c r="I53" s="112"/>
      <c r="J53" s="112"/>
      <c r="K53" s="112"/>
      <c r="L53" s="112"/>
      <c r="M53" s="83"/>
      <c r="N53" s="83"/>
      <c r="O53" s="83"/>
      <c r="P53" s="106"/>
      <c r="Q53" s="484"/>
    </row>
    <row r="54" spans="1:34" ht="14" customHeight="1" x14ac:dyDescent="0.3">
      <c r="A54" s="254"/>
      <c r="B54" s="253"/>
      <c r="C54" s="253"/>
      <c r="D54" s="271" t="s">
        <v>925</v>
      </c>
      <c r="E54" s="266">
        <v>20</v>
      </c>
      <c r="F54" s="267" t="s">
        <v>0</v>
      </c>
      <c r="G54" s="127"/>
      <c r="H54" s="134"/>
      <c r="I54" s="112"/>
      <c r="J54" s="112"/>
      <c r="K54" s="112"/>
      <c r="L54" s="112"/>
      <c r="M54" s="83"/>
      <c r="N54" s="83"/>
      <c r="O54" s="83"/>
      <c r="P54" s="106"/>
      <c r="Q54" s="484"/>
    </row>
    <row r="55" spans="1:34" ht="15.75" customHeight="1" x14ac:dyDescent="0.4">
      <c r="A55" s="254"/>
      <c r="B55" s="253"/>
      <c r="C55" s="253"/>
      <c r="D55" s="607" t="s">
        <v>892</v>
      </c>
      <c r="E55" s="255">
        <f>IF(UVLO_TYPE=1,'Variable Management'!B188,0)</f>
        <v>0</v>
      </c>
      <c r="F55" s="257" t="s">
        <v>50</v>
      </c>
      <c r="G55" s="127"/>
      <c r="H55" s="127"/>
      <c r="I55" s="81"/>
      <c r="J55" s="122"/>
      <c r="K55" s="83"/>
      <c r="L55" s="112"/>
      <c r="M55" s="83"/>
      <c r="N55" s="83"/>
      <c r="O55" s="83"/>
      <c r="P55" s="106"/>
      <c r="Q55" s="484"/>
    </row>
    <row r="56" spans="1:34" ht="14" customHeight="1" x14ac:dyDescent="0.4">
      <c r="A56" s="254"/>
      <c r="B56" s="253"/>
      <c r="C56" s="253"/>
      <c r="D56" s="607" t="s">
        <v>893</v>
      </c>
      <c r="E56" s="511" t="str">
        <f>IF(UVLO_TYPE=1,'Variable Management'!B189,"DNP")</f>
        <v>DNP</v>
      </c>
      <c r="F56" s="257" t="s">
        <v>50</v>
      </c>
      <c r="G56" s="127"/>
      <c r="H56" s="127"/>
      <c r="I56" s="81"/>
      <c r="J56" s="122"/>
      <c r="K56" s="83"/>
      <c r="L56" s="112"/>
      <c r="M56" s="83"/>
      <c r="N56" s="83"/>
      <c r="O56" s="83"/>
      <c r="P56" s="106"/>
      <c r="Q56" s="484"/>
    </row>
    <row r="57" spans="1:34" ht="15.75" customHeight="1" x14ac:dyDescent="0.4">
      <c r="A57" s="254"/>
      <c r="B57" s="253"/>
      <c r="C57" s="270"/>
      <c r="D57" s="607" t="s">
        <v>858</v>
      </c>
      <c r="E57" s="44" t="str">
        <f>IF(DITHER=1,"41.2","29.4")</f>
        <v>41.2</v>
      </c>
      <c r="F57" s="257" t="s">
        <v>50</v>
      </c>
      <c r="G57" s="127"/>
      <c r="H57" s="127"/>
      <c r="I57" s="81"/>
      <c r="J57" s="122"/>
      <c r="K57" s="83"/>
      <c r="L57" s="112"/>
      <c r="M57" s="83"/>
      <c r="N57" s="83"/>
      <c r="O57" s="83"/>
      <c r="P57" s="106"/>
      <c r="Q57" s="484"/>
    </row>
    <row r="58" spans="1:34" ht="15" customHeight="1" thickBot="1" x14ac:dyDescent="0.35">
      <c r="A58" s="273"/>
      <c r="B58" s="274"/>
      <c r="C58" s="274"/>
      <c r="D58" s="558" t="str">
        <f>IF(DEMB=1, "* Tie PFM to GND", "* Tie PFM to VDDA")</f>
        <v>* Tie PFM to GND</v>
      </c>
      <c r="E58" s="552"/>
      <c r="F58" s="275"/>
      <c r="G58" s="127"/>
      <c r="H58" s="127"/>
      <c r="I58" s="81"/>
      <c r="J58" s="122"/>
      <c r="K58" s="83"/>
      <c r="L58" s="112"/>
      <c r="M58" s="83"/>
      <c r="N58" s="83"/>
      <c r="O58" s="83"/>
      <c r="P58" s="106"/>
      <c r="Q58" s="484"/>
    </row>
    <row r="59" spans="1:34" ht="14.15" customHeight="1" x14ac:dyDescent="0.3">
      <c r="A59" s="126"/>
      <c r="B59" s="127"/>
      <c r="C59" s="127"/>
      <c r="D59" s="124"/>
      <c r="E59" s="137"/>
      <c r="F59" s="127"/>
      <c r="G59" s="127"/>
      <c r="H59" s="127"/>
      <c r="I59" s="81"/>
      <c r="J59" s="122"/>
      <c r="K59" s="83"/>
      <c r="L59" s="112"/>
      <c r="M59" s="83"/>
      <c r="N59" s="83"/>
      <c r="O59" s="83"/>
      <c r="P59" s="106"/>
      <c r="Q59" s="484"/>
    </row>
    <row r="60" spans="1:34" ht="19.5" customHeight="1" thickBot="1" x14ac:dyDescent="0.35">
      <c r="A60" s="182" t="s">
        <v>230</v>
      </c>
      <c r="B60" s="139"/>
      <c r="C60" s="132"/>
      <c r="D60" s="537"/>
      <c r="E60" s="133"/>
      <c r="F60" s="132"/>
      <c r="G60" s="127"/>
      <c r="H60" s="127"/>
      <c r="I60" s="83"/>
      <c r="J60" s="83"/>
      <c r="K60" s="83"/>
      <c r="L60" s="83"/>
      <c r="M60" s="83"/>
      <c r="N60" s="83"/>
      <c r="O60" s="83"/>
      <c r="P60" s="106"/>
      <c r="Q60" s="483"/>
      <c r="R60" s="54"/>
      <c r="S60" s="54"/>
      <c r="V60" s="54"/>
      <c r="W60" s="54"/>
      <c r="X60" s="54"/>
      <c r="AA60" s="54"/>
      <c r="AB60" s="54"/>
      <c r="AC60" s="54"/>
      <c r="AF60" s="54"/>
      <c r="AG60" s="54"/>
      <c r="AH60" s="54"/>
    </row>
    <row r="61" spans="1:34" ht="15" customHeight="1" x14ac:dyDescent="0.3">
      <c r="A61" s="261"/>
      <c r="B61" s="262"/>
      <c r="C61" s="263"/>
      <c r="D61" s="263" t="s">
        <v>738</v>
      </c>
      <c r="E61" s="356">
        <f>Fp_dominant</f>
        <v>1604.2202951050137</v>
      </c>
      <c r="F61" s="276" t="s">
        <v>9</v>
      </c>
      <c r="G61" s="582"/>
      <c r="H61" s="134"/>
      <c r="I61" s="602"/>
      <c r="J61" s="601"/>
      <c r="K61" s="83"/>
      <c r="L61" s="83"/>
      <c r="M61" s="83"/>
      <c r="N61" s="83"/>
      <c r="O61" s="83"/>
      <c r="P61" s="106"/>
      <c r="Q61" s="483"/>
      <c r="R61" s="54"/>
      <c r="S61" s="54"/>
      <c r="V61" s="54"/>
      <c r="W61" s="54"/>
      <c r="X61" s="54"/>
      <c r="AA61" s="54"/>
      <c r="AB61" s="54"/>
      <c r="AC61" s="54"/>
      <c r="AF61" s="54"/>
      <c r="AG61" s="54"/>
      <c r="AH61" s="54"/>
    </row>
    <row r="62" spans="1:34" ht="15" customHeight="1" x14ac:dyDescent="0.3">
      <c r="A62" s="254"/>
      <c r="B62" s="253"/>
      <c r="C62" s="255"/>
      <c r="D62" s="255" t="s">
        <v>739</v>
      </c>
      <c r="E62" s="258">
        <f>Fesr/1000</f>
        <v>2411.4385344508541</v>
      </c>
      <c r="F62" s="257" t="s">
        <v>2</v>
      </c>
      <c r="G62" s="134"/>
      <c r="H62" s="134"/>
      <c r="I62" s="602"/>
      <c r="J62" s="601"/>
      <c r="K62" s="83"/>
      <c r="L62" s="83"/>
      <c r="M62" s="83"/>
      <c r="N62" s="83"/>
      <c r="O62" s="83"/>
      <c r="P62" s="106"/>
      <c r="Q62" s="483"/>
      <c r="R62" s="54"/>
      <c r="S62" s="54"/>
      <c r="V62" s="54"/>
      <c r="W62" s="54"/>
      <c r="X62" s="54"/>
      <c r="AA62" s="54"/>
      <c r="AB62" s="54"/>
      <c r="AC62" s="54"/>
      <c r="AF62" s="54"/>
      <c r="AG62" s="54"/>
      <c r="AH62" s="54"/>
    </row>
    <row r="63" spans="1:34" ht="15" customHeight="1" x14ac:dyDescent="0.3">
      <c r="A63" s="254"/>
      <c r="B63" s="253"/>
      <c r="C63" s="255"/>
      <c r="D63" s="271" t="s">
        <v>395</v>
      </c>
      <c r="E63" s="277">
        <v>14</v>
      </c>
      <c r="F63" s="278" t="str">
        <f>"     kHz "</f>
        <v xml:space="preserve">     kHz </v>
      </c>
      <c r="G63" s="134"/>
      <c r="H63" s="134"/>
      <c r="I63" s="634"/>
      <c r="J63" s="604"/>
      <c r="K63" s="83"/>
      <c r="L63" s="83"/>
      <c r="M63" s="83"/>
      <c r="N63" s="83"/>
      <c r="O63" s="83"/>
      <c r="P63" s="106"/>
      <c r="Q63" s="483"/>
      <c r="R63" s="54"/>
      <c r="S63" s="54"/>
      <c r="V63" s="54"/>
      <c r="W63" s="54"/>
      <c r="X63" s="54"/>
      <c r="AA63" s="54"/>
      <c r="AB63" s="54"/>
      <c r="AC63" s="54"/>
      <c r="AF63" s="54"/>
      <c r="AG63" s="54"/>
      <c r="AH63" s="54"/>
    </row>
    <row r="64" spans="1:34" ht="15" customHeight="1" x14ac:dyDescent="0.3">
      <c r="A64" s="254"/>
      <c r="B64" s="253"/>
      <c r="C64" s="255"/>
      <c r="D64" s="255" t="s">
        <v>830</v>
      </c>
      <c r="E64" s="784">
        <f>Fp1_u</f>
        <v>0.6375890895864984</v>
      </c>
      <c r="F64" s="257" t="s">
        <v>9</v>
      </c>
      <c r="G64" s="134"/>
      <c r="H64" s="134"/>
      <c r="I64" s="603"/>
      <c r="J64" s="601"/>
      <c r="K64" s="83"/>
      <c r="L64" s="83"/>
      <c r="M64" s="83"/>
      <c r="N64" s="83"/>
      <c r="O64" s="83"/>
      <c r="P64" s="106"/>
      <c r="Q64" s="483"/>
      <c r="R64" s="54"/>
      <c r="S64" s="54"/>
      <c r="V64" s="54"/>
      <c r="W64" s="54"/>
      <c r="X64" s="54"/>
      <c r="AA64" s="54"/>
      <c r="AB64" s="54"/>
      <c r="AC64" s="54"/>
      <c r="AF64" s="54"/>
      <c r="AG64" s="54"/>
      <c r="AH64" s="54"/>
    </row>
    <row r="65" spans="1:34" ht="15" customHeight="1" x14ac:dyDescent="0.3">
      <c r="A65" s="254"/>
      <c r="B65" s="253"/>
      <c r="C65" s="255"/>
      <c r="D65" s="271" t="str">
        <f>CHOOSE(VOUT_setting, "Upper Feedback Resistor","","","")</f>
        <v/>
      </c>
      <c r="E65" s="279">
        <v>78.7</v>
      </c>
      <c r="F65" s="267" t="s">
        <v>50</v>
      </c>
      <c r="G65" s="134"/>
      <c r="H65" s="134"/>
      <c r="I65" s="635"/>
      <c r="J65" s="590"/>
      <c r="K65" s="83"/>
      <c r="L65" s="83"/>
      <c r="M65" s="83"/>
      <c r="N65" s="83"/>
      <c r="O65" s="83"/>
      <c r="P65" s="106"/>
      <c r="Q65" s="483"/>
      <c r="R65" s="54"/>
      <c r="S65" s="54"/>
      <c r="V65" s="54"/>
      <c r="W65" s="54"/>
      <c r="X65" s="54"/>
      <c r="AA65" s="54"/>
      <c r="AB65" s="54"/>
      <c r="AC65" s="54"/>
      <c r="AF65" s="54"/>
      <c r="AG65" s="54"/>
      <c r="AH65" s="54"/>
    </row>
    <row r="66" spans="1:34" ht="15" customHeight="1" x14ac:dyDescent="0.3">
      <c r="A66" s="572"/>
      <c r="B66" s="253"/>
      <c r="C66" s="255"/>
      <c r="D66" s="255" t="str">
        <f>CHOOSE(VOUT_setting, "Lower Feedback Resistor", "* Connect "&amp;'Variable Management'!D419&amp;" from FB to VDDA","* Tie FB to VDDA","* Connect "&amp;'Variable Management'!D419&amp;" from FB to VDDA")</f>
        <v>* Tie FB to VDDA</v>
      </c>
      <c r="E66" s="255">
        <f>IF(Vout=Vref,"OPEN",Rfb2_u/1000)</f>
        <v>792</v>
      </c>
      <c r="F66" s="257" t="str">
        <f>IF(Vout=Vref,"","kΩ")</f>
        <v>kΩ</v>
      </c>
      <c r="G66" s="582"/>
      <c r="H66" s="134"/>
      <c r="I66" s="605"/>
      <c r="J66" s="601"/>
      <c r="K66" s="83"/>
      <c r="L66" s="83"/>
      <c r="M66" s="83"/>
      <c r="N66" s="83"/>
      <c r="O66" s="83"/>
      <c r="P66" s="106"/>
      <c r="Q66" s="483"/>
      <c r="R66" s="54"/>
      <c r="S66" s="54"/>
      <c r="V66" s="54"/>
      <c r="W66" s="54"/>
      <c r="X66" s="54"/>
      <c r="AA66" s="54"/>
      <c r="AB66" s="54"/>
      <c r="AC66" s="54"/>
      <c r="AF66" s="54"/>
      <c r="AG66" s="54"/>
      <c r="AH66" s="54"/>
    </row>
    <row r="67" spans="1:34" ht="15" customHeight="1" thickBot="1" x14ac:dyDescent="0.35">
      <c r="A67" s="273"/>
      <c r="B67" s="274"/>
      <c r="C67" s="272"/>
      <c r="D67" s="272" t="str">
        <f>CHOOSE(VOUT_setting, "Actual Output Voltage Setpoint","","","")</f>
        <v/>
      </c>
      <c r="E67" s="783">
        <f>0.8/E66*(E65+E66)</f>
        <v>0.87949494949494955</v>
      </c>
      <c r="F67" s="275" t="s">
        <v>0</v>
      </c>
      <c r="G67" s="134"/>
      <c r="H67" s="134"/>
      <c r="I67" s="605"/>
      <c r="J67" s="601"/>
      <c r="K67" s="83"/>
      <c r="L67" s="83"/>
      <c r="M67" s="83"/>
      <c r="N67" s="83"/>
      <c r="O67" s="83"/>
      <c r="P67" s="106"/>
      <c r="Q67" s="483"/>
      <c r="R67" s="54"/>
      <c r="S67" s="54"/>
      <c r="V67" s="54"/>
      <c r="W67" s="54"/>
      <c r="X67" s="54"/>
      <c r="AA67" s="54"/>
      <c r="AB67" s="54"/>
      <c r="AC67" s="54"/>
      <c r="AF67" s="54"/>
      <c r="AG67" s="54"/>
      <c r="AH67" s="54"/>
    </row>
    <row r="68" spans="1:34" ht="13.5" customHeight="1" x14ac:dyDescent="0.3">
      <c r="A68" s="185"/>
      <c r="B68" s="532"/>
      <c r="C68" s="145"/>
      <c r="D68" s="134"/>
      <c r="E68" s="134"/>
      <c r="F68" s="134"/>
      <c r="G68" s="144"/>
      <c r="H68" s="143"/>
      <c r="I68" s="83"/>
      <c r="J68" s="83"/>
      <c r="K68" s="83"/>
      <c r="L68" s="83"/>
      <c r="M68" s="83"/>
      <c r="N68" s="83"/>
      <c r="O68" s="83"/>
      <c r="P68" s="106"/>
      <c r="Q68" s="483"/>
      <c r="R68" s="54"/>
      <c r="S68" s="54"/>
      <c r="V68" s="54"/>
      <c r="W68" s="54"/>
      <c r="X68" s="54"/>
      <c r="AA68" s="54"/>
      <c r="AB68" s="54"/>
      <c r="AC68" s="54"/>
      <c r="AF68" s="54"/>
      <c r="AG68" s="54"/>
      <c r="AH68" s="54"/>
    </row>
    <row r="69" spans="1:34" ht="15.75" customHeight="1" x14ac:dyDescent="0.3">
      <c r="A69" s="461" t="s">
        <v>225</v>
      </c>
      <c r="B69" s="146"/>
      <c r="C69" s="124"/>
      <c r="D69" s="140"/>
      <c r="E69" s="141"/>
      <c r="F69" s="142"/>
      <c r="G69" s="147"/>
      <c r="H69" s="127"/>
      <c r="I69" s="83"/>
      <c r="J69" s="83"/>
      <c r="K69" s="83"/>
      <c r="L69" s="83"/>
      <c r="M69" s="83"/>
      <c r="N69" s="83"/>
      <c r="O69" s="83"/>
      <c r="P69" s="106"/>
      <c r="Q69" s="483"/>
      <c r="R69" s="188"/>
      <c r="S69" s="188"/>
      <c r="T69" s="189"/>
      <c r="U69" s="189"/>
      <c r="V69" s="188"/>
      <c r="W69" s="188"/>
      <c r="X69" s="188"/>
      <c r="Y69" s="189"/>
      <c r="Z69" s="189"/>
      <c r="AA69" s="188"/>
      <c r="AB69" s="188"/>
      <c r="AC69" s="188"/>
      <c r="AD69" s="189"/>
      <c r="AE69" s="189"/>
      <c r="AF69" s="54"/>
      <c r="AG69" s="54"/>
      <c r="AH69" s="54"/>
    </row>
    <row r="70" spans="1:34" s="200" customFormat="1" ht="13.5" customHeight="1" thickBot="1" x14ac:dyDescent="0.35">
      <c r="A70" s="205"/>
      <c r="B70" s="206" t="s">
        <v>231</v>
      </c>
      <c r="C70" s="207" t="s">
        <v>224</v>
      </c>
      <c r="D70" s="575" t="str">
        <f>C70</f>
        <v>Std Values</v>
      </c>
      <c r="E70" s="537"/>
      <c r="F70" s="785" t="s">
        <v>226</v>
      </c>
      <c r="G70" s="785"/>
      <c r="H70" s="785"/>
      <c r="I70" s="195"/>
      <c r="J70" s="195"/>
      <c r="K70" s="195"/>
      <c r="L70" s="195"/>
      <c r="M70" s="195"/>
      <c r="N70" s="195"/>
      <c r="O70" s="195"/>
      <c r="P70" s="196"/>
      <c r="Q70" s="485"/>
      <c r="R70" s="197"/>
      <c r="S70" s="197"/>
      <c r="T70" s="198"/>
      <c r="U70" s="198"/>
      <c r="V70" s="197"/>
      <c r="W70" s="197"/>
      <c r="X70" s="197"/>
      <c r="Y70" s="198"/>
      <c r="Z70" s="198"/>
      <c r="AA70" s="197"/>
      <c r="AB70" s="197"/>
      <c r="AC70" s="197"/>
      <c r="AD70" s="198"/>
      <c r="AE70" s="198"/>
      <c r="AF70" s="199"/>
      <c r="AG70" s="199"/>
      <c r="AH70" s="199"/>
    </row>
    <row r="71" spans="1:34" ht="15.5" x14ac:dyDescent="0.4">
      <c r="A71" s="170" t="s">
        <v>643</v>
      </c>
      <c r="B71" s="180">
        <f>Rcea1/1000</f>
        <v>5.0569312597821918</v>
      </c>
      <c r="C71" s="166">
        <f>'Standard Value Calculator'!S32</f>
        <v>5.1100000000000003</v>
      </c>
      <c r="D71" s="167">
        <v>5.1100000000000003</v>
      </c>
      <c r="E71" s="168" t="s">
        <v>50</v>
      </c>
      <c r="F71" s="778">
        <f>Fp1_u</f>
        <v>0.6375890895864984</v>
      </c>
      <c r="G71" s="418" t="s">
        <v>647</v>
      </c>
      <c r="H71" s="134"/>
      <c r="I71" s="478"/>
      <c r="J71" s="127"/>
      <c r="K71" s="83"/>
      <c r="L71" s="83"/>
      <c r="M71" s="83"/>
      <c r="N71" s="83"/>
      <c r="O71" s="83"/>
      <c r="P71" s="106"/>
      <c r="Q71" s="483"/>
      <c r="R71" s="188"/>
      <c r="S71" s="188"/>
      <c r="T71" s="189"/>
      <c r="U71" s="189"/>
      <c r="V71" s="188"/>
      <c r="W71" s="188"/>
      <c r="X71" s="188"/>
      <c r="Y71" s="189"/>
      <c r="Z71" s="189"/>
      <c r="AA71" s="188"/>
      <c r="AB71" s="188"/>
      <c r="AC71" s="188"/>
      <c r="AD71" s="189"/>
      <c r="AE71" s="189"/>
      <c r="AF71" s="54"/>
      <c r="AG71" s="54"/>
      <c r="AH71" s="54"/>
    </row>
    <row r="72" spans="1:34" ht="15.5" x14ac:dyDescent="0.4">
      <c r="A72" s="171" t="s">
        <v>227</v>
      </c>
      <c r="B72" s="470">
        <f>Cc1ea*1000000000</f>
        <v>22.480452372867305</v>
      </c>
      <c r="C72" s="143">
        <f>'Standard Value Calculator'!S33</f>
        <v>22</v>
      </c>
      <c r="D72" s="148">
        <v>3.9</v>
      </c>
      <c r="E72" s="169" t="s">
        <v>141</v>
      </c>
      <c r="F72" s="419">
        <f>Fz1_u/1000</f>
        <v>7.9860978109165721</v>
      </c>
      <c r="G72" s="420" t="s">
        <v>495</v>
      </c>
      <c r="H72" s="134"/>
      <c r="I72" s="478"/>
      <c r="J72" s="127"/>
      <c r="K72" s="83"/>
      <c r="L72" s="83"/>
      <c r="M72" s="83"/>
      <c r="N72" s="83"/>
      <c r="O72" s="83"/>
      <c r="P72" s="106"/>
      <c r="Q72" s="483"/>
      <c r="R72" s="188"/>
      <c r="S72" s="188"/>
      <c r="T72" s="189"/>
      <c r="U72" s="189"/>
      <c r="V72" s="188"/>
      <c r="W72" s="188"/>
      <c r="X72" s="188"/>
      <c r="Y72" s="189"/>
      <c r="Z72" s="189"/>
      <c r="AA72" s="188"/>
      <c r="AB72" s="188"/>
      <c r="AC72" s="188"/>
      <c r="AD72" s="189"/>
      <c r="AE72" s="189"/>
      <c r="AF72" s="54"/>
      <c r="AG72" s="54"/>
      <c r="AH72" s="54"/>
    </row>
    <row r="73" spans="1:34" ht="16" thickBot="1" x14ac:dyDescent="0.45">
      <c r="A73" s="357" t="s">
        <v>228</v>
      </c>
      <c r="B73" s="181">
        <f>IF(Cc2ea&lt;0, "N/A", Cc2ea*1000000000000)</f>
        <v>123.32890743090356</v>
      </c>
      <c r="C73" s="177">
        <f>'Standard Value Calculator'!S34</f>
        <v>120</v>
      </c>
      <c r="D73" s="178">
        <v>150</v>
      </c>
      <c r="E73" s="179" t="s">
        <v>30</v>
      </c>
      <c r="F73" s="423">
        <f>Fp2_u/1000</f>
        <v>171.28973280628307</v>
      </c>
      <c r="G73" s="421" t="s">
        <v>496</v>
      </c>
      <c r="H73" s="134"/>
      <c r="I73" s="83"/>
      <c r="J73" s="83"/>
      <c r="K73" s="83"/>
      <c r="L73" s="83"/>
      <c r="M73" s="83"/>
      <c r="N73" s="83"/>
      <c r="O73" s="83"/>
      <c r="P73" s="106"/>
      <c r="Q73" s="483"/>
      <c r="R73" s="188"/>
      <c r="S73" s="188"/>
      <c r="T73" s="189"/>
      <c r="U73" s="189"/>
      <c r="V73" s="188"/>
      <c r="W73" s="188"/>
      <c r="X73" s="188"/>
      <c r="Y73" s="189"/>
      <c r="Z73" s="189"/>
      <c r="AA73" s="188"/>
      <c r="AB73" s="188"/>
      <c r="AC73" s="188"/>
      <c r="AD73" s="189"/>
      <c r="AE73" s="189"/>
      <c r="AF73" s="54"/>
      <c r="AG73" s="54"/>
      <c r="AH73" s="54"/>
    </row>
    <row r="74" spans="1:34" x14ac:dyDescent="0.3">
      <c r="A74" s="170"/>
      <c r="B74" s="180"/>
      <c r="C74" s="636"/>
      <c r="D74" s="642"/>
      <c r="E74" s="637"/>
      <c r="F74" s="638"/>
      <c r="G74" s="639"/>
      <c r="H74" s="134"/>
      <c r="I74" s="83"/>
      <c r="J74" s="83"/>
      <c r="K74" s="83"/>
      <c r="L74" s="83"/>
      <c r="M74" s="123"/>
      <c r="N74" s="780"/>
      <c r="O74" s="132"/>
      <c r="P74" s="106"/>
      <c r="Q74" s="483"/>
      <c r="R74" s="188"/>
      <c r="S74" s="188"/>
      <c r="T74" s="189"/>
      <c r="U74" s="189"/>
      <c r="V74" s="188"/>
      <c r="W74" s="188"/>
      <c r="X74" s="188"/>
      <c r="Y74" s="189"/>
      <c r="Z74" s="189"/>
      <c r="AA74" s="188"/>
      <c r="AB74" s="188"/>
      <c r="AC74" s="188"/>
      <c r="AD74" s="189"/>
      <c r="AE74" s="189"/>
      <c r="AF74" s="54"/>
      <c r="AG74" s="54"/>
      <c r="AH74" s="54"/>
    </row>
    <row r="75" spans="1:34" ht="13.5" thickBot="1" x14ac:dyDescent="0.35">
      <c r="A75" s="126"/>
      <c r="B75" s="124"/>
      <c r="C75" s="640"/>
      <c r="D75" s="641"/>
      <c r="E75" s="641"/>
      <c r="F75" s="641"/>
      <c r="G75" s="641"/>
      <c r="H75" s="127"/>
      <c r="I75" s="83"/>
      <c r="J75" s="83"/>
      <c r="K75" s="83"/>
      <c r="L75" s="83"/>
      <c r="M75" s="83"/>
      <c r="N75" s="83"/>
      <c r="O75" s="83"/>
      <c r="P75" s="106"/>
      <c r="Q75" s="483"/>
      <c r="R75" s="188"/>
      <c r="S75" s="188"/>
      <c r="T75" s="189"/>
      <c r="U75" s="189"/>
      <c r="V75" s="188"/>
      <c r="W75" s="188"/>
      <c r="X75" s="188"/>
      <c r="Y75" s="189"/>
      <c r="Z75" s="189"/>
      <c r="AA75" s="188"/>
      <c r="AB75" s="188"/>
      <c r="AC75" s="188"/>
      <c r="AD75" s="189"/>
      <c r="AE75" s="189"/>
      <c r="AF75" s="54"/>
      <c r="AG75" s="54"/>
      <c r="AH75" s="54"/>
    </row>
    <row r="76" spans="1:34" s="86" customFormat="1" ht="18.5" thickBot="1" x14ac:dyDescent="0.45">
      <c r="A76" s="186" t="s">
        <v>229</v>
      </c>
      <c r="B76" s="138"/>
      <c r="C76" s="149"/>
      <c r="D76" s="149"/>
      <c r="E76" s="149"/>
      <c r="F76" s="149"/>
      <c r="G76" s="149"/>
      <c r="H76" s="149"/>
      <c r="I76" s="84"/>
      <c r="J76" s="84"/>
      <c r="K76" s="84"/>
      <c r="L76" s="84"/>
      <c r="M76" s="84"/>
      <c r="N76" s="84"/>
      <c r="O76" s="84"/>
      <c r="P76" s="85"/>
      <c r="Q76" s="486"/>
      <c r="R76" s="190"/>
      <c r="S76" s="190"/>
      <c r="T76" s="191"/>
      <c r="U76" s="191"/>
      <c r="V76" s="190"/>
      <c r="W76" s="190"/>
      <c r="X76" s="190"/>
      <c r="Y76" s="191"/>
      <c r="Z76" s="191"/>
      <c r="AA76" s="190"/>
      <c r="AB76" s="190"/>
      <c r="AC76" s="190"/>
      <c r="AD76" s="191"/>
      <c r="AE76" s="191"/>
      <c r="AF76" s="55"/>
      <c r="AG76" s="55"/>
      <c r="AH76" s="55"/>
    </row>
    <row r="77" spans="1:34" x14ac:dyDescent="0.3">
      <c r="A77" s="184"/>
      <c r="B77" s="134"/>
      <c r="C77" s="127"/>
      <c r="D77" s="127"/>
      <c r="E77" s="127"/>
      <c r="F77" s="127"/>
      <c r="G77" s="127"/>
      <c r="H77" s="127"/>
      <c r="I77" s="83"/>
      <c r="J77" s="83"/>
      <c r="K77" s="83"/>
      <c r="L77" s="83"/>
      <c r="M77" s="83"/>
      <c r="N77" s="83"/>
      <c r="O77" s="83"/>
      <c r="P77" s="106"/>
      <c r="Q77" s="483"/>
      <c r="R77" s="188"/>
      <c r="S77" s="188"/>
      <c r="T77" s="189"/>
      <c r="U77" s="189"/>
      <c r="V77" s="188"/>
      <c r="W77" s="188"/>
      <c r="X77" s="188"/>
      <c r="Y77" s="189"/>
      <c r="Z77" s="189"/>
      <c r="AA77" s="188"/>
      <c r="AB77" s="188"/>
      <c r="AC77" s="188"/>
      <c r="AD77" s="189"/>
      <c r="AE77" s="189"/>
      <c r="AF77" s="54"/>
      <c r="AG77" s="54"/>
      <c r="AH77" s="54"/>
    </row>
    <row r="78" spans="1:34" ht="18" thickBot="1" x14ac:dyDescent="0.4">
      <c r="A78" s="150" t="s">
        <v>190</v>
      </c>
      <c r="B78" s="131"/>
      <c r="C78" s="127"/>
      <c r="D78" s="127"/>
      <c r="E78" s="127"/>
      <c r="F78" s="127"/>
      <c r="G78" s="127"/>
      <c r="H78" s="127"/>
      <c r="I78" s="83"/>
      <c r="J78" s="83"/>
      <c r="K78" s="83"/>
      <c r="L78" s="83"/>
      <c r="M78" s="83"/>
      <c r="N78" s="83"/>
      <c r="O78" s="83"/>
      <c r="P78" s="106"/>
      <c r="Q78" s="483"/>
      <c r="R78" s="188"/>
      <c r="S78" s="188"/>
      <c r="T78" s="189"/>
      <c r="U78" s="189"/>
      <c r="V78" s="188"/>
      <c r="W78" s="188"/>
      <c r="X78" s="188"/>
      <c r="Y78" s="189"/>
      <c r="Z78" s="189"/>
      <c r="AA78" s="188"/>
      <c r="AB78" s="188"/>
      <c r="AC78" s="188"/>
      <c r="AD78" s="189"/>
      <c r="AE78" s="189"/>
      <c r="AF78" s="54"/>
      <c r="AG78" s="54"/>
      <c r="AH78" s="54"/>
    </row>
    <row r="79" spans="1:34" ht="18" customHeight="1" x14ac:dyDescent="0.4">
      <c r="A79" s="172"/>
      <c r="B79" s="173"/>
      <c r="C79" s="542"/>
      <c r="D79" s="542"/>
      <c r="E79" s="542"/>
      <c r="F79" s="201" t="s">
        <v>737</v>
      </c>
      <c r="G79" s="579" t="s">
        <v>683</v>
      </c>
      <c r="H79" s="588"/>
      <c r="I79" s="600"/>
      <c r="J79" s="83"/>
      <c r="K79" s="83"/>
      <c r="L79" s="83"/>
      <c r="M79" s="83"/>
      <c r="N79" s="83"/>
      <c r="O79" s="83"/>
      <c r="P79" s="106"/>
      <c r="Q79" s="483"/>
      <c r="R79" s="188"/>
      <c r="S79" s="120"/>
      <c r="T79" s="120"/>
      <c r="U79" s="189"/>
      <c r="V79" s="188"/>
      <c r="W79" s="188"/>
      <c r="X79" s="188"/>
      <c r="Y79" s="189"/>
      <c r="Z79" s="189"/>
      <c r="AA79" s="188"/>
      <c r="AB79" s="188"/>
      <c r="AC79" s="188"/>
      <c r="AD79" s="189"/>
      <c r="AE79" s="189"/>
      <c r="AF79" s="54"/>
      <c r="AG79" s="54"/>
      <c r="AH79" s="54"/>
    </row>
    <row r="80" spans="1:34" ht="14.25" customHeight="1" x14ac:dyDescent="0.3">
      <c r="A80" s="576"/>
      <c r="B80" s="132"/>
      <c r="C80" s="577"/>
      <c r="D80" s="578"/>
      <c r="E80" s="777" t="s">
        <v>944</v>
      </c>
      <c r="F80" s="127"/>
      <c r="G80" s="162"/>
      <c r="H80" s="662"/>
      <c r="I80" s="134"/>
      <c r="J80" s="83"/>
      <c r="K80" s="83"/>
      <c r="L80" s="83"/>
      <c r="M80" s="83"/>
      <c r="N80" s="83"/>
      <c r="O80" s="83"/>
      <c r="P80" s="106"/>
      <c r="Q80" s="483"/>
      <c r="R80" s="188"/>
      <c r="S80" s="120"/>
      <c r="T80" s="120"/>
      <c r="U80" s="189"/>
      <c r="V80" s="188"/>
      <c r="W80" s="188"/>
      <c r="X80" s="188"/>
      <c r="Y80" s="189"/>
      <c r="Z80" s="189"/>
      <c r="AA80" s="188"/>
      <c r="AB80" s="188"/>
      <c r="AC80" s="188"/>
      <c r="AD80" s="189"/>
      <c r="AE80" s="189"/>
      <c r="AF80" s="54"/>
      <c r="AG80" s="54"/>
      <c r="AH80" s="54"/>
    </row>
    <row r="81" spans="1:34" ht="14.75" customHeight="1" x14ac:dyDescent="0.3">
      <c r="A81" s="468"/>
      <c r="B81" s="112"/>
      <c r="C81" s="112"/>
      <c r="D81" s="112"/>
      <c r="E81" s="469" t="s">
        <v>676</v>
      </c>
      <c r="F81" s="789" t="s">
        <v>528</v>
      </c>
      <c r="G81" s="790"/>
      <c r="H81" s="599"/>
      <c r="I81" s="601"/>
      <c r="J81" s="83"/>
      <c r="K81" s="83"/>
      <c r="L81" s="83"/>
      <c r="M81" s="83"/>
      <c r="N81" s="83"/>
      <c r="O81" s="83"/>
      <c r="P81" s="106"/>
      <c r="Q81" s="483"/>
      <c r="R81" s="188"/>
      <c r="S81" s="120"/>
      <c r="T81" s="120"/>
      <c r="U81" s="189"/>
      <c r="V81" s="188"/>
      <c r="W81" s="188"/>
      <c r="X81" s="188"/>
      <c r="Y81" s="189"/>
      <c r="Z81" s="189"/>
      <c r="AA81" s="188"/>
      <c r="AB81" s="188"/>
      <c r="AC81" s="188"/>
      <c r="AD81" s="189"/>
      <c r="AE81" s="189"/>
      <c r="AF81" s="54"/>
      <c r="AG81" s="54"/>
      <c r="AH81" s="54"/>
    </row>
    <row r="82" spans="1:34" ht="14.75" customHeight="1" x14ac:dyDescent="0.4">
      <c r="A82" s="126"/>
      <c r="B82" s="127"/>
      <c r="C82" s="132"/>
      <c r="D82" s="123" t="s">
        <v>264</v>
      </c>
      <c r="E82" s="250">
        <v>8</v>
      </c>
      <c r="F82" s="128">
        <v>5.5</v>
      </c>
      <c r="G82" s="162" t="s">
        <v>49</v>
      </c>
      <c r="H82" s="581"/>
      <c r="I82" s="134"/>
      <c r="J82" s="83"/>
      <c r="K82" s="83"/>
      <c r="L82" s="83"/>
      <c r="M82" s="83"/>
      <c r="N82" s="83"/>
      <c r="O82" s="83"/>
      <c r="P82" s="106"/>
      <c r="Q82" s="483"/>
      <c r="R82" s="188"/>
      <c r="S82" s="120"/>
      <c r="T82" s="120"/>
      <c r="U82" s="189"/>
      <c r="V82" s="188"/>
      <c r="W82" s="188"/>
      <c r="X82" s="188"/>
      <c r="Y82" s="189"/>
      <c r="Z82" s="189"/>
      <c r="AA82" s="188"/>
      <c r="AB82" s="188"/>
      <c r="AC82" s="188"/>
      <c r="AD82" s="189"/>
      <c r="AE82" s="189"/>
      <c r="AF82" s="54"/>
      <c r="AG82" s="54"/>
      <c r="AH82" s="54"/>
    </row>
    <row r="83" spans="1:34" ht="14.75" customHeight="1" x14ac:dyDescent="0.4">
      <c r="A83" s="126"/>
      <c r="B83" s="127"/>
      <c r="C83" s="132"/>
      <c r="D83" s="123" t="s">
        <v>265</v>
      </c>
      <c r="E83" s="128">
        <v>20</v>
      </c>
      <c r="F83" s="128">
        <v>20</v>
      </c>
      <c r="G83" s="162" t="s">
        <v>65</v>
      </c>
      <c r="H83" s="581"/>
      <c r="I83" s="134"/>
      <c r="J83" s="83"/>
      <c r="K83" s="83"/>
      <c r="L83" s="83"/>
      <c r="M83" s="83"/>
      <c r="N83" s="83"/>
      <c r="O83" s="83"/>
      <c r="P83" s="106"/>
      <c r="Q83" s="483"/>
      <c r="R83" s="188"/>
      <c r="S83" s="120"/>
      <c r="T83" s="120"/>
      <c r="U83" s="189"/>
      <c r="V83" s="188"/>
      <c r="W83" s="188"/>
      <c r="X83" s="188"/>
      <c r="Y83" s="189"/>
      <c r="Z83" s="189"/>
      <c r="AA83" s="188"/>
      <c r="AB83" s="188"/>
      <c r="AC83" s="188"/>
      <c r="AD83" s="189"/>
      <c r="AE83" s="189"/>
      <c r="AF83" s="54"/>
      <c r="AG83" s="54"/>
      <c r="AH83" s="54"/>
    </row>
    <row r="84" spans="1:34" ht="14.75" customHeight="1" x14ac:dyDescent="0.4">
      <c r="A84" s="126"/>
      <c r="B84" s="127"/>
      <c r="C84" s="132"/>
      <c r="D84" s="123" t="s">
        <v>266</v>
      </c>
      <c r="E84" s="128">
        <v>0.15</v>
      </c>
      <c r="F84" s="128">
        <v>0.15</v>
      </c>
      <c r="G84" s="162" t="s">
        <v>65</v>
      </c>
      <c r="H84" s="581"/>
      <c r="I84" s="134"/>
      <c r="J84" s="83"/>
      <c r="K84" s="83"/>
      <c r="L84" s="83"/>
      <c r="M84" s="83"/>
      <c r="N84" s="83"/>
      <c r="O84" s="83"/>
      <c r="P84" s="106"/>
      <c r="Q84" s="483"/>
      <c r="R84" s="188"/>
      <c r="S84" s="120"/>
      <c r="T84" s="120"/>
      <c r="U84" s="189"/>
      <c r="V84" s="188"/>
      <c r="W84" s="188"/>
      <c r="X84" s="188"/>
      <c r="Y84" s="189"/>
      <c r="Z84" s="189"/>
      <c r="AA84" s="188"/>
      <c r="AB84" s="188"/>
      <c r="AC84" s="188"/>
      <c r="AD84" s="189"/>
      <c r="AE84" s="189"/>
      <c r="AF84" s="54"/>
      <c r="AG84" s="54"/>
      <c r="AH84" s="54"/>
    </row>
    <row r="85" spans="1:34" ht="14.75" customHeight="1" x14ac:dyDescent="0.4">
      <c r="A85" s="126"/>
      <c r="B85" s="127"/>
      <c r="C85" s="132"/>
      <c r="D85" s="123" t="s">
        <v>267</v>
      </c>
      <c r="E85" s="128">
        <v>2.85</v>
      </c>
      <c r="F85" s="128">
        <v>2.85</v>
      </c>
      <c r="G85" s="162" t="s">
        <v>65</v>
      </c>
      <c r="H85" s="581"/>
      <c r="I85" s="134"/>
      <c r="J85" s="83"/>
      <c r="K85" s="83"/>
      <c r="L85" s="83"/>
      <c r="M85" s="83"/>
      <c r="N85" s="83"/>
      <c r="O85" s="83"/>
      <c r="P85" s="106"/>
      <c r="Q85" s="483"/>
      <c r="R85" s="188"/>
      <c r="S85" s="120"/>
      <c r="T85" s="120"/>
      <c r="U85" s="189"/>
      <c r="V85" s="188"/>
      <c r="W85" s="188"/>
      <c r="X85" s="188"/>
      <c r="Y85" s="189"/>
      <c r="Z85" s="189"/>
      <c r="AA85" s="188"/>
      <c r="AB85" s="188"/>
      <c r="AC85" s="188"/>
      <c r="AD85" s="189"/>
      <c r="AE85" s="189"/>
      <c r="AF85" s="54"/>
      <c r="AG85" s="54"/>
      <c r="AH85" s="54"/>
    </row>
    <row r="86" spans="1:34" ht="14.75" customHeight="1" x14ac:dyDescent="0.4">
      <c r="A86" s="468"/>
      <c r="B86" s="112"/>
      <c r="C86" s="112"/>
      <c r="D86" s="123" t="s">
        <v>714</v>
      </c>
      <c r="E86" s="581"/>
      <c r="F86" s="128">
        <v>11.7</v>
      </c>
      <c r="G86" s="162" t="s">
        <v>65</v>
      </c>
      <c r="H86" s="581"/>
      <c r="I86" s="134"/>
      <c r="J86" s="83"/>
      <c r="K86" s="83"/>
      <c r="L86" s="83"/>
      <c r="M86" s="83"/>
      <c r="N86" s="83"/>
      <c r="O86" s="83"/>
      <c r="P86" s="106"/>
      <c r="Q86" s="483"/>
      <c r="R86" s="188"/>
      <c r="S86" s="120"/>
      <c r="T86" s="120"/>
      <c r="U86" s="189"/>
      <c r="V86" s="188"/>
      <c r="W86" s="188"/>
      <c r="X86" s="188"/>
      <c r="Y86" s="189"/>
      <c r="Z86" s="189"/>
      <c r="AA86" s="188"/>
      <c r="AB86" s="188"/>
      <c r="AC86" s="188"/>
      <c r="AD86" s="189"/>
      <c r="AE86" s="189"/>
      <c r="AF86" s="54"/>
      <c r="AG86" s="54"/>
      <c r="AH86" s="54"/>
    </row>
    <row r="87" spans="1:34" ht="14.75" customHeight="1" x14ac:dyDescent="0.4">
      <c r="A87" s="468"/>
      <c r="B87" s="112"/>
      <c r="C87" s="112"/>
      <c r="D87" s="123" t="s">
        <v>713</v>
      </c>
      <c r="E87" s="128">
        <v>0.6</v>
      </c>
      <c r="F87" s="128">
        <v>0.6</v>
      </c>
      <c r="G87" s="162" t="s">
        <v>30</v>
      </c>
      <c r="H87" s="581"/>
      <c r="I87" s="134"/>
      <c r="J87" s="83"/>
      <c r="K87" s="83"/>
      <c r="L87" s="83"/>
      <c r="M87" s="83"/>
      <c r="N87" s="83"/>
      <c r="O87" s="83"/>
      <c r="P87" s="106"/>
      <c r="Q87" s="483"/>
      <c r="R87" s="188"/>
      <c r="S87" s="120"/>
      <c r="T87" s="120"/>
      <c r="U87" s="189"/>
      <c r="V87" s="188"/>
      <c r="W87" s="188"/>
      <c r="X87" s="188"/>
      <c r="Y87" s="189"/>
      <c r="Z87" s="189"/>
      <c r="AA87" s="188"/>
      <c r="AB87" s="188"/>
      <c r="AC87" s="188"/>
      <c r="AD87" s="189"/>
      <c r="AE87" s="189"/>
      <c r="AF87" s="54"/>
      <c r="AG87" s="54"/>
      <c r="AH87" s="54"/>
    </row>
    <row r="88" spans="1:34" ht="14.75" customHeight="1" x14ac:dyDescent="0.4">
      <c r="A88" s="126"/>
      <c r="B88" s="127"/>
      <c r="C88" s="132"/>
      <c r="D88" s="123" t="s">
        <v>268</v>
      </c>
      <c r="E88" s="128">
        <v>1.8</v>
      </c>
      <c r="F88" s="128">
        <v>1.8</v>
      </c>
      <c r="G88" s="162" t="s">
        <v>138</v>
      </c>
      <c r="H88" s="581"/>
      <c r="I88" s="134"/>
      <c r="J88" s="83"/>
      <c r="K88" s="83"/>
      <c r="L88" s="83"/>
      <c r="M88" s="83"/>
      <c r="N88" s="83"/>
      <c r="O88" s="83"/>
      <c r="P88" s="106"/>
      <c r="Q88" s="483"/>
      <c r="R88" s="188"/>
      <c r="S88" s="120"/>
      <c r="T88" s="120"/>
      <c r="U88" s="189"/>
      <c r="V88" s="188"/>
      <c r="W88" s="188"/>
      <c r="X88" s="188"/>
      <c r="Y88" s="189"/>
      <c r="Z88" s="189"/>
      <c r="AA88" s="188"/>
      <c r="AB88" s="188"/>
      <c r="AC88" s="188"/>
      <c r="AD88" s="189"/>
      <c r="AE88" s="189"/>
      <c r="AF88" s="54"/>
      <c r="AG88" s="54"/>
      <c r="AH88" s="54"/>
    </row>
    <row r="89" spans="1:34" ht="14.75" customHeight="1" x14ac:dyDescent="0.4">
      <c r="A89" s="126"/>
      <c r="B89" s="127"/>
      <c r="C89" s="132"/>
      <c r="D89" s="123" t="s">
        <v>269</v>
      </c>
      <c r="E89" s="128">
        <v>78</v>
      </c>
      <c r="F89" s="128">
        <v>78</v>
      </c>
      <c r="G89" s="162" t="s">
        <v>66</v>
      </c>
      <c r="H89" s="581"/>
      <c r="I89" s="134"/>
      <c r="J89" s="83"/>
      <c r="K89" s="83"/>
      <c r="L89" s="83"/>
      <c r="M89" s="83"/>
      <c r="N89" s="83"/>
      <c r="O89" s="83"/>
      <c r="P89" s="106"/>
      <c r="Q89" s="483"/>
      <c r="R89" s="188"/>
      <c r="S89" s="120"/>
      <c r="T89" s="120"/>
      <c r="U89" s="189"/>
      <c r="V89" s="188"/>
      <c r="W89" s="188"/>
      <c r="X89" s="188"/>
      <c r="Y89" s="189"/>
      <c r="Z89" s="189"/>
      <c r="AA89" s="188"/>
      <c r="AB89" s="188"/>
      <c r="AC89" s="188"/>
      <c r="AD89" s="189"/>
      <c r="AE89" s="189"/>
      <c r="AF89" s="54"/>
      <c r="AG89" s="54"/>
      <c r="AH89" s="54"/>
    </row>
    <row r="90" spans="1:34" ht="14.75" customHeight="1" x14ac:dyDescent="0.4">
      <c r="A90" s="126"/>
      <c r="B90" s="127"/>
      <c r="C90" s="132"/>
      <c r="D90" s="123" t="s">
        <v>526</v>
      </c>
      <c r="E90" s="128">
        <v>1.3</v>
      </c>
      <c r="F90" s="128">
        <v>1.3</v>
      </c>
      <c r="G90" s="162" t="s">
        <v>0</v>
      </c>
      <c r="H90" s="581"/>
      <c r="I90" s="134"/>
      <c r="J90" s="83"/>
      <c r="K90" s="83"/>
      <c r="L90" s="83"/>
      <c r="M90" s="83"/>
      <c r="N90" s="83"/>
      <c r="O90" s="83"/>
      <c r="P90" s="106"/>
      <c r="Q90" s="483"/>
      <c r="R90" s="188"/>
      <c r="S90" s="120"/>
      <c r="T90" s="120"/>
      <c r="U90" s="189"/>
      <c r="V90" s="188"/>
      <c r="W90" s="188"/>
      <c r="X90" s="188"/>
      <c r="Y90" s="189"/>
      <c r="Z90" s="189"/>
      <c r="AA90" s="188"/>
      <c r="AB90" s="188"/>
      <c r="AC90" s="188"/>
      <c r="AD90" s="189"/>
      <c r="AE90" s="189"/>
      <c r="AF90" s="54"/>
      <c r="AG90" s="54"/>
      <c r="AH90" s="54"/>
    </row>
    <row r="91" spans="1:34" ht="14.75" customHeight="1" x14ac:dyDescent="0.4">
      <c r="A91" s="126"/>
      <c r="B91" s="127"/>
      <c r="C91" s="132"/>
      <c r="D91" s="123" t="s">
        <v>523</v>
      </c>
      <c r="E91" s="128">
        <v>0.8</v>
      </c>
      <c r="F91" s="128">
        <v>0.8</v>
      </c>
      <c r="G91" s="162" t="s">
        <v>0</v>
      </c>
      <c r="H91" s="581"/>
      <c r="I91" s="134"/>
      <c r="J91" s="83"/>
      <c r="K91" s="83"/>
      <c r="L91" s="83"/>
      <c r="M91" s="83"/>
      <c r="N91" s="83"/>
      <c r="O91" s="83"/>
      <c r="P91" s="106"/>
      <c r="Q91" s="483"/>
      <c r="R91" s="188"/>
      <c r="S91" s="120"/>
      <c r="T91" s="120"/>
      <c r="U91" s="189"/>
      <c r="V91" s="188"/>
      <c r="W91" s="188"/>
      <c r="X91" s="188"/>
      <c r="Y91" s="189"/>
      <c r="Z91" s="189"/>
      <c r="AA91" s="188"/>
      <c r="AB91" s="188"/>
      <c r="AC91" s="188"/>
      <c r="AD91" s="189"/>
      <c r="AE91" s="189"/>
      <c r="AF91" s="54"/>
      <c r="AG91" s="54"/>
      <c r="AH91" s="54"/>
    </row>
    <row r="92" spans="1:34" ht="14.25" customHeight="1" x14ac:dyDescent="0.4">
      <c r="A92" s="126"/>
      <c r="B92" s="127"/>
      <c r="C92" s="127"/>
      <c r="D92" s="123" t="s">
        <v>525</v>
      </c>
      <c r="E92" s="2"/>
      <c r="F92" s="128">
        <v>10.199999999999999</v>
      </c>
      <c r="G92" s="162" t="s">
        <v>65</v>
      </c>
      <c r="H92" s="588"/>
      <c r="I92" s="134"/>
      <c r="J92" s="83"/>
      <c r="K92" s="83"/>
      <c r="L92" s="83"/>
      <c r="M92" s="83"/>
      <c r="N92" s="83"/>
      <c r="O92" s="83"/>
      <c r="P92" s="106"/>
      <c r="Q92" s="483"/>
      <c r="R92" s="188"/>
      <c r="S92" s="120"/>
      <c r="T92" s="120"/>
      <c r="U92" s="189"/>
      <c r="V92" s="188"/>
      <c r="W92" s="188"/>
      <c r="X92" s="188"/>
      <c r="Y92" s="189"/>
      <c r="Z92" s="189"/>
      <c r="AA92" s="188"/>
      <c r="AB92" s="188"/>
      <c r="AC92" s="188"/>
      <c r="AD92" s="189"/>
      <c r="AE92" s="189"/>
      <c r="AF92" s="54"/>
      <c r="AG92" s="54"/>
      <c r="AH92" s="54"/>
    </row>
    <row r="93" spans="1:34" ht="14.75" customHeight="1" thickBot="1" x14ac:dyDescent="0.45">
      <c r="A93" s="192"/>
      <c r="B93" s="174"/>
      <c r="C93" s="193"/>
      <c r="D93" s="175" t="s">
        <v>270</v>
      </c>
      <c r="E93" s="246">
        <v>55</v>
      </c>
      <c r="F93" s="246">
        <v>55</v>
      </c>
      <c r="G93" s="176" t="s">
        <v>202</v>
      </c>
      <c r="H93" s="632"/>
      <c r="I93" s="134"/>
      <c r="J93" s="83"/>
      <c r="K93" s="83"/>
      <c r="L93" s="83"/>
      <c r="M93" s="83"/>
      <c r="N93" s="83"/>
      <c r="O93" s="83"/>
      <c r="P93" s="106"/>
      <c r="Q93" s="483"/>
      <c r="R93" s="188"/>
      <c r="S93" s="120"/>
      <c r="T93" s="120"/>
      <c r="U93" s="189"/>
      <c r="V93" s="188"/>
      <c r="W93" s="188"/>
      <c r="X93" s="188"/>
      <c r="Y93" s="189"/>
      <c r="Z93" s="189"/>
      <c r="AA93" s="188"/>
      <c r="AB93" s="188"/>
      <c r="AC93" s="188"/>
      <c r="AD93" s="189"/>
      <c r="AE93" s="189"/>
      <c r="AF93" s="54"/>
      <c r="AG93" s="54"/>
      <c r="AH93" s="54"/>
    </row>
    <row r="94" spans="1:34" ht="14.75" customHeight="1" thickBot="1" x14ac:dyDescent="0.35">
      <c r="A94" s="126"/>
      <c r="B94" s="127"/>
      <c r="C94" s="132"/>
      <c r="D94" s="123"/>
      <c r="E94" s="134"/>
      <c r="F94" s="194"/>
      <c r="G94" s="127"/>
      <c r="H94" s="127"/>
      <c r="I94" s="83"/>
      <c r="J94" s="83"/>
      <c r="K94" s="83"/>
      <c r="L94" s="83"/>
      <c r="M94" s="83"/>
      <c r="N94" s="83"/>
      <c r="O94" s="83"/>
      <c r="P94" s="106"/>
      <c r="Q94" s="483"/>
      <c r="R94" s="188"/>
      <c r="S94" s="120"/>
      <c r="T94" s="120"/>
      <c r="U94" s="189"/>
      <c r="V94" s="188"/>
      <c r="W94" s="188"/>
      <c r="X94" s="188"/>
      <c r="Y94" s="189"/>
      <c r="Z94" s="189"/>
      <c r="AA94" s="188"/>
      <c r="AB94" s="188"/>
      <c r="AC94" s="188"/>
      <c r="AD94" s="189"/>
      <c r="AE94" s="189"/>
      <c r="AF94" s="54"/>
      <c r="AG94" s="54"/>
      <c r="AH94" s="54"/>
    </row>
    <row r="95" spans="1:34" ht="14.75" customHeight="1" x14ac:dyDescent="0.3">
      <c r="A95" s="571" t="s">
        <v>494</v>
      </c>
      <c r="B95" s="458"/>
      <c r="C95" s="459"/>
      <c r="D95" s="471"/>
      <c r="E95" s="564"/>
      <c r="F95" s="565"/>
      <c r="G95" s="460"/>
      <c r="H95" s="127"/>
      <c r="I95" s="83"/>
      <c r="J95" s="83"/>
      <c r="K95" s="83"/>
      <c r="L95" s="83"/>
      <c r="M95" s="83"/>
      <c r="N95" s="83"/>
      <c r="O95" s="83"/>
      <c r="P95" s="106"/>
      <c r="Q95" s="483"/>
      <c r="R95" s="188"/>
      <c r="S95" s="120"/>
      <c r="T95" s="120"/>
      <c r="U95" s="189"/>
      <c r="V95" s="188"/>
      <c r="W95" s="188"/>
      <c r="X95" s="188"/>
      <c r="Y95" s="189"/>
      <c r="Z95" s="189"/>
      <c r="AA95" s="188"/>
      <c r="AB95" s="188"/>
      <c r="AC95" s="188"/>
      <c r="AD95" s="189"/>
      <c r="AE95" s="189"/>
      <c r="AF95" s="54"/>
      <c r="AG95" s="54"/>
      <c r="AH95" s="54"/>
    </row>
    <row r="96" spans="1:34" ht="14.75" customHeight="1" x14ac:dyDescent="0.4">
      <c r="A96" s="126"/>
      <c r="B96" s="127"/>
      <c r="C96" s="127"/>
      <c r="D96" s="123" t="s">
        <v>527</v>
      </c>
      <c r="E96" s="112"/>
      <c r="F96" s="247">
        <v>0</v>
      </c>
      <c r="G96" s="162" t="s">
        <v>0</v>
      </c>
      <c r="H96" s="127"/>
      <c r="I96" s="83"/>
      <c r="J96" s="83"/>
      <c r="K96" s="83"/>
      <c r="L96" s="83"/>
      <c r="M96" s="83"/>
      <c r="N96" s="83"/>
      <c r="O96" s="83"/>
      <c r="P96" s="106"/>
      <c r="Q96" s="483"/>
      <c r="R96" s="188"/>
      <c r="S96" s="120"/>
      <c r="T96" s="120"/>
      <c r="U96" s="189"/>
      <c r="V96" s="188"/>
      <c r="W96" s="188"/>
      <c r="X96" s="188"/>
      <c r="Y96" s="189"/>
      <c r="Z96" s="189"/>
      <c r="AA96" s="188"/>
      <c r="AB96" s="188"/>
      <c r="AC96" s="188"/>
      <c r="AD96" s="189"/>
      <c r="AE96" s="189"/>
      <c r="AF96" s="54"/>
      <c r="AG96" s="54"/>
      <c r="AH96" s="54"/>
    </row>
    <row r="97" spans="1:34" ht="14.75" customHeight="1" thickBot="1" x14ac:dyDescent="0.45">
      <c r="A97" s="192"/>
      <c r="B97" s="174"/>
      <c r="C97" s="174"/>
      <c r="D97" s="175" t="s">
        <v>524</v>
      </c>
      <c r="E97" s="543"/>
      <c r="F97" s="248">
        <v>0</v>
      </c>
      <c r="G97" s="176" t="s">
        <v>65</v>
      </c>
      <c r="H97" s="127"/>
      <c r="I97" s="83"/>
      <c r="J97" s="83"/>
      <c r="K97" s="83"/>
      <c r="L97" s="83"/>
      <c r="M97" s="83"/>
      <c r="N97" s="83"/>
      <c r="O97" s="83"/>
      <c r="P97" s="106"/>
      <c r="Q97" s="483"/>
      <c r="R97" s="188"/>
      <c r="S97" s="120"/>
      <c r="T97" s="120"/>
      <c r="U97" s="189"/>
      <c r="V97" s="188"/>
      <c r="W97" s="188"/>
      <c r="X97" s="188"/>
      <c r="Y97" s="189"/>
      <c r="Z97" s="189"/>
      <c r="AA97" s="188"/>
      <c r="AB97" s="188"/>
      <c r="AC97" s="188"/>
      <c r="AD97" s="189"/>
      <c r="AE97" s="189"/>
      <c r="AF97" s="54"/>
      <c r="AG97" s="54"/>
      <c r="AH97" s="54"/>
    </row>
    <row r="98" spans="1:34" ht="14.75" customHeight="1" x14ac:dyDescent="0.3">
      <c r="A98" s="184"/>
      <c r="B98" s="134"/>
      <c r="C98" s="134"/>
      <c r="D98" s="580"/>
      <c r="E98" s="112"/>
      <c r="F98" s="112"/>
      <c r="G98" s="112"/>
      <c r="H98" s="127"/>
      <c r="I98" s="83"/>
      <c r="J98" s="83"/>
      <c r="K98" s="83"/>
      <c r="L98" s="83"/>
      <c r="M98" s="83"/>
      <c r="N98" s="83"/>
      <c r="O98" s="83"/>
      <c r="P98" s="106"/>
      <c r="Q98" s="483"/>
      <c r="R98" s="188"/>
      <c r="S98" s="120"/>
      <c r="T98" s="120"/>
      <c r="U98" s="189"/>
      <c r="V98" s="188"/>
      <c r="W98" s="188"/>
      <c r="X98" s="188"/>
      <c r="Y98" s="189"/>
      <c r="Z98" s="189"/>
      <c r="AA98" s="188"/>
      <c r="AB98" s="188"/>
      <c r="AC98" s="188"/>
      <c r="AD98" s="189"/>
      <c r="AE98" s="189"/>
      <c r="AF98" s="54"/>
      <c r="AG98" s="54"/>
      <c r="AH98" s="54"/>
    </row>
    <row r="99" spans="1:34" ht="19.5" customHeight="1" x14ac:dyDescent="0.3">
      <c r="A99" s="184"/>
      <c r="B99" s="134"/>
      <c r="C99" s="581"/>
      <c r="D99" s="580"/>
      <c r="E99" s="112"/>
      <c r="F99" s="112"/>
      <c r="G99" s="112"/>
      <c r="H99" s="127"/>
      <c r="I99" s="83"/>
      <c r="J99" s="83"/>
      <c r="K99" s="83"/>
      <c r="L99" s="83"/>
      <c r="M99" s="83"/>
      <c r="N99" s="83"/>
      <c r="O99" s="83"/>
      <c r="P99" s="106"/>
      <c r="Q99" s="483"/>
      <c r="R99" s="188"/>
      <c r="S99" s="120"/>
      <c r="T99" s="120"/>
      <c r="U99" s="189"/>
      <c r="V99" s="188"/>
      <c r="W99" s="188"/>
      <c r="X99" s="188"/>
      <c r="Y99" s="189"/>
      <c r="Z99" s="189"/>
      <c r="AA99" s="188"/>
      <c r="AB99" s="188"/>
      <c r="AC99" s="188"/>
      <c r="AD99" s="189"/>
      <c r="AE99" s="189"/>
      <c r="AF99" s="54"/>
      <c r="AG99" s="54"/>
      <c r="AH99" s="54"/>
    </row>
    <row r="100" spans="1:34" ht="15" customHeight="1" x14ac:dyDescent="0.3">
      <c r="A100" s="184"/>
      <c r="B100" s="134"/>
      <c r="C100" s="581"/>
      <c r="D100" s="580"/>
      <c r="E100" s="112"/>
      <c r="F100" s="112"/>
      <c r="G100" s="112"/>
      <c r="H100" s="127"/>
      <c r="I100" s="83"/>
      <c r="J100" s="83"/>
      <c r="K100" s="83"/>
      <c r="L100" s="83"/>
      <c r="M100" s="83"/>
      <c r="N100" s="83"/>
      <c r="O100" s="83"/>
      <c r="P100" s="106"/>
      <c r="Q100" s="483"/>
      <c r="R100" s="54"/>
      <c r="S100" s="6"/>
      <c r="T100" s="6"/>
      <c r="V100" s="54"/>
      <c r="W100" s="54"/>
      <c r="X100" s="54"/>
      <c r="AA100" s="54"/>
      <c r="AB100" s="54"/>
      <c r="AC100" s="54"/>
      <c r="AF100" s="54"/>
      <c r="AG100" s="54"/>
      <c r="AH100" s="54"/>
    </row>
    <row r="101" spans="1:34" ht="19.5" customHeight="1" thickBot="1" x14ac:dyDescent="0.4">
      <c r="A101" s="150" t="s">
        <v>701</v>
      </c>
      <c r="B101" s="134"/>
      <c r="C101" s="581"/>
      <c r="D101" s="580"/>
      <c r="E101" s="112"/>
      <c r="F101" s="112"/>
      <c r="G101" s="112"/>
      <c r="H101" s="127"/>
      <c r="I101" s="83"/>
      <c r="J101" s="83"/>
      <c r="K101" s="83"/>
      <c r="L101" s="83"/>
      <c r="M101" s="83"/>
      <c r="N101" s="83"/>
      <c r="O101" s="83"/>
      <c r="P101" s="106"/>
      <c r="Q101" s="483"/>
      <c r="R101" s="54"/>
      <c r="S101" s="54"/>
      <c r="V101" s="54"/>
      <c r="W101" s="54"/>
      <c r="X101" s="54"/>
      <c r="AA101" s="54"/>
      <c r="AB101" s="54"/>
      <c r="AC101" s="54"/>
      <c r="AF101" s="54"/>
      <c r="AG101" s="54"/>
      <c r="AH101" s="54"/>
    </row>
    <row r="102" spans="1:34" ht="15.75" customHeight="1" x14ac:dyDescent="0.3">
      <c r="A102" s="183"/>
      <c r="B102" s="153"/>
      <c r="C102" s="154"/>
      <c r="D102" s="154" t="s">
        <v>712</v>
      </c>
      <c r="E102" s="541">
        <f>'Variable Management'!B362</f>
        <v>0.10709952</v>
      </c>
      <c r="F102" s="161" t="s">
        <v>116</v>
      </c>
      <c r="G102" s="112"/>
      <c r="H102" s="127"/>
      <c r="I102" s="83"/>
      <c r="J102" s="83"/>
      <c r="K102" s="83"/>
      <c r="L102" s="83"/>
      <c r="M102" s="83"/>
      <c r="N102" s="83"/>
      <c r="O102" s="83"/>
      <c r="P102" s="106"/>
      <c r="Q102" s="483"/>
      <c r="R102" s="54"/>
      <c r="S102" s="54"/>
      <c r="V102" s="54"/>
      <c r="W102" s="54"/>
      <c r="X102" s="54"/>
      <c r="AA102" s="54"/>
      <c r="AB102" s="54"/>
      <c r="AC102" s="54"/>
      <c r="AF102" s="54"/>
      <c r="AG102" s="54"/>
      <c r="AH102" s="54"/>
    </row>
    <row r="103" spans="1:34" ht="15.75" customHeight="1" x14ac:dyDescent="0.3">
      <c r="A103" s="583"/>
      <c r="B103" s="127"/>
      <c r="C103" s="127"/>
      <c r="D103" s="255" t="s">
        <v>702</v>
      </c>
      <c r="E103" s="256">
        <f>'Variable Management'!B364</f>
        <v>28.652093632</v>
      </c>
      <c r="F103" s="257" t="s">
        <v>223</v>
      </c>
      <c r="G103" s="112"/>
      <c r="H103" s="127"/>
      <c r="I103" s="83"/>
      <c r="J103" s="83"/>
      <c r="K103" s="83"/>
      <c r="L103" s="83"/>
      <c r="M103" s="83"/>
      <c r="N103" s="83"/>
      <c r="O103" s="83"/>
      <c r="P103" s="106"/>
      <c r="Q103" s="483"/>
      <c r="R103" s="54"/>
      <c r="S103" s="54"/>
      <c r="V103" s="54"/>
      <c r="W103" s="54"/>
      <c r="X103" s="54"/>
      <c r="AA103" s="54"/>
      <c r="AB103" s="54"/>
      <c r="AC103" s="54"/>
      <c r="AF103" s="54"/>
      <c r="AG103" s="54"/>
      <c r="AH103" s="54"/>
    </row>
    <row r="104" spans="1:34" ht="14.25" customHeight="1" thickBot="1" x14ac:dyDescent="0.35">
      <c r="A104" s="643"/>
      <c r="B104" s="644"/>
      <c r="C104" s="644"/>
      <c r="D104" s="645"/>
      <c r="E104" s="645" t="str">
        <f>CHOOSE(Ext_VCC, "", "* Tie VCCX to PGND")</f>
        <v>* Tie VCCX to PGND</v>
      </c>
      <c r="F104" s="646"/>
      <c r="G104" s="112"/>
      <c r="H104" s="127"/>
      <c r="I104" s="83"/>
      <c r="J104" s="83"/>
      <c r="K104" s="83"/>
      <c r="L104" s="83"/>
      <c r="M104" s="83"/>
      <c r="N104" s="83"/>
      <c r="O104" s="83"/>
      <c r="P104" s="106"/>
      <c r="Q104" s="483"/>
      <c r="R104" s="54"/>
      <c r="S104" s="54"/>
      <c r="V104" s="54"/>
      <c r="W104" s="54"/>
      <c r="X104" s="54"/>
      <c r="AA104" s="54"/>
      <c r="AB104" s="54"/>
      <c r="AC104" s="54"/>
      <c r="AF104" s="54"/>
      <c r="AG104" s="54"/>
      <c r="AH104" s="54"/>
    </row>
    <row r="105" spans="1:34" ht="14.75" customHeight="1" x14ac:dyDescent="0.3">
      <c r="A105" s="583"/>
      <c r="B105" s="127"/>
      <c r="C105" s="127"/>
      <c r="D105" s="123"/>
      <c r="E105" s="2"/>
      <c r="F105" s="127"/>
      <c r="G105" s="127"/>
      <c r="H105" s="127"/>
      <c r="I105" s="87"/>
      <c r="J105" s="83"/>
      <c r="K105" s="83"/>
      <c r="L105" s="83"/>
      <c r="M105" s="83"/>
      <c r="N105" s="83"/>
      <c r="O105" s="83"/>
      <c r="P105" s="106"/>
      <c r="Q105" s="483"/>
      <c r="R105" s="54"/>
      <c r="S105" s="54"/>
      <c r="V105" s="54"/>
      <c r="W105" s="54"/>
      <c r="X105" s="54"/>
      <c r="AA105" s="54"/>
      <c r="AB105" s="54"/>
      <c r="AC105" s="54"/>
      <c r="AF105" s="54"/>
      <c r="AG105" s="54"/>
      <c r="AH105" s="54"/>
    </row>
    <row r="106" spans="1:34" ht="13.5" thickBot="1" x14ac:dyDescent="0.35">
      <c r="A106" s="158"/>
      <c r="B106" s="159"/>
      <c r="C106" s="159"/>
      <c r="D106" s="159"/>
      <c r="E106" s="202"/>
      <c r="F106" s="159"/>
      <c r="G106" s="159"/>
      <c r="H106" s="159"/>
      <c r="I106" s="203"/>
      <c r="J106" s="203"/>
      <c r="K106" s="203"/>
      <c r="L106" s="203"/>
      <c r="M106" s="203"/>
      <c r="N106" s="203"/>
      <c r="O106" s="203"/>
      <c r="P106" s="204"/>
      <c r="Q106" s="483"/>
      <c r="R106" s="54"/>
      <c r="S106" s="54"/>
      <c r="V106" s="54"/>
      <c r="W106" s="54"/>
      <c r="X106" s="54"/>
      <c r="AA106" s="54"/>
      <c r="AB106" s="54"/>
      <c r="AC106" s="54"/>
      <c r="AF106" s="54"/>
      <c r="AG106" s="54"/>
      <c r="AH106" s="54"/>
    </row>
    <row r="107" spans="1:34" x14ac:dyDescent="0.3">
      <c r="A107" s="480"/>
      <c r="B107" s="481"/>
      <c r="C107" s="482"/>
      <c r="D107" s="482"/>
      <c r="E107" s="482"/>
      <c r="F107" s="482"/>
      <c r="G107" s="482"/>
      <c r="H107" s="482"/>
      <c r="I107" s="482"/>
      <c r="J107" s="482"/>
      <c r="K107" s="482"/>
      <c r="L107" s="482"/>
      <c r="M107" s="482"/>
      <c r="N107" s="482"/>
      <c r="O107" s="482"/>
      <c r="P107" s="482"/>
      <c r="Q107" s="483"/>
      <c r="R107" s="54"/>
      <c r="S107" s="54"/>
      <c r="V107" s="54"/>
      <c r="W107" s="54"/>
      <c r="X107" s="54"/>
      <c r="AA107" s="54"/>
      <c r="AB107" s="54"/>
      <c r="AC107" s="54"/>
      <c r="AF107" s="54"/>
      <c r="AG107" s="54"/>
      <c r="AH107" s="54"/>
    </row>
    <row r="108" spans="1:34" x14ac:dyDescent="0.3">
      <c r="A108" s="79"/>
      <c r="Q108" s="54"/>
      <c r="R108" s="54"/>
      <c r="S108" s="54"/>
      <c r="V108" s="54"/>
      <c r="W108" s="54"/>
      <c r="X108" s="54"/>
      <c r="AA108" s="54"/>
      <c r="AB108" s="54"/>
      <c r="AC108" s="54"/>
      <c r="AF108" s="54"/>
      <c r="AG108" s="54"/>
      <c r="AH108" s="54"/>
    </row>
    <row r="109" spans="1:34" x14ac:dyDescent="0.3">
      <c r="Q109" s="54"/>
      <c r="R109" s="54"/>
      <c r="S109" s="54"/>
      <c r="V109" s="54"/>
      <c r="W109" s="54"/>
      <c r="X109" s="54"/>
      <c r="AA109" s="54"/>
      <c r="AB109" s="54"/>
      <c r="AC109" s="54"/>
      <c r="AF109" s="54"/>
      <c r="AG109" s="54"/>
      <c r="AH109" s="54"/>
    </row>
    <row r="110" spans="1:34" x14ac:dyDescent="0.3">
      <c r="Q110" s="54"/>
      <c r="R110" s="54"/>
      <c r="S110" s="54"/>
      <c r="V110" s="54"/>
      <c r="W110" s="54"/>
      <c r="X110" s="54"/>
      <c r="AA110" s="54"/>
      <c r="AB110" s="54"/>
      <c r="AC110" s="54"/>
      <c r="AF110" s="54"/>
      <c r="AG110" s="54"/>
      <c r="AH110" s="54"/>
    </row>
    <row r="111" spans="1:34" x14ac:dyDescent="0.3">
      <c r="Q111" s="54"/>
      <c r="R111" s="54"/>
      <c r="S111" s="54"/>
      <c r="V111" s="54"/>
      <c r="W111" s="54"/>
      <c r="X111" s="54"/>
      <c r="AA111" s="54"/>
      <c r="AB111" s="54"/>
      <c r="AC111" s="54"/>
      <c r="AF111" s="54"/>
      <c r="AG111" s="54"/>
      <c r="AH111" s="54"/>
    </row>
    <row r="112" spans="1:34" x14ac:dyDescent="0.3">
      <c r="Q112" s="54"/>
      <c r="R112" s="54"/>
      <c r="S112" s="54"/>
      <c r="V112" s="54"/>
      <c r="W112" s="54"/>
      <c r="X112" s="54"/>
      <c r="AA112" s="54"/>
      <c r="AB112" s="54"/>
      <c r="AC112" s="54"/>
      <c r="AF112" s="54"/>
      <c r="AG112" s="54"/>
      <c r="AH112" s="54"/>
    </row>
    <row r="113" spans="17:34" x14ac:dyDescent="0.3">
      <c r="Q113" s="54"/>
      <c r="R113" s="54"/>
      <c r="S113" s="54"/>
      <c r="V113" s="54"/>
      <c r="W113" s="54"/>
      <c r="X113" s="54"/>
      <c r="AA113" s="54"/>
      <c r="AB113" s="54"/>
      <c r="AC113" s="54"/>
      <c r="AF113" s="54"/>
      <c r="AG113" s="54"/>
      <c r="AH113" s="54"/>
    </row>
    <row r="114" spans="17:34" x14ac:dyDescent="0.3">
      <c r="Q114" s="54"/>
      <c r="R114" s="54"/>
      <c r="S114" s="54"/>
      <c r="V114" s="54"/>
      <c r="W114" s="54"/>
      <c r="X114" s="54"/>
      <c r="AA114" s="54"/>
      <c r="AB114" s="54"/>
      <c r="AC114" s="54"/>
      <c r="AF114" s="54"/>
      <c r="AG114" s="54"/>
      <c r="AH114" s="54"/>
    </row>
    <row r="115" spans="17:34" x14ac:dyDescent="0.3">
      <c r="Q115" s="54"/>
      <c r="R115" s="54"/>
      <c r="S115" s="54"/>
      <c r="V115" s="54"/>
      <c r="W115" s="54"/>
      <c r="X115" s="54"/>
      <c r="AA115" s="54"/>
      <c r="AB115" s="54"/>
      <c r="AC115" s="54"/>
      <c r="AF115" s="54"/>
      <c r="AG115" s="54"/>
      <c r="AH115" s="54"/>
    </row>
    <row r="116" spans="17:34" x14ac:dyDescent="0.3">
      <c r="Q116" s="54"/>
      <c r="R116" s="54"/>
      <c r="S116" s="54"/>
      <c r="V116" s="54"/>
      <c r="W116" s="54"/>
      <c r="X116" s="54"/>
      <c r="AA116" s="54"/>
      <c r="AB116" s="54"/>
      <c r="AC116" s="54"/>
      <c r="AF116" s="54"/>
      <c r="AG116" s="54"/>
      <c r="AH116" s="54"/>
    </row>
    <row r="117" spans="17:34" x14ac:dyDescent="0.3">
      <c r="Q117" s="54"/>
      <c r="R117" s="54"/>
      <c r="S117" s="54"/>
      <c r="V117" s="54"/>
      <c r="W117" s="54"/>
      <c r="X117" s="54"/>
      <c r="AA117" s="54"/>
      <c r="AB117" s="54"/>
      <c r="AC117" s="54"/>
      <c r="AF117" s="54"/>
      <c r="AG117" s="54"/>
      <c r="AH117" s="54"/>
    </row>
    <row r="118" spans="17:34" x14ac:dyDescent="0.3">
      <c r="Q118" s="54"/>
      <c r="R118" s="54"/>
      <c r="S118" s="54"/>
      <c r="V118" s="54"/>
      <c r="W118" s="54"/>
      <c r="X118" s="54"/>
      <c r="AA118" s="54"/>
      <c r="AB118" s="54"/>
      <c r="AC118" s="54"/>
      <c r="AF118" s="54"/>
      <c r="AG118" s="54"/>
      <c r="AH118" s="54"/>
    </row>
    <row r="119" spans="17:34" x14ac:dyDescent="0.3">
      <c r="Q119" s="54"/>
      <c r="R119" s="54"/>
      <c r="S119" s="54"/>
      <c r="V119" s="54"/>
      <c r="W119" s="54"/>
      <c r="X119" s="54"/>
      <c r="AA119" s="54"/>
      <c r="AB119" s="54"/>
      <c r="AC119" s="54"/>
      <c r="AF119" s="54"/>
      <c r="AG119" s="54"/>
      <c r="AH119" s="54"/>
    </row>
    <row r="120" spans="17:34" x14ac:dyDescent="0.3">
      <c r="Q120" s="54"/>
      <c r="R120" s="54"/>
      <c r="S120" s="54"/>
      <c r="V120" s="54"/>
      <c r="W120" s="54"/>
      <c r="X120" s="54"/>
      <c r="AA120" s="54"/>
      <c r="AB120" s="54"/>
      <c r="AC120" s="54"/>
      <c r="AF120" s="54"/>
      <c r="AG120" s="54"/>
      <c r="AH120" s="54"/>
    </row>
    <row r="121" spans="17:34" x14ac:dyDescent="0.3">
      <c r="Q121" s="54"/>
      <c r="R121" s="54"/>
      <c r="S121" s="54"/>
      <c r="V121" s="54"/>
      <c r="W121" s="54"/>
      <c r="X121" s="54"/>
      <c r="AA121" s="54"/>
      <c r="AB121" s="54"/>
      <c r="AC121" s="54"/>
      <c r="AF121" s="54"/>
      <c r="AG121" s="54"/>
      <c r="AH121" s="54"/>
    </row>
    <row r="122" spans="17:34" x14ac:dyDescent="0.3">
      <c r="Q122" s="54"/>
      <c r="R122" s="54"/>
      <c r="S122" s="54"/>
      <c r="V122" s="54"/>
      <c r="W122" s="54"/>
      <c r="X122" s="54"/>
      <c r="AA122" s="54"/>
      <c r="AB122" s="54"/>
      <c r="AC122" s="54"/>
      <c r="AF122" s="54"/>
      <c r="AG122" s="54"/>
      <c r="AH122" s="54"/>
    </row>
    <row r="123" spans="17:34" x14ac:dyDescent="0.3">
      <c r="Q123" s="54"/>
      <c r="R123" s="54"/>
      <c r="S123" s="54"/>
      <c r="V123" s="54"/>
      <c r="W123" s="54"/>
      <c r="X123" s="54"/>
      <c r="AA123" s="54"/>
      <c r="AB123" s="54"/>
      <c r="AC123" s="54"/>
      <c r="AF123" s="54"/>
      <c r="AG123" s="54"/>
      <c r="AH123" s="54"/>
    </row>
    <row r="124" spans="17:34" x14ac:dyDescent="0.3">
      <c r="Q124" s="54"/>
      <c r="R124" s="54"/>
      <c r="S124" s="54"/>
      <c r="V124" s="54"/>
      <c r="W124" s="54"/>
      <c r="X124" s="54"/>
      <c r="AA124" s="54"/>
      <c r="AB124" s="54"/>
      <c r="AC124" s="54"/>
      <c r="AF124" s="54"/>
      <c r="AG124" s="54"/>
      <c r="AH124" s="54"/>
    </row>
    <row r="125" spans="17:34" x14ac:dyDescent="0.3">
      <c r="Q125" s="54"/>
      <c r="R125" s="54"/>
      <c r="S125" s="54"/>
      <c r="V125" s="54"/>
      <c r="W125" s="54"/>
      <c r="X125" s="54"/>
      <c r="AA125" s="54"/>
      <c r="AB125" s="54"/>
      <c r="AC125" s="54"/>
      <c r="AF125" s="54"/>
      <c r="AG125" s="54"/>
      <c r="AH125" s="54"/>
    </row>
    <row r="126" spans="17:34" x14ac:dyDescent="0.3">
      <c r="Q126" s="54"/>
      <c r="R126" s="54"/>
      <c r="S126" s="54"/>
      <c r="V126" s="54"/>
      <c r="W126" s="54"/>
      <c r="X126" s="54"/>
      <c r="AA126" s="54"/>
      <c r="AB126" s="54"/>
      <c r="AC126" s="54"/>
      <c r="AF126" s="54"/>
      <c r="AG126" s="54"/>
      <c r="AH126" s="54"/>
    </row>
    <row r="127" spans="17:34" x14ac:dyDescent="0.3">
      <c r="Q127" s="54"/>
      <c r="R127" s="54"/>
      <c r="S127" s="54"/>
      <c r="V127" s="54"/>
      <c r="W127" s="54"/>
      <c r="X127" s="54"/>
      <c r="AA127" s="54"/>
      <c r="AB127" s="54"/>
      <c r="AC127" s="54"/>
      <c r="AF127" s="54"/>
      <c r="AG127" s="54"/>
      <c r="AH127" s="54"/>
    </row>
    <row r="128" spans="17:34" x14ac:dyDescent="0.3">
      <c r="Q128" s="54"/>
      <c r="R128" s="54"/>
      <c r="S128" s="54"/>
      <c r="V128" s="54"/>
      <c r="W128" s="54"/>
      <c r="X128" s="54"/>
      <c r="AA128" s="54"/>
      <c r="AB128" s="54"/>
      <c r="AC128" s="54"/>
      <c r="AF128" s="54"/>
      <c r="AG128" s="54"/>
      <c r="AH128" s="54"/>
    </row>
    <row r="129" spans="17:34" x14ac:dyDescent="0.3">
      <c r="Q129" s="54"/>
      <c r="R129" s="54"/>
      <c r="S129" s="54"/>
      <c r="V129" s="54"/>
      <c r="W129" s="54"/>
      <c r="X129" s="54"/>
      <c r="AA129" s="54"/>
      <c r="AB129" s="54"/>
      <c r="AC129" s="54"/>
      <c r="AF129" s="54"/>
      <c r="AG129" s="54"/>
      <c r="AH129" s="54"/>
    </row>
    <row r="130" spans="17:34" x14ac:dyDescent="0.3">
      <c r="Q130" s="54"/>
      <c r="R130" s="54"/>
      <c r="S130" s="54"/>
      <c r="V130" s="54"/>
      <c r="W130" s="54"/>
      <c r="X130" s="54"/>
      <c r="AA130" s="54"/>
      <c r="AB130" s="54"/>
      <c r="AC130" s="54"/>
      <c r="AF130" s="54"/>
      <c r="AG130" s="54"/>
      <c r="AH130" s="54"/>
    </row>
    <row r="131" spans="17:34" x14ac:dyDescent="0.3">
      <c r="Q131" s="54"/>
      <c r="R131" s="54"/>
      <c r="S131" s="54"/>
      <c r="V131" s="54"/>
      <c r="W131" s="54"/>
      <c r="X131" s="54"/>
      <c r="AA131" s="54"/>
      <c r="AB131" s="54"/>
      <c r="AC131" s="54"/>
      <c r="AF131" s="54"/>
      <c r="AG131" s="54"/>
      <c r="AH131" s="54"/>
    </row>
    <row r="132" spans="17:34" x14ac:dyDescent="0.3">
      <c r="Q132" s="54"/>
      <c r="R132" s="54"/>
      <c r="S132" s="54"/>
      <c r="V132" s="54"/>
      <c r="W132" s="54"/>
      <c r="X132" s="54"/>
      <c r="AA132" s="54"/>
      <c r="AB132" s="54"/>
      <c r="AC132" s="54"/>
      <c r="AF132" s="54"/>
      <c r="AG132" s="54"/>
      <c r="AH132" s="54"/>
    </row>
    <row r="133" spans="17:34" x14ac:dyDescent="0.3">
      <c r="Q133" s="54"/>
      <c r="R133" s="54"/>
      <c r="S133" s="54"/>
      <c r="V133" s="54"/>
      <c r="W133" s="54"/>
      <c r="X133" s="54"/>
      <c r="AA133" s="54"/>
      <c r="AB133" s="54"/>
      <c r="AC133" s="54"/>
      <c r="AF133" s="54"/>
      <c r="AG133" s="54"/>
      <c r="AH133" s="54"/>
    </row>
    <row r="134" spans="17:34" x14ac:dyDescent="0.3">
      <c r="Q134" s="54"/>
      <c r="R134" s="54"/>
      <c r="S134" s="54"/>
      <c r="V134" s="54"/>
      <c r="W134" s="54"/>
      <c r="X134" s="54"/>
      <c r="AA134" s="54"/>
      <c r="AB134" s="54"/>
      <c r="AC134" s="54"/>
      <c r="AF134" s="54"/>
      <c r="AG134" s="54"/>
      <c r="AH134" s="54"/>
    </row>
    <row r="135" spans="17:34" x14ac:dyDescent="0.3">
      <c r="Q135" s="54"/>
      <c r="R135" s="54"/>
      <c r="S135" s="54"/>
      <c r="V135" s="54"/>
      <c r="W135" s="54"/>
      <c r="X135" s="54"/>
      <c r="AA135" s="54"/>
      <c r="AB135" s="54"/>
      <c r="AC135" s="54"/>
      <c r="AF135" s="54"/>
      <c r="AG135" s="54"/>
      <c r="AH135" s="54"/>
    </row>
    <row r="136" spans="17:34" x14ac:dyDescent="0.3">
      <c r="Q136" s="54"/>
      <c r="R136" s="54"/>
      <c r="S136" s="54"/>
      <c r="V136" s="54"/>
      <c r="W136" s="54"/>
      <c r="X136" s="54"/>
      <c r="AA136" s="54"/>
      <c r="AB136" s="54"/>
      <c r="AC136" s="54"/>
      <c r="AF136" s="54"/>
      <c r="AG136" s="54"/>
      <c r="AH136" s="54"/>
    </row>
    <row r="137" spans="17:34" x14ac:dyDescent="0.3">
      <c r="Q137" s="54"/>
      <c r="R137" s="54"/>
      <c r="S137" s="54"/>
      <c r="V137" s="54"/>
      <c r="W137" s="54"/>
      <c r="X137" s="54"/>
      <c r="AA137" s="54"/>
      <c r="AB137" s="54"/>
      <c r="AC137" s="54"/>
      <c r="AF137" s="54"/>
      <c r="AG137" s="54"/>
      <c r="AH137" s="54"/>
    </row>
    <row r="138" spans="17:34" x14ac:dyDescent="0.3">
      <c r="Q138" s="54"/>
      <c r="R138" s="54"/>
      <c r="S138" s="54"/>
      <c r="V138" s="54"/>
      <c r="W138" s="54"/>
      <c r="X138" s="54"/>
      <c r="AA138" s="54"/>
      <c r="AB138" s="54"/>
      <c r="AC138" s="54"/>
      <c r="AF138" s="54"/>
      <c r="AG138" s="54"/>
      <c r="AH138" s="54"/>
    </row>
    <row r="139" spans="17:34" x14ac:dyDescent="0.3">
      <c r="Q139" s="54"/>
      <c r="R139" s="54"/>
      <c r="S139" s="54"/>
      <c r="V139" s="54"/>
      <c r="W139" s="54"/>
      <c r="X139" s="54"/>
      <c r="AA139" s="54"/>
      <c r="AB139" s="54"/>
      <c r="AC139" s="54"/>
      <c r="AF139" s="54"/>
      <c r="AG139" s="54"/>
      <c r="AH139" s="54"/>
    </row>
    <row r="140" spans="17:34" x14ac:dyDescent="0.3">
      <c r="Q140" s="54"/>
      <c r="R140" s="54"/>
      <c r="S140" s="54"/>
      <c r="V140" s="54"/>
      <c r="W140" s="54"/>
      <c r="X140" s="54"/>
      <c r="AA140" s="54"/>
      <c r="AB140" s="54"/>
      <c r="AC140" s="54"/>
      <c r="AF140" s="54"/>
      <c r="AG140" s="54"/>
      <c r="AH140" s="54"/>
    </row>
    <row r="141" spans="17:34" x14ac:dyDescent="0.3">
      <c r="Q141" s="54"/>
      <c r="R141" s="54"/>
      <c r="S141" s="54"/>
      <c r="V141" s="54"/>
      <c r="W141" s="54"/>
      <c r="X141" s="54"/>
      <c r="AA141" s="54"/>
      <c r="AB141" s="54"/>
      <c r="AC141" s="54"/>
      <c r="AF141" s="54"/>
      <c r="AG141" s="54"/>
      <c r="AH141" s="54"/>
    </row>
    <row r="142" spans="17:34" x14ac:dyDescent="0.3">
      <c r="Q142" s="54"/>
      <c r="R142" s="54"/>
      <c r="S142" s="54"/>
      <c r="V142" s="54"/>
      <c r="W142" s="54"/>
      <c r="X142" s="54"/>
      <c r="AA142" s="54"/>
      <c r="AB142" s="54"/>
      <c r="AC142" s="54"/>
      <c r="AF142" s="54"/>
      <c r="AG142" s="54"/>
      <c r="AH142" s="54"/>
    </row>
    <row r="143" spans="17:34" x14ac:dyDescent="0.3">
      <c r="Q143" s="54"/>
      <c r="R143" s="54"/>
      <c r="S143" s="54"/>
      <c r="V143" s="54"/>
      <c r="W143" s="54"/>
      <c r="X143" s="54"/>
      <c r="AA143" s="54"/>
      <c r="AB143" s="54"/>
      <c r="AC143" s="54"/>
      <c r="AF143" s="54"/>
      <c r="AG143" s="54"/>
      <c r="AH143" s="54"/>
    </row>
    <row r="144" spans="17:34" x14ac:dyDescent="0.3">
      <c r="Q144" s="54"/>
      <c r="R144" s="54"/>
      <c r="S144" s="54"/>
      <c r="V144" s="54"/>
      <c r="W144" s="54"/>
      <c r="X144" s="54"/>
      <c r="AA144" s="54"/>
      <c r="AB144" s="54"/>
      <c r="AC144" s="54"/>
      <c r="AF144" s="54"/>
      <c r="AG144" s="54"/>
      <c r="AH144" s="54"/>
    </row>
    <row r="145" spans="17:34" x14ac:dyDescent="0.3">
      <c r="Q145" s="54"/>
      <c r="R145" s="54"/>
      <c r="S145" s="54"/>
      <c r="V145" s="54"/>
      <c r="W145" s="54"/>
      <c r="X145" s="54"/>
      <c r="AA145" s="54"/>
      <c r="AB145" s="54"/>
      <c r="AC145" s="54"/>
      <c r="AF145" s="54"/>
      <c r="AG145" s="54"/>
      <c r="AH145" s="54"/>
    </row>
    <row r="146" spans="17:34" x14ac:dyDescent="0.3">
      <c r="Q146" s="54"/>
      <c r="R146" s="54"/>
      <c r="S146" s="54"/>
      <c r="V146" s="54"/>
      <c r="W146" s="54"/>
      <c r="X146" s="54"/>
      <c r="AA146" s="54"/>
      <c r="AB146" s="54"/>
      <c r="AC146" s="54"/>
      <c r="AF146" s="54"/>
      <c r="AG146" s="54"/>
      <c r="AH146" s="54"/>
    </row>
    <row r="147" spans="17:34" x14ac:dyDescent="0.3">
      <c r="Q147" s="54"/>
      <c r="R147" s="54"/>
      <c r="S147" s="54"/>
      <c r="V147" s="54"/>
      <c r="W147" s="54"/>
      <c r="X147" s="54"/>
      <c r="AA147" s="54"/>
      <c r="AB147" s="54"/>
      <c r="AC147" s="54"/>
      <c r="AF147" s="54"/>
      <c r="AG147" s="54"/>
      <c r="AH147" s="54"/>
    </row>
    <row r="148" spans="17:34" x14ac:dyDescent="0.3">
      <c r="Q148" s="54"/>
      <c r="R148" s="54"/>
      <c r="S148" s="54"/>
      <c r="V148" s="54"/>
      <c r="W148" s="54"/>
      <c r="X148" s="54"/>
      <c r="AA148" s="54"/>
      <c r="AB148" s="54"/>
      <c r="AC148" s="54"/>
      <c r="AF148" s="54"/>
      <c r="AG148" s="54"/>
      <c r="AH148" s="54"/>
    </row>
    <row r="149" spans="17:34" x14ac:dyDescent="0.3">
      <c r="Q149" s="54"/>
      <c r="R149" s="54"/>
      <c r="S149" s="54"/>
      <c r="V149" s="54"/>
      <c r="W149" s="54"/>
      <c r="X149" s="54"/>
      <c r="AA149" s="54"/>
      <c r="AB149" s="54"/>
      <c r="AC149" s="54"/>
      <c r="AF149" s="54"/>
      <c r="AG149" s="54"/>
      <c r="AH149" s="54"/>
    </row>
    <row r="150" spans="17:34" x14ac:dyDescent="0.3">
      <c r="Q150" s="54"/>
      <c r="R150" s="54"/>
      <c r="S150" s="54"/>
      <c r="V150" s="54"/>
      <c r="W150" s="54"/>
      <c r="X150" s="54"/>
      <c r="AA150" s="54"/>
      <c r="AB150" s="54"/>
      <c r="AC150" s="54"/>
      <c r="AF150" s="54"/>
      <c r="AG150" s="54"/>
      <c r="AH150" s="54"/>
    </row>
    <row r="151" spans="17:34" x14ac:dyDescent="0.3">
      <c r="Q151" s="54"/>
      <c r="R151" s="54"/>
      <c r="S151" s="54"/>
      <c r="V151" s="54"/>
      <c r="W151" s="54"/>
      <c r="X151" s="54"/>
      <c r="AA151" s="54"/>
      <c r="AB151" s="54"/>
      <c r="AC151" s="54"/>
      <c r="AF151" s="54"/>
      <c r="AG151" s="54"/>
      <c r="AH151" s="54"/>
    </row>
    <row r="152" spans="17:34" x14ac:dyDescent="0.3">
      <c r="Q152" s="54"/>
      <c r="R152" s="54"/>
      <c r="S152" s="54"/>
      <c r="V152" s="54"/>
      <c r="W152" s="54"/>
      <c r="X152" s="54"/>
      <c r="AA152" s="54"/>
      <c r="AB152" s="54"/>
      <c r="AC152" s="54"/>
      <c r="AF152" s="54"/>
      <c r="AG152" s="54"/>
      <c r="AH152" s="54"/>
    </row>
    <row r="153" spans="17:34" x14ac:dyDescent="0.3">
      <c r="Q153" s="54"/>
      <c r="R153" s="54"/>
      <c r="S153" s="54"/>
      <c r="V153" s="54"/>
      <c r="W153" s="54"/>
      <c r="X153" s="54"/>
      <c r="AA153" s="54"/>
      <c r="AB153" s="54"/>
      <c r="AC153" s="54"/>
      <c r="AF153" s="54"/>
      <c r="AG153" s="54"/>
      <c r="AH153" s="54"/>
    </row>
    <row r="154" spans="17:34" x14ac:dyDescent="0.3">
      <c r="Q154" s="54"/>
      <c r="R154" s="54"/>
      <c r="S154" s="54"/>
      <c r="V154" s="54"/>
      <c r="W154" s="54"/>
      <c r="X154" s="54"/>
      <c r="AA154" s="54"/>
      <c r="AB154" s="54"/>
      <c r="AC154" s="54"/>
      <c r="AF154" s="54"/>
      <c r="AG154" s="54"/>
      <c r="AH154" s="54"/>
    </row>
    <row r="155" spans="17:34" x14ac:dyDescent="0.3">
      <c r="Q155" s="54"/>
      <c r="R155" s="54"/>
      <c r="S155" s="54"/>
      <c r="V155" s="54"/>
      <c r="W155" s="54"/>
      <c r="X155" s="54"/>
      <c r="AA155" s="54"/>
      <c r="AB155" s="54"/>
      <c r="AC155" s="54"/>
      <c r="AF155" s="54"/>
      <c r="AG155" s="54"/>
      <c r="AH155" s="54"/>
    </row>
    <row r="156" spans="17:34" x14ac:dyDescent="0.3">
      <c r="Q156" s="54"/>
      <c r="R156" s="54"/>
      <c r="S156" s="54"/>
      <c r="V156" s="54"/>
      <c r="W156" s="54"/>
      <c r="X156" s="54"/>
      <c r="AA156" s="54"/>
      <c r="AB156" s="54"/>
      <c r="AC156" s="54"/>
      <c r="AF156" s="54"/>
      <c r="AG156" s="54"/>
      <c r="AH156" s="54"/>
    </row>
    <row r="157" spans="17:34" x14ac:dyDescent="0.3">
      <c r="Q157" s="54"/>
      <c r="R157" s="54"/>
      <c r="S157" s="54"/>
      <c r="V157" s="54"/>
      <c r="W157" s="54"/>
      <c r="X157" s="54"/>
      <c r="AA157" s="54"/>
      <c r="AB157" s="54"/>
      <c r="AC157" s="54"/>
      <c r="AF157" s="54"/>
      <c r="AG157" s="54"/>
      <c r="AH157" s="54"/>
    </row>
    <row r="158" spans="17:34" x14ac:dyDescent="0.3">
      <c r="Q158" s="54"/>
      <c r="R158" s="54"/>
      <c r="S158" s="54"/>
      <c r="V158" s="54"/>
      <c r="W158" s="54"/>
      <c r="X158" s="54"/>
      <c r="AA158" s="54"/>
      <c r="AB158" s="54"/>
      <c r="AC158" s="54"/>
      <c r="AF158" s="54"/>
      <c r="AG158" s="54"/>
      <c r="AH158" s="54"/>
    </row>
    <row r="159" spans="17:34" x14ac:dyDescent="0.3">
      <c r="Q159" s="54"/>
      <c r="R159" s="54"/>
      <c r="S159" s="54"/>
      <c r="V159" s="54"/>
      <c r="W159" s="54"/>
      <c r="X159" s="54"/>
      <c r="AA159" s="54"/>
      <c r="AB159" s="54"/>
      <c r="AC159" s="54"/>
      <c r="AF159" s="54"/>
      <c r="AG159" s="54"/>
      <c r="AH159" s="54"/>
    </row>
    <row r="160" spans="17:34" x14ac:dyDescent="0.3">
      <c r="Q160" s="54"/>
      <c r="R160" s="54"/>
      <c r="S160" s="54"/>
      <c r="V160" s="54"/>
      <c r="W160" s="54"/>
      <c r="X160" s="54"/>
      <c r="AA160" s="54"/>
      <c r="AB160" s="54"/>
      <c r="AC160" s="54"/>
      <c r="AF160" s="54"/>
      <c r="AG160" s="54"/>
      <c r="AH160" s="54"/>
    </row>
    <row r="161" spans="17:34" x14ac:dyDescent="0.3">
      <c r="Q161" s="54"/>
      <c r="R161" s="54"/>
      <c r="S161" s="54"/>
      <c r="V161" s="54"/>
      <c r="W161" s="54"/>
      <c r="X161" s="54"/>
      <c r="AA161" s="54"/>
      <c r="AB161" s="54"/>
      <c r="AC161" s="54"/>
      <c r="AF161" s="54"/>
      <c r="AG161" s="54"/>
      <c r="AH161" s="54"/>
    </row>
    <row r="162" spans="17:34" x14ac:dyDescent="0.3">
      <c r="Q162" s="54"/>
      <c r="R162" s="54"/>
      <c r="S162" s="54"/>
      <c r="V162" s="54"/>
      <c r="W162" s="54"/>
      <c r="X162" s="54"/>
      <c r="AA162" s="54"/>
      <c r="AB162" s="54"/>
      <c r="AC162" s="54"/>
      <c r="AF162" s="54"/>
      <c r="AG162" s="54"/>
      <c r="AH162" s="54"/>
    </row>
    <row r="163" spans="17:34" x14ac:dyDescent="0.3">
      <c r="Q163" s="54"/>
      <c r="R163" s="54"/>
      <c r="S163" s="54"/>
      <c r="V163" s="54"/>
      <c r="W163" s="54"/>
      <c r="X163" s="54"/>
      <c r="AA163" s="54"/>
      <c r="AB163" s="54"/>
      <c r="AC163" s="54"/>
      <c r="AF163" s="54"/>
      <c r="AG163" s="54"/>
      <c r="AH163" s="54"/>
    </row>
    <row r="164" spans="17:34" x14ac:dyDescent="0.3">
      <c r="Q164" s="54"/>
      <c r="R164" s="54"/>
      <c r="S164" s="54"/>
      <c r="V164" s="54"/>
      <c r="W164" s="54"/>
      <c r="X164" s="54"/>
      <c r="AA164" s="54"/>
      <c r="AB164" s="54"/>
      <c r="AC164" s="54"/>
      <c r="AF164" s="54"/>
      <c r="AG164" s="54"/>
      <c r="AH164" s="54"/>
    </row>
    <row r="165" spans="17:34" x14ac:dyDescent="0.3">
      <c r="Q165" s="54"/>
      <c r="R165" s="54"/>
      <c r="S165" s="54"/>
      <c r="V165" s="54"/>
      <c r="W165" s="54"/>
      <c r="X165" s="54"/>
      <c r="AA165" s="54"/>
      <c r="AB165" s="54"/>
      <c r="AC165" s="54"/>
      <c r="AF165" s="54"/>
      <c r="AG165" s="54"/>
      <c r="AH165" s="54"/>
    </row>
    <row r="166" spans="17:34" x14ac:dyDescent="0.3">
      <c r="Q166" s="54"/>
      <c r="R166" s="54"/>
      <c r="S166" s="54"/>
      <c r="V166" s="54"/>
      <c r="W166" s="54"/>
      <c r="X166" s="54"/>
      <c r="AA166" s="54"/>
      <c r="AB166" s="54"/>
      <c r="AC166" s="54"/>
      <c r="AF166" s="54"/>
      <c r="AG166" s="54"/>
      <c r="AH166" s="54"/>
    </row>
    <row r="167" spans="17:34" x14ac:dyDescent="0.3">
      <c r="Q167" s="54"/>
      <c r="R167" s="54"/>
      <c r="S167" s="54"/>
      <c r="V167" s="54"/>
      <c r="W167" s="54"/>
      <c r="X167" s="54"/>
      <c r="AA167" s="54"/>
      <c r="AB167" s="54"/>
      <c r="AC167" s="54"/>
      <c r="AF167" s="54"/>
      <c r="AG167" s="54"/>
      <c r="AH167" s="54"/>
    </row>
    <row r="168" spans="17:34" x14ac:dyDescent="0.3">
      <c r="Q168" s="54"/>
      <c r="R168" s="54"/>
      <c r="S168" s="54"/>
      <c r="V168" s="54"/>
      <c r="W168" s="54"/>
      <c r="X168" s="54"/>
      <c r="AA168" s="54"/>
      <c r="AB168" s="54"/>
      <c r="AC168" s="54"/>
      <c r="AF168" s="54"/>
      <c r="AG168" s="54"/>
      <c r="AH168" s="54"/>
    </row>
    <row r="169" spans="17:34" x14ac:dyDescent="0.3">
      <c r="Q169" s="54"/>
      <c r="R169" s="54"/>
      <c r="S169" s="54"/>
      <c r="V169" s="54"/>
      <c r="W169" s="54"/>
      <c r="X169" s="54"/>
      <c r="AA169" s="54"/>
      <c r="AB169" s="54"/>
      <c r="AC169" s="54"/>
      <c r="AF169" s="54"/>
      <c r="AG169" s="54"/>
      <c r="AH169" s="54"/>
    </row>
    <row r="170" spans="17:34" x14ac:dyDescent="0.3">
      <c r="Q170" s="54"/>
      <c r="R170" s="54"/>
      <c r="S170" s="54"/>
      <c r="V170" s="54"/>
      <c r="W170" s="54"/>
      <c r="X170" s="54"/>
      <c r="AA170" s="54"/>
      <c r="AB170" s="54"/>
      <c r="AC170" s="54"/>
      <c r="AF170" s="54"/>
      <c r="AG170" s="54"/>
      <c r="AH170" s="54"/>
    </row>
    <row r="171" spans="17:34" x14ac:dyDescent="0.3">
      <c r="Q171" s="54"/>
      <c r="R171" s="54"/>
      <c r="S171" s="54"/>
      <c r="V171" s="54"/>
      <c r="W171" s="54"/>
      <c r="X171" s="54"/>
      <c r="AA171" s="54"/>
      <c r="AB171" s="54"/>
      <c r="AC171" s="54"/>
      <c r="AF171" s="54"/>
      <c r="AG171" s="54"/>
      <c r="AH171" s="54"/>
    </row>
    <row r="172" spans="17:34" x14ac:dyDescent="0.3">
      <c r="Q172" s="54"/>
      <c r="R172" s="54"/>
      <c r="S172" s="54"/>
      <c r="V172" s="54"/>
      <c r="W172" s="54"/>
      <c r="X172" s="54"/>
      <c r="AA172" s="54"/>
      <c r="AB172" s="54"/>
      <c r="AC172" s="54"/>
      <c r="AF172" s="54"/>
      <c r="AG172" s="54"/>
      <c r="AH172" s="54"/>
    </row>
    <row r="173" spans="17:34" x14ac:dyDescent="0.3">
      <c r="Q173" s="54"/>
      <c r="R173" s="54"/>
      <c r="S173" s="54"/>
      <c r="V173" s="54"/>
      <c r="W173" s="54"/>
      <c r="X173" s="54"/>
      <c r="AA173" s="54"/>
      <c r="AB173" s="54"/>
      <c r="AC173" s="54"/>
      <c r="AF173" s="54"/>
      <c r="AG173" s="54"/>
      <c r="AH173" s="54"/>
    </row>
    <row r="174" spans="17:34" x14ac:dyDescent="0.3">
      <c r="Q174" s="54"/>
      <c r="R174" s="54"/>
      <c r="S174" s="54"/>
      <c r="V174" s="54"/>
      <c r="W174" s="54"/>
      <c r="X174" s="54"/>
      <c r="AA174" s="54"/>
      <c r="AB174" s="54"/>
      <c r="AC174" s="54"/>
      <c r="AF174" s="54"/>
      <c r="AG174" s="54"/>
      <c r="AH174" s="54"/>
    </row>
    <row r="175" spans="17:34" x14ac:dyDescent="0.3">
      <c r="Q175" s="54"/>
      <c r="R175" s="54"/>
      <c r="S175" s="54"/>
      <c r="V175" s="54"/>
      <c r="W175" s="54"/>
      <c r="X175" s="54"/>
      <c r="AA175" s="54"/>
      <c r="AB175" s="54"/>
      <c r="AC175" s="54"/>
      <c r="AF175" s="54"/>
      <c r="AG175" s="54"/>
      <c r="AH175" s="54"/>
    </row>
    <row r="176" spans="17:34" x14ac:dyDescent="0.3">
      <c r="Q176" s="54"/>
      <c r="R176" s="54"/>
      <c r="S176" s="54"/>
      <c r="V176" s="54"/>
      <c r="W176" s="54"/>
      <c r="X176" s="54"/>
      <c r="AA176" s="54"/>
      <c r="AB176" s="54"/>
      <c r="AC176" s="54"/>
      <c r="AF176" s="54"/>
      <c r="AG176" s="54"/>
      <c r="AH176" s="54"/>
    </row>
    <row r="177" spans="17:34" x14ac:dyDescent="0.3">
      <c r="Q177" s="54"/>
      <c r="R177" s="54"/>
      <c r="S177" s="54"/>
      <c r="V177" s="54"/>
      <c r="W177" s="54"/>
      <c r="X177" s="54"/>
      <c r="AA177" s="54"/>
      <c r="AB177" s="54"/>
      <c r="AC177" s="54"/>
      <c r="AF177" s="54"/>
      <c r="AG177" s="54"/>
      <c r="AH177" s="54"/>
    </row>
    <row r="178" spans="17:34" x14ac:dyDescent="0.3">
      <c r="Q178" s="54"/>
      <c r="R178" s="54"/>
      <c r="S178" s="54"/>
      <c r="V178" s="54"/>
      <c r="W178" s="54"/>
      <c r="X178" s="54"/>
      <c r="AA178" s="54"/>
      <c r="AB178" s="54"/>
      <c r="AC178" s="54"/>
      <c r="AF178" s="54"/>
      <c r="AG178" s="54"/>
      <c r="AH178" s="54"/>
    </row>
    <row r="179" spans="17:34" x14ac:dyDescent="0.3">
      <c r="Q179" s="54"/>
      <c r="R179" s="54"/>
      <c r="S179" s="54"/>
      <c r="V179" s="54"/>
      <c r="W179" s="54"/>
      <c r="X179" s="54"/>
      <c r="AA179" s="54"/>
      <c r="AB179" s="54"/>
      <c r="AC179" s="54"/>
      <c r="AF179" s="54"/>
      <c r="AG179" s="54"/>
      <c r="AH179" s="54"/>
    </row>
    <row r="180" spans="17:34" x14ac:dyDescent="0.3">
      <c r="Q180" s="54"/>
      <c r="R180" s="54"/>
      <c r="S180" s="54"/>
      <c r="V180" s="54"/>
      <c r="W180" s="54"/>
      <c r="X180" s="54"/>
      <c r="AA180" s="54"/>
      <c r="AB180" s="54"/>
      <c r="AC180" s="54"/>
      <c r="AF180" s="54"/>
      <c r="AG180" s="54"/>
      <c r="AH180" s="54"/>
    </row>
    <row r="181" spans="17:34" x14ac:dyDescent="0.3">
      <c r="Q181" s="54"/>
      <c r="R181" s="54"/>
      <c r="S181" s="54"/>
      <c r="V181" s="54"/>
      <c r="W181" s="54"/>
      <c r="X181" s="54"/>
      <c r="AA181" s="54"/>
      <c r="AB181" s="54"/>
      <c r="AC181" s="54"/>
      <c r="AF181" s="54"/>
      <c r="AG181" s="54"/>
      <c r="AH181" s="54"/>
    </row>
    <row r="182" spans="17:34" x14ac:dyDescent="0.3">
      <c r="Q182" s="54"/>
      <c r="R182" s="54"/>
      <c r="S182" s="54"/>
      <c r="V182" s="54"/>
      <c r="W182" s="54"/>
      <c r="X182" s="54"/>
      <c r="AA182" s="54"/>
      <c r="AB182" s="54"/>
      <c r="AC182" s="54"/>
      <c r="AF182" s="54"/>
      <c r="AG182" s="54"/>
      <c r="AH182" s="54"/>
    </row>
    <row r="183" spans="17:34" x14ac:dyDescent="0.3">
      <c r="Q183" s="54"/>
      <c r="R183" s="54"/>
      <c r="S183" s="54"/>
      <c r="V183" s="54"/>
      <c r="W183" s="54"/>
      <c r="X183" s="54"/>
      <c r="AA183" s="54"/>
      <c r="AB183" s="54"/>
      <c r="AC183" s="54"/>
      <c r="AF183" s="54"/>
      <c r="AG183" s="54"/>
      <c r="AH183" s="54"/>
    </row>
    <row r="184" spans="17:34" x14ac:dyDescent="0.3">
      <c r="Q184" s="54"/>
      <c r="R184" s="54"/>
      <c r="S184" s="54"/>
      <c r="V184" s="54"/>
      <c r="W184" s="54"/>
      <c r="X184" s="54"/>
      <c r="AA184" s="54"/>
      <c r="AB184" s="54"/>
      <c r="AC184" s="54"/>
      <c r="AF184" s="54"/>
      <c r="AG184" s="54"/>
      <c r="AH184" s="54"/>
    </row>
    <row r="185" spans="17:34" x14ac:dyDescent="0.3">
      <c r="Q185" s="54"/>
      <c r="R185" s="54"/>
      <c r="S185" s="54"/>
      <c r="V185" s="54"/>
      <c r="W185" s="54"/>
      <c r="X185" s="54"/>
      <c r="AA185" s="54"/>
      <c r="AB185" s="54"/>
      <c r="AC185" s="54"/>
      <c r="AF185" s="54"/>
      <c r="AG185" s="54"/>
      <c r="AH185" s="54"/>
    </row>
    <row r="186" spans="17:34" x14ac:dyDescent="0.3">
      <c r="Q186" s="54"/>
      <c r="R186" s="54"/>
      <c r="S186" s="54"/>
      <c r="V186" s="54"/>
      <c r="W186" s="54"/>
      <c r="X186" s="54"/>
      <c r="AA186" s="54"/>
      <c r="AB186" s="54"/>
      <c r="AC186" s="54"/>
      <c r="AF186" s="54"/>
      <c r="AG186" s="54"/>
      <c r="AH186" s="54"/>
    </row>
    <row r="187" spans="17:34" x14ac:dyDescent="0.3">
      <c r="Q187" s="54"/>
      <c r="R187" s="54"/>
      <c r="S187" s="54"/>
      <c r="V187" s="54"/>
      <c r="W187" s="54"/>
      <c r="X187" s="54"/>
      <c r="AA187" s="54"/>
      <c r="AB187" s="54"/>
      <c r="AC187" s="54"/>
      <c r="AF187" s="54"/>
      <c r="AG187" s="54"/>
      <c r="AH187" s="54"/>
    </row>
    <row r="188" spans="17:34" x14ac:dyDescent="0.3">
      <c r="Q188" s="54"/>
      <c r="R188" s="54"/>
      <c r="S188" s="54"/>
      <c r="V188" s="54"/>
      <c r="W188" s="54"/>
      <c r="X188" s="54"/>
      <c r="AA188" s="54"/>
      <c r="AB188" s="54"/>
      <c r="AC188" s="54"/>
      <c r="AF188" s="54"/>
      <c r="AG188" s="54"/>
      <c r="AH188" s="54"/>
    </row>
    <row r="189" spans="17:34" x14ac:dyDescent="0.3">
      <c r="Q189" s="54"/>
      <c r="R189" s="54"/>
      <c r="S189" s="54"/>
      <c r="V189" s="54"/>
      <c r="W189" s="54"/>
      <c r="X189" s="54"/>
      <c r="AA189" s="54"/>
      <c r="AB189" s="54"/>
      <c r="AC189" s="54"/>
      <c r="AF189" s="54"/>
      <c r="AG189" s="54"/>
      <c r="AH189" s="54"/>
    </row>
    <row r="190" spans="17:34" x14ac:dyDescent="0.3">
      <c r="Q190" s="54"/>
      <c r="R190" s="54"/>
      <c r="S190" s="54"/>
      <c r="V190" s="54"/>
      <c r="W190" s="54"/>
      <c r="X190" s="54"/>
      <c r="AA190" s="54"/>
      <c r="AB190" s="54"/>
      <c r="AC190" s="54"/>
      <c r="AF190" s="54"/>
      <c r="AG190" s="54"/>
      <c r="AH190" s="54"/>
    </row>
    <row r="191" spans="17:34" x14ac:dyDescent="0.3">
      <c r="Q191" s="54"/>
      <c r="R191" s="54"/>
      <c r="S191" s="54"/>
      <c r="V191" s="54"/>
      <c r="W191" s="54"/>
      <c r="X191" s="54"/>
      <c r="AA191" s="54"/>
      <c r="AB191" s="54"/>
      <c r="AC191" s="54"/>
      <c r="AF191" s="54"/>
      <c r="AG191" s="54"/>
      <c r="AH191" s="54"/>
    </row>
    <row r="192" spans="17:34" x14ac:dyDescent="0.3">
      <c r="Q192" s="54"/>
      <c r="R192" s="54"/>
      <c r="S192" s="54"/>
      <c r="V192" s="54"/>
      <c r="W192" s="54"/>
      <c r="X192" s="54"/>
      <c r="AA192" s="54"/>
      <c r="AB192" s="54"/>
      <c r="AC192" s="54"/>
      <c r="AF192" s="54"/>
      <c r="AG192" s="54"/>
      <c r="AH192" s="54"/>
    </row>
    <row r="193" spans="17:34" x14ac:dyDescent="0.3">
      <c r="Q193" s="54"/>
      <c r="R193" s="54"/>
      <c r="S193" s="54"/>
      <c r="V193" s="54"/>
      <c r="W193" s="54"/>
      <c r="X193" s="54"/>
      <c r="AA193" s="54"/>
      <c r="AB193" s="54"/>
      <c r="AC193" s="54"/>
      <c r="AF193" s="54"/>
      <c r="AG193" s="54"/>
      <c r="AH193" s="54"/>
    </row>
    <row r="194" spans="17:34" x14ac:dyDescent="0.3">
      <c r="Q194" s="54"/>
      <c r="R194" s="54"/>
      <c r="S194" s="54"/>
      <c r="V194" s="54"/>
      <c r="W194" s="54"/>
      <c r="X194" s="54"/>
      <c r="AA194" s="54"/>
      <c r="AB194" s="54"/>
      <c r="AC194" s="54"/>
      <c r="AF194" s="54"/>
      <c r="AG194" s="54"/>
      <c r="AH194" s="54"/>
    </row>
    <row r="195" spans="17:34" x14ac:dyDescent="0.3">
      <c r="Q195" s="54"/>
      <c r="R195" s="54"/>
      <c r="S195" s="54"/>
      <c r="V195" s="54"/>
      <c r="W195" s="54"/>
      <c r="X195" s="54"/>
      <c r="AA195" s="54"/>
      <c r="AB195" s="54"/>
      <c r="AC195" s="54"/>
      <c r="AF195" s="54"/>
      <c r="AG195" s="54"/>
      <c r="AH195" s="54"/>
    </row>
    <row r="196" spans="17:34" x14ac:dyDescent="0.3">
      <c r="Q196" s="54"/>
      <c r="R196" s="54"/>
      <c r="S196" s="54"/>
      <c r="V196" s="54"/>
      <c r="W196" s="54"/>
      <c r="X196" s="54"/>
      <c r="AA196" s="54"/>
      <c r="AB196" s="54"/>
      <c r="AC196" s="54"/>
      <c r="AF196" s="54"/>
      <c r="AG196" s="54"/>
      <c r="AH196" s="54"/>
    </row>
    <row r="197" spans="17:34" x14ac:dyDescent="0.3">
      <c r="Q197" s="54"/>
      <c r="R197" s="54"/>
      <c r="S197" s="54"/>
      <c r="V197" s="54"/>
      <c r="W197" s="54"/>
      <c r="X197" s="54"/>
      <c r="AA197" s="54"/>
      <c r="AB197" s="54"/>
      <c r="AC197" s="54"/>
      <c r="AF197" s="54"/>
      <c r="AG197" s="54"/>
      <c r="AH197" s="54"/>
    </row>
    <row r="198" spans="17:34" x14ac:dyDescent="0.3">
      <c r="Q198" s="54"/>
      <c r="R198" s="54"/>
      <c r="S198" s="54"/>
      <c r="V198" s="54"/>
      <c r="W198" s="54"/>
      <c r="X198" s="54"/>
      <c r="AA198" s="54"/>
      <c r="AB198" s="54"/>
      <c r="AC198" s="54"/>
      <c r="AF198" s="54"/>
      <c r="AG198" s="54"/>
      <c r="AH198" s="54"/>
    </row>
    <row r="199" spans="17:34" x14ac:dyDescent="0.3">
      <c r="Q199" s="54"/>
      <c r="R199" s="54"/>
      <c r="S199" s="54"/>
      <c r="V199" s="54"/>
      <c r="W199" s="54"/>
      <c r="X199" s="54"/>
      <c r="AA199" s="54"/>
      <c r="AB199" s="54"/>
      <c r="AC199" s="54"/>
      <c r="AF199" s="54"/>
      <c r="AG199" s="54"/>
      <c r="AH199" s="54"/>
    </row>
    <row r="200" spans="17:34" x14ac:dyDescent="0.3">
      <c r="Q200" s="54"/>
      <c r="R200" s="54"/>
      <c r="S200" s="54"/>
      <c r="V200" s="54"/>
      <c r="W200" s="54"/>
      <c r="X200" s="54"/>
      <c r="AA200" s="54"/>
      <c r="AB200" s="54"/>
      <c r="AC200" s="54"/>
      <c r="AF200" s="54"/>
      <c r="AG200" s="54"/>
      <c r="AH200" s="54"/>
    </row>
    <row r="201" spans="17:34" x14ac:dyDescent="0.3">
      <c r="Q201" s="54"/>
      <c r="R201" s="54"/>
      <c r="S201" s="54"/>
      <c r="V201" s="54"/>
      <c r="W201" s="54"/>
      <c r="X201" s="54"/>
      <c r="AA201" s="54"/>
      <c r="AB201" s="54"/>
      <c r="AC201" s="54"/>
      <c r="AF201" s="54"/>
      <c r="AG201" s="54"/>
      <c r="AH201" s="54"/>
    </row>
    <row r="202" spans="17:34" x14ac:dyDescent="0.3">
      <c r="Q202" s="54"/>
      <c r="R202" s="54"/>
      <c r="S202" s="54"/>
      <c r="V202" s="54"/>
      <c r="W202" s="54"/>
      <c r="X202" s="54"/>
      <c r="AA202" s="54"/>
      <c r="AB202" s="54"/>
      <c r="AC202" s="54"/>
      <c r="AF202" s="54"/>
      <c r="AG202" s="54"/>
      <c r="AH202" s="54"/>
    </row>
    <row r="203" spans="17:34" x14ac:dyDescent="0.3">
      <c r="Q203" s="54"/>
      <c r="R203" s="54"/>
      <c r="S203" s="54"/>
      <c r="V203" s="54"/>
      <c r="W203" s="54"/>
      <c r="X203" s="54"/>
      <c r="AA203" s="54"/>
      <c r="AB203" s="54"/>
      <c r="AC203" s="54"/>
      <c r="AF203" s="54"/>
      <c r="AG203" s="54"/>
      <c r="AH203" s="54"/>
    </row>
    <row r="204" spans="17:34" x14ac:dyDescent="0.3">
      <c r="Q204" s="54"/>
      <c r="R204" s="54"/>
      <c r="S204" s="54"/>
      <c r="V204" s="54"/>
      <c r="W204" s="54"/>
      <c r="X204" s="54"/>
      <c r="AA204" s="54"/>
      <c r="AB204" s="54"/>
      <c r="AC204" s="54"/>
      <c r="AF204" s="54"/>
      <c r="AG204" s="54"/>
      <c r="AH204" s="54"/>
    </row>
    <row r="205" spans="17:34" x14ac:dyDescent="0.3">
      <c r="Q205" s="54"/>
      <c r="R205" s="54"/>
      <c r="S205" s="54"/>
      <c r="V205" s="54"/>
      <c r="W205" s="54"/>
      <c r="X205" s="54"/>
      <c r="AA205" s="54"/>
      <c r="AB205" s="54"/>
      <c r="AC205" s="54"/>
      <c r="AF205" s="54"/>
      <c r="AG205" s="54"/>
      <c r="AH205" s="54"/>
    </row>
    <row r="206" spans="17:34" x14ac:dyDescent="0.3">
      <c r="Q206" s="54"/>
      <c r="R206" s="54"/>
      <c r="S206" s="54"/>
      <c r="V206" s="54"/>
      <c r="W206" s="54"/>
      <c r="X206" s="54"/>
      <c r="AA206" s="54"/>
      <c r="AB206" s="54"/>
      <c r="AC206" s="54"/>
      <c r="AF206" s="54"/>
      <c r="AG206" s="54"/>
      <c r="AH206" s="54"/>
    </row>
    <row r="207" spans="17:34" x14ac:dyDescent="0.3">
      <c r="Q207" s="54"/>
      <c r="R207" s="54"/>
      <c r="S207" s="54"/>
      <c r="V207" s="54"/>
      <c r="W207" s="54"/>
      <c r="X207" s="54"/>
      <c r="AA207" s="54"/>
      <c r="AB207" s="54"/>
      <c r="AC207" s="54"/>
      <c r="AF207" s="54"/>
      <c r="AG207" s="54"/>
      <c r="AH207" s="54"/>
    </row>
    <row r="208" spans="17:34" x14ac:dyDescent="0.3">
      <c r="Q208" s="54"/>
      <c r="R208" s="54"/>
      <c r="S208" s="54"/>
      <c r="V208" s="54"/>
      <c r="W208" s="54"/>
      <c r="X208" s="54"/>
      <c r="AA208" s="54"/>
      <c r="AB208" s="54"/>
      <c r="AC208" s="54"/>
      <c r="AF208" s="54"/>
      <c r="AG208" s="54"/>
      <c r="AH208" s="54"/>
    </row>
    <row r="209" spans="17:34" x14ac:dyDescent="0.3">
      <c r="Q209" s="54"/>
      <c r="R209" s="54"/>
      <c r="S209" s="54"/>
      <c r="V209" s="54"/>
      <c r="W209" s="54"/>
      <c r="X209" s="54"/>
      <c r="AA209" s="54"/>
      <c r="AB209" s="54"/>
      <c r="AC209" s="54"/>
      <c r="AF209" s="54"/>
      <c r="AG209" s="54"/>
      <c r="AH209" s="54"/>
    </row>
    <row r="210" spans="17:34" x14ac:dyDescent="0.3">
      <c r="Q210" s="54"/>
      <c r="R210" s="54"/>
      <c r="S210" s="54"/>
      <c r="V210" s="54"/>
      <c r="W210" s="54"/>
      <c r="X210" s="54"/>
      <c r="AA210" s="54"/>
      <c r="AB210" s="54"/>
      <c r="AC210" s="54"/>
      <c r="AF210" s="54"/>
      <c r="AG210" s="54"/>
      <c r="AH210" s="54"/>
    </row>
    <row r="211" spans="17:34" x14ac:dyDescent="0.3">
      <c r="Q211" s="54"/>
      <c r="R211" s="54"/>
      <c r="S211" s="54"/>
      <c r="V211" s="54"/>
      <c r="W211" s="54"/>
      <c r="X211" s="54"/>
      <c r="AA211" s="54"/>
      <c r="AB211" s="54"/>
      <c r="AC211" s="54"/>
      <c r="AF211" s="54"/>
      <c r="AG211" s="54"/>
      <c r="AH211" s="54"/>
    </row>
    <row r="212" spans="17:34" x14ac:dyDescent="0.3">
      <c r="Q212" s="54"/>
      <c r="R212" s="54"/>
      <c r="S212" s="54"/>
      <c r="V212" s="54"/>
      <c r="W212" s="54"/>
      <c r="X212" s="54"/>
      <c r="AA212" s="54"/>
      <c r="AB212" s="54"/>
      <c r="AC212" s="54"/>
      <c r="AF212" s="54"/>
      <c r="AG212" s="54"/>
      <c r="AH212" s="54"/>
    </row>
    <row r="213" spans="17:34" x14ac:dyDescent="0.3">
      <c r="Q213" s="54"/>
      <c r="R213" s="54"/>
      <c r="S213" s="54"/>
      <c r="V213" s="54"/>
      <c r="W213" s="54"/>
      <c r="X213" s="54"/>
      <c r="AA213" s="54"/>
      <c r="AB213" s="54"/>
      <c r="AC213" s="54"/>
      <c r="AF213" s="54"/>
      <c r="AG213" s="54"/>
      <c r="AH213" s="54"/>
    </row>
    <row r="214" spans="17:34" x14ac:dyDescent="0.3">
      <c r="Q214" s="54"/>
      <c r="R214" s="54"/>
      <c r="S214" s="54"/>
      <c r="V214" s="54"/>
      <c r="W214" s="54"/>
      <c r="X214" s="54"/>
      <c r="AA214" s="54"/>
      <c r="AB214" s="54"/>
      <c r="AC214" s="54"/>
      <c r="AF214" s="54"/>
      <c r="AG214" s="54"/>
      <c r="AH214" s="54"/>
    </row>
    <row r="215" spans="17:34" x14ac:dyDescent="0.3">
      <c r="Q215" s="54"/>
      <c r="R215" s="54"/>
      <c r="S215" s="54"/>
      <c r="V215" s="54"/>
      <c r="W215" s="54"/>
      <c r="X215" s="54"/>
      <c r="AA215" s="54"/>
      <c r="AB215" s="54"/>
      <c r="AC215" s="54"/>
      <c r="AF215" s="54"/>
      <c r="AG215" s="54"/>
      <c r="AH215" s="54"/>
    </row>
    <row r="216" spans="17:34" x14ac:dyDescent="0.3">
      <c r="Q216" s="54"/>
      <c r="R216" s="54"/>
      <c r="S216" s="54"/>
      <c r="V216" s="54"/>
      <c r="W216" s="54"/>
      <c r="X216" s="54"/>
      <c r="AA216" s="54"/>
      <c r="AB216" s="54"/>
      <c r="AC216" s="54"/>
      <c r="AF216" s="54"/>
      <c r="AG216" s="54"/>
      <c r="AH216" s="54"/>
    </row>
    <row r="217" spans="17:34" x14ac:dyDescent="0.3">
      <c r="Q217" s="54"/>
      <c r="R217" s="54"/>
      <c r="S217" s="54"/>
      <c r="V217" s="54"/>
      <c r="W217" s="54"/>
      <c r="X217" s="54"/>
      <c r="AA217" s="54"/>
      <c r="AB217" s="54"/>
      <c r="AC217" s="54"/>
      <c r="AF217" s="54"/>
      <c r="AG217" s="54"/>
      <c r="AH217" s="54"/>
    </row>
    <row r="218" spans="17:34" x14ac:dyDescent="0.3">
      <c r="Q218" s="54"/>
      <c r="R218" s="54"/>
      <c r="S218" s="54"/>
      <c r="V218" s="54"/>
      <c r="W218" s="54"/>
      <c r="X218" s="54"/>
      <c r="AA218" s="54"/>
      <c r="AB218" s="54"/>
      <c r="AC218" s="54"/>
      <c r="AF218" s="54"/>
      <c r="AG218" s="54"/>
      <c r="AH218" s="54"/>
    </row>
    <row r="219" spans="17:34" x14ac:dyDescent="0.3">
      <c r="Q219" s="54"/>
      <c r="R219" s="54"/>
      <c r="S219" s="54"/>
      <c r="V219" s="54"/>
      <c r="W219" s="54"/>
      <c r="X219" s="54"/>
      <c r="AA219" s="54"/>
      <c r="AB219" s="54"/>
      <c r="AC219" s="54"/>
      <c r="AF219" s="54"/>
      <c r="AG219" s="54"/>
      <c r="AH219" s="54"/>
    </row>
    <row r="220" spans="17:34" x14ac:dyDescent="0.3">
      <c r="Q220" s="54"/>
      <c r="R220" s="54"/>
      <c r="S220" s="54"/>
      <c r="V220" s="54"/>
      <c r="W220" s="54"/>
      <c r="X220" s="54"/>
      <c r="AA220" s="54"/>
      <c r="AB220" s="54"/>
      <c r="AC220" s="54"/>
      <c r="AF220" s="54"/>
      <c r="AG220" s="54"/>
      <c r="AH220" s="54"/>
    </row>
    <row r="221" spans="17:34" x14ac:dyDescent="0.3">
      <c r="Q221" s="54"/>
      <c r="R221" s="54"/>
      <c r="S221" s="54"/>
      <c r="V221" s="54"/>
      <c r="W221" s="54"/>
      <c r="X221" s="54"/>
      <c r="AA221" s="54"/>
      <c r="AB221" s="54"/>
      <c r="AC221" s="54"/>
      <c r="AF221" s="54"/>
      <c r="AG221" s="54"/>
      <c r="AH221" s="54"/>
    </row>
    <row r="222" spans="17:34" x14ac:dyDescent="0.3">
      <c r="Q222" s="54"/>
      <c r="R222" s="54"/>
      <c r="S222" s="54"/>
      <c r="V222" s="54"/>
      <c r="W222" s="54"/>
      <c r="X222" s="54"/>
      <c r="AA222" s="54"/>
      <c r="AB222" s="54"/>
      <c r="AC222" s="54"/>
      <c r="AF222" s="54"/>
      <c r="AG222" s="54"/>
      <c r="AH222" s="54"/>
    </row>
    <row r="223" spans="17:34" x14ac:dyDescent="0.3">
      <c r="Q223" s="54"/>
      <c r="R223" s="54"/>
      <c r="S223" s="54"/>
      <c r="V223" s="54"/>
      <c r="W223" s="54"/>
      <c r="X223" s="54"/>
      <c r="AA223" s="54"/>
      <c r="AB223" s="54"/>
      <c r="AC223" s="54"/>
      <c r="AF223" s="54"/>
      <c r="AG223" s="54"/>
      <c r="AH223" s="54"/>
    </row>
    <row r="224" spans="17:34" x14ac:dyDescent="0.3">
      <c r="Q224" s="54"/>
      <c r="R224" s="54"/>
      <c r="S224" s="54"/>
      <c r="V224" s="54"/>
      <c r="W224" s="54"/>
      <c r="X224" s="54"/>
      <c r="AA224" s="54"/>
      <c r="AB224" s="54"/>
      <c r="AC224" s="54"/>
      <c r="AF224" s="54"/>
      <c r="AG224" s="54"/>
      <c r="AH224" s="54"/>
    </row>
    <row r="225" spans="17:34" x14ac:dyDescent="0.3">
      <c r="Q225" s="54"/>
      <c r="R225" s="54"/>
      <c r="S225" s="54"/>
      <c r="V225" s="54"/>
      <c r="W225" s="54"/>
      <c r="X225" s="54"/>
      <c r="AA225" s="54"/>
      <c r="AB225" s="54"/>
      <c r="AC225" s="54"/>
      <c r="AF225" s="54"/>
      <c r="AG225" s="54"/>
      <c r="AH225" s="54"/>
    </row>
    <row r="226" spans="17:34" x14ac:dyDescent="0.3">
      <c r="Q226" s="54"/>
      <c r="R226" s="54"/>
      <c r="S226" s="54"/>
      <c r="V226" s="54"/>
      <c r="W226" s="54"/>
      <c r="X226" s="54"/>
      <c r="AA226" s="54"/>
      <c r="AB226" s="54"/>
      <c r="AC226" s="54"/>
      <c r="AF226" s="54"/>
      <c r="AG226" s="54"/>
      <c r="AH226" s="54"/>
    </row>
    <row r="227" spans="17:34" x14ac:dyDescent="0.3">
      <c r="Q227" s="54"/>
      <c r="R227" s="54"/>
      <c r="S227" s="54"/>
      <c r="V227" s="54"/>
      <c r="W227" s="54"/>
      <c r="X227" s="54"/>
      <c r="AA227" s="54"/>
      <c r="AB227" s="54"/>
      <c r="AC227" s="54"/>
      <c r="AF227" s="54"/>
      <c r="AG227" s="54"/>
      <c r="AH227" s="54"/>
    </row>
    <row r="228" spans="17:34" x14ac:dyDescent="0.3">
      <c r="Q228" s="54"/>
      <c r="R228" s="54"/>
      <c r="S228" s="54"/>
      <c r="V228" s="54"/>
      <c r="W228" s="54"/>
      <c r="X228" s="54"/>
      <c r="AA228" s="54"/>
      <c r="AB228" s="54"/>
      <c r="AC228" s="54"/>
      <c r="AF228" s="54"/>
      <c r="AG228" s="54"/>
      <c r="AH228" s="54"/>
    </row>
    <row r="229" spans="17:34" x14ac:dyDescent="0.3">
      <c r="Q229" s="54"/>
      <c r="R229" s="54"/>
      <c r="S229" s="54"/>
      <c r="V229" s="54"/>
      <c r="W229" s="54"/>
      <c r="X229" s="54"/>
      <c r="AA229" s="54"/>
      <c r="AB229" s="54"/>
      <c r="AC229" s="54"/>
      <c r="AF229" s="54"/>
      <c r="AG229" s="54"/>
      <c r="AH229" s="54"/>
    </row>
    <row r="230" spans="17:34" x14ac:dyDescent="0.3">
      <c r="Q230" s="54"/>
      <c r="R230" s="54"/>
      <c r="S230" s="54"/>
      <c r="V230" s="54"/>
      <c r="W230" s="54"/>
      <c r="X230" s="54"/>
      <c r="AA230" s="54"/>
      <c r="AB230" s="54"/>
      <c r="AC230" s="54"/>
      <c r="AF230" s="54"/>
      <c r="AG230" s="54"/>
      <c r="AH230" s="54"/>
    </row>
    <row r="231" spans="17:34" x14ac:dyDescent="0.3">
      <c r="Q231" s="54"/>
      <c r="R231" s="54"/>
      <c r="S231" s="54"/>
      <c r="V231" s="54"/>
      <c r="W231" s="54"/>
      <c r="X231" s="54"/>
      <c r="AA231" s="54"/>
      <c r="AB231" s="54"/>
      <c r="AC231" s="54"/>
      <c r="AF231" s="54"/>
      <c r="AG231" s="54"/>
      <c r="AH231" s="54"/>
    </row>
    <row r="232" spans="17:34" x14ac:dyDescent="0.3">
      <c r="Q232" s="54"/>
      <c r="R232" s="54"/>
      <c r="S232" s="54"/>
      <c r="V232" s="54"/>
      <c r="W232" s="54"/>
      <c r="X232" s="54"/>
      <c r="AA232" s="54"/>
      <c r="AB232" s="54"/>
      <c r="AC232" s="54"/>
      <c r="AF232" s="54"/>
      <c r="AG232" s="54"/>
      <c r="AH232" s="54"/>
    </row>
    <row r="233" spans="17:34" x14ac:dyDescent="0.3">
      <c r="Q233" s="54"/>
      <c r="R233" s="54"/>
      <c r="S233" s="54"/>
      <c r="V233" s="54"/>
      <c r="W233" s="54"/>
      <c r="X233" s="54"/>
      <c r="AA233" s="54"/>
      <c r="AB233" s="54"/>
      <c r="AC233" s="54"/>
      <c r="AF233" s="54"/>
      <c r="AG233" s="54"/>
      <c r="AH233" s="54"/>
    </row>
    <row r="234" spans="17:34" x14ac:dyDescent="0.3">
      <c r="Q234" s="54"/>
      <c r="R234" s="54"/>
      <c r="S234" s="54"/>
      <c r="V234" s="54"/>
      <c r="W234" s="54"/>
      <c r="X234" s="54"/>
      <c r="AA234" s="54"/>
      <c r="AB234" s="54"/>
      <c r="AC234" s="54"/>
      <c r="AF234" s="54"/>
      <c r="AG234" s="54"/>
      <c r="AH234" s="54"/>
    </row>
    <row r="235" spans="17:34" x14ac:dyDescent="0.3">
      <c r="Q235" s="54"/>
      <c r="R235" s="54"/>
      <c r="S235" s="54"/>
      <c r="V235" s="54"/>
      <c r="W235" s="54"/>
      <c r="X235" s="54"/>
      <c r="AA235" s="54"/>
      <c r="AB235" s="54"/>
      <c r="AC235" s="54"/>
      <c r="AF235" s="54"/>
      <c r="AG235" s="54"/>
      <c r="AH235" s="54"/>
    </row>
    <row r="236" spans="17:34" x14ac:dyDescent="0.3">
      <c r="Q236" s="54"/>
      <c r="R236" s="54"/>
      <c r="S236" s="54"/>
      <c r="V236" s="54"/>
      <c r="W236" s="54"/>
      <c r="X236" s="54"/>
      <c r="AA236" s="54"/>
      <c r="AB236" s="54"/>
      <c r="AC236" s="54"/>
      <c r="AF236" s="54"/>
      <c r="AG236" s="54"/>
      <c r="AH236" s="54"/>
    </row>
    <row r="237" spans="17:34" x14ac:dyDescent="0.3">
      <c r="Q237" s="54"/>
      <c r="R237" s="54"/>
      <c r="S237" s="54"/>
      <c r="V237" s="54"/>
      <c r="W237" s="54"/>
      <c r="X237" s="54"/>
      <c r="AA237" s="54"/>
      <c r="AB237" s="54"/>
      <c r="AC237" s="54"/>
      <c r="AF237" s="54"/>
      <c r="AG237" s="54"/>
      <c r="AH237" s="54"/>
    </row>
    <row r="238" spans="17:34" x14ac:dyDescent="0.3">
      <c r="Q238" s="54"/>
      <c r="R238" s="54"/>
      <c r="S238" s="54"/>
      <c r="V238" s="54"/>
      <c r="W238" s="54"/>
      <c r="X238" s="54"/>
      <c r="AA238" s="54"/>
      <c r="AB238" s="54"/>
      <c r="AC238" s="54"/>
      <c r="AF238" s="54"/>
      <c r="AG238" s="54"/>
      <c r="AH238" s="54"/>
    </row>
    <row r="239" spans="17:34" x14ac:dyDescent="0.3">
      <c r="Q239" s="54"/>
      <c r="R239" s="54"/>
      <c r="S239" s="54"/>
      <c r="V239" s="54"/>
      <c r="W239" s="54"/>
      <c r="X239" s="54"/>
      <c r="AA239" s="54"/>
      <c r="AB239" s="54"/>
      <c r="AC239" s="54"/>
      <c r="AF239" s="54"/>
      <c r="AG239" s="54"/>
      <c r="AH239" s="54"/>
    </row>
    <row r="240" spans="17:34" x14ac:dyDescent="0.3">
      <c r="Q240" s="54"/>
      <c r="R240" s="54"/>
      <c r="S240" s="54"/>
      <c r="V240" s="54"/>
      <c r="W240" s="54"/>
      <c r="X240" s="54"/>
      <c r="AA240" s="54"/>
      <c r="AB240" s="54"/>
      <c r="AC240" s="54"/>
      <c r="AF240" s="54"/>
      <c r="AG240" s="54"/>
      <c r="AH240" s="54"/>
    </row>
    <row r="241" spans="17:34" x14ac:dyDescent="0.3">
      <c r="Q241" s="54"/>
      <c r="R241" s="54"/>
      <c r="S241" s="54"/>
      <c r="V241" s="54"/>
      <c r="W241" s="54"/>
      <c r="X241" s="54"/>
      <c r="AA241" s="54"/>
      <c r="AB241" s="54"/>
      <c r="AC241" s="54"/>
      <c r="AF241" s="54"/>
      <c r="AG241" s="54"/>
      <c r="AH241" s="54"/>
    </row>
    <row r="242" spans="17:34" x14ac:dyDescent="0.3">
      <c r="Q242" s="54"/>
      <c r="R242" s="54"/>
      <c r="S242" s="54"/>
      <c r="V242" s="54"/>
      <c r="W242" s="54"/>
      <c r="X242" s="54"/>
      <c r="AA242" s="54"/>
      <c r="AB242" s="54"/>
      <c r="AC242" s="54"/>
      <c r="AF242" s="54"/>
      <c r="AG242" s="54"/>
      <c r="AH242" s="54"/>
    </row>
    <row r="243" spans="17:34" x14ac:dyDescent="0.3">
      <c r="Q243" s="54"/>
      <c r="R243" s="54"/>
      <c r="S243" s="54"/>
      <c r="V243" s="54"/>
      <c r="W243" s="54"/>
      <c r="X243" s="54"/>
      <c r="AA243" s="54"/>
      <c r="AB243" s="54"/>
      <c r="AC243" s="54"/>
      <c r="AF243" s="54"/>
      <c r="AG243" s="54"/>
      <c r="AH243" s="54"/>
    </row>
    <row r="244" spans="17:34" x14ac:dyDescent="0.3">
      <c r="Q244" s="54"/>
      <c r="R244" s="54"/>
      <c r="S244" s="54"/>
      <c r="V244" s="54"/>
      <c r="W244" s="54"/>
      <c r="X244" s="54"/>
      <c r="AA244" s="54"/>
      <c r="AB244" s="54"/>
      <c r="AC244" s="54"/>
      <c r="AF244" s="54"/>
      <c r="AG244" s="54"/>
      <c r="AH244" s="54"/>
    </row>
    <row r="245" spans="17:34" x14ac:dyDescent="0.3">
      <c r="Q245" s="54"/>
      <c r="R245" s="54"/>
      <c r="S245" s="54"/>
      <c r="V245" s="54"/>
      <c r="W245" s="54"/>
      <c r="X245" s="54"/>
      <c r="AA245" s="54"/>
      <c r="AB245" s="54"/>
      <c r="AC245" s="54"/>
      <c r="AF245" s="54"/>
      <c r="AG245" s="54"/>
      <c r="AH245" s="54"/>
    </row>
    <row r="246" spans="17:34" x14ac:dyDescent="0.3">
      <c r="Q246" s="54"/>
      <c r="R246" s="54"/>
      <c r="S246" s="54"/>
      <c r="V246" s="54"/>
      <c r="W246" s="54"/>
      <c r="X246" s="54"/>
      <c r="AA246" s="54"/>
      <c r="AB246" s="54"/>
      <c r="AC246" s="54"/>
      <c r="AF246" s="54"/>
      <c r="AG246" s="54"/>
      <c r="AH246" s="54"/>
    </row>
    <row r="247" spans="17:34" x14ac:dyDescent="0.3">
      <c r="Q247" s="54"/>
      <c r="R247" s="54"/>
      <c r="S247" s="54"/>
      <c r="V247" s="54"/>
      <c r="W247" s="54"/>
      <c r="X247" s="54"/>
      <c r="AA247" s="54"/>
      <c r="AB247" s="54"/>
      <c r="AC247" s="54"/>
      <c r="AF247" s="54"/>
      <c r="AG247" s="54"/>
      <c r="AH247" s="54"/>
    </row>
    <row r="248" spans="17:34" x14ac:dyDescent="0.3">
      <c r="Q248" s="54"/>
      <c r="R248" s="54"/>
      <c r="S248" s="54"/>
      <c r="V248" s="54"/>
      <c r="W248" s="54"/>
      <c r="X248" s="54"/>
      <c r="AA248" s="54"/>
      <c r="AB248" s="54"/>
      <c r="AC248" s="54"/>
      <c r="AF248" s="54"/>
      <c r="AG248" s="54"/>
      <c r="AH248" s="54"/>
    </row>
    <row r="249" spans="17:34" x14ac:dyDescent="0.3">
      <c r="Q249" s="54"/>
      <c r="R249" s="54"/>
      <c r="S249" s="54"/>
      <c r="V249" s="54"/>
      <c r="W249" s="54"/>
      <c r="X249" s="54"/>
      <c r="AA249" s="54"/>
      <c r="AB249" s="54"/>
      <c r="AC249" s="54"/>
      <c r="AF249" s="54"/>
      <c r="AG249" s="54"/>
      <c r="AH249" s="54"/>
    </row>
    <row r="250" spans="17:34" x14ac:dyDescent="0.3">
      <c r="Q250" s="54"/>
      <c r="R250" s="54"/>
      <c r="S250" s="54"/>
      <c r="V250" s="54"/>
      <c r="W250" s="54"/>
      <c r="X250" s="54"/>
      <c r="AA250" s="54"/>
      <c r="AB250" s="54"/>
      <c r="AC250" s="54"/>
      <c r="AF250" s="54"/>
      <c r="AG250" s="54"/>
      <c r="AH250" s="54"/>
    </row>
    <row r="251" spans="17:34" x14ac:dyDescent="0.3">
      <c r="Q251" s="54"/>
      <c r="R251" s="54"/>
      <c r="S251" s="54"/>
      <c r="V251" s="54"/>
      <c r="W251" s="54"/>
      <c r="X251" s="54"/>
      <c r="AA251" s="54"/>
      <c r="AB251" s="54"/>
      <c r="AC251" s="54"/>
      <c r="AF251" s="54"/>
      <c r="AG251" s="54"/>
      <c r="AH251" s="54"/>
    </row>
    <row r="252" spans="17:34" x14ac:dyDescent="0.3">
      <c r="Q252" s="54"/>
      <c r="R252" s="54"/>
      <c r="S252" s="54"/>
      <c r="V252" s="54"/>
      <c r="W252" s="54"/>
      <c r="X252" s="54"/>
      <c r="AA252" s="54"/>
      <c r="AB252" s="54"/>
      <c r="AC252" s="54"/>
      <c r="AF252" s="54"/>
      <c r="AG252" s="54"/>
      <c r="AH252" s="54"/>
    </row>
    <row r="253" spans="17:34" x14ac:dyDescent="0.3">
      <c r="Q253" s="54"/>
      <c r="R253" s="54"/>
      <c r="S253" s="54"/>
      <c r="V253" s="54"/>
      <c r="W253" s="54"/>
      <c r="X253" s="54"/>
      <c r="AA253" s="54"/>
      <c r="AB253" s="54"/>
      <c r="AC253" s="54"/>
      <c r="AF253" s="54"/>
      <c r="AG253" s="54"/>
      <c r="AH253" s="54"/>
    </row>
    <row r="254" spans="17:34" x14ac:dyDescent="0.3">
      <c r="Q254" s="54"/>
      <c r="R254" s="54"/>
      <c r="S254" s="54"/>
      <c r="V254" s="54"/>
      <c r="W254" s="54"/>
      <c r="X254" s="54"/>
      <c r="AA254" s="54"/>
      <c r="AB254" s="54"/>
      <c r="AC254" s="54"/>
      <c r="AF254" s="54"/>
      <c r="AG254" s="54"/>
      <c r="AH254" s="54"/>
    </row>
    <row r="255" spans="17:34" x14ac:dyDescent="0.3">
      <c r="Q255" s="54"/>
      <c r="R255" s="54"/>
      <c r="S255" s="54"/>
      <c r="V255" s="54"/>
      <c r="W255" s="54"/>
      <c r="X255" s="54"/>
      <c r="AA255" s="54"/>
      <c r="AB255" s="54"/>
      <c r="AC255" s="54"/>
      <c r="AF255" s="54"/>
      <c r="AG255" s="54"/>
      <c r="AH255" s="54"/>
    </row>
    <row r="256" spans="17:34" x14ac:dyDescent="0.3">
      <c r="Q256" s="54"/>
      <c r="R256" s="54"/>
      <c r="S256" s="54"/>
      <c r="V256" s="54"/>
      <c r="W256" s="54"/>
      <c r="X256" s="54"/>
      <c r="AA256" s="54"/>
      <c r="AB256" s="54"/>
      <c r="AC256" s="54"/>
      <c r="AF256" s="54"/>
      <c r="AG256" s="54"/>
      <c r="AH256" s="54"/>
    </row>
    <row r="257" spans="17:34" x14ac:dyDescent="0.3">
      <c r="Q257" s="54"/>
      <c r="R257" s="54"/>
      <c r="S257" s="54"/>
      <c r="V257" s="54"/>
      <c r="W257" s="54"/>
      <c r="X257" s="54"/>
      <c r="AA257" s="54"/>
      <c r="AB257" s="54"/>
      <c r="AC257" s="54"/>
      <c r="AF257" s="54"/>
      <c r="AG257" s="54"/>
      <c r="AH257" s="54"/>
    </row>
    <row r="258" spans="17:34" x14ac:dyDescent="0.3">
      <c r="Q258" s="54"/>
      <c r="R258" s="54"/>
      <c r="S258" s="54"/>
      <c r="V258" s="54"/>
      <c r="W258" s="54"/>
      <c r="X258" s="54"/>
      <c r="AA258" s="54"/>
      <c r="AB258" s="54"/>
      <c r="AC258" s="54"/>
      <c r="AF258" s="54"/>
      <c r="AG258" s="54"/>
      <c r="AH258" s="54"/>
    </row>
    <row r="259" spans="17:34" x14ac:dyDescent="0.3">
      <c r="Q259" s="54"/>
      <c r="R259" s="54"/>
      <c r="S259" s="54"/>
      <c r="V259" s="54"/>
      <c r="W259" s="54"/>
      <c r="X259" s="54"/>
      <c r="AA259" s="54"/>
      <c r="AB259" s="54"/>
      <c r="AC259" s="54"/>
      <c r="AF259" s="54"/>
      <c r="AG259" s="54"/>
      <c r="AH259" s="54"/>
    </row>
    <row r="260" spans="17:34" x14ac:dyDescent="0.3">
      <c r="Q260" s="54"/>
      <c r="R260" s="54"/>
      <c r="S260" s="54"/>
      <c r="V260" s="54"/>
      <c r="W260" s="54"/>
      <c r="X260" s="54"/>
      <c r="AA260" s="54"/>
      <c r="AB260" s="54"/>
      <c r="AC260" s="54"/>
      <c r="AF260" s="54"/>
      <c r="AG260" s="54"/>
      <c r="AH260" s="54"/>
    </row>
    <row r="261" spans="17:34" x14ac:dyDescent="0.3">
      <c r="Q261" s="54"/>
      <c r="R261" s="54"/>
      <c r="S261" s="54"/>
      <c r="V261" s="54"/>
      <c r="W261" s="54"/>
      <c r="X261" s="54"/>
      <c r="AA261" s="54"/>
      <c r="AB261" s="54"/>
      <c r="AC261" s="54"/>
      <c r="AF261" s="54"/>
      <c r="AG261" s="54"/>
      <c r="AH261" s="54"/>
    </row>
    <row r="262" spans="17:34" x14ac:dyDescent="0.3">
      <c r="Q262" s="54"/>
      <c r="R262" s="54"/>
      <c r="S262" s="54"/>
      <c r="V262" s="54"/>
      <c r="W262" s="54"/>
      <c r="X262" s="54"/>
      <c r="AA262" s="54"/>
      <c r="AB262" s="54"/>
      <c r="AC262" s="54"/>
      <c r="AF262" s="54"/>
      <c r="AG262" s="54"/>
      <c r="AH262" s="54"/>
    </row>
    <row r="263" spans="17:34" x14ac:dyDescent="0.3">
      <c r="Q263" s="54"/>
      <c r="R263" s="54"/>
      <c r="S263" s="54"/>
      <c r="V263" s="54"/>
      <c r="W263" s="54"/>
      <c r="X263" s="54"/>
      <c r="AA263" s="54"/>
      <c r="AB263" s="54"/>
      <c r="AC263" s="54"/>
      <c r="AF263" s="54"/>
      <c r="AG263" s="54"/>
      <c r="AH263" s="54"/>
    </row>
    <row r="264" spans="17:34" x14ac:dyDescent="0.3">
      <c r="Q264" s="54"/>
      <c r="R264" s="54"/>
      <c r="S264" s="54"/>
      <c r="V264" s="54"/>
      <c r="W264" s="54"/>
      <c r="X264" s="54"/>
      <c r="AA264" s="54"/>
      <c r="AB264" s="54"/>
      <c r="AC264" s="54"/>
      <c r="AF264" s="54"/>
      <c r="AG264" s="54"/>
      <c r="AH264" s="54"/>
    </row>
    <row r="265" spans="17:34" x14ac:dyDescent="0.3">
      <c r="Q265" s="54"/>
      <c r="R265" s="54"/>
      <c r="S265" s="54"/>
      <c r="V265" s="54"/>
      <c r="W265" s="54"/>
      <c r="X265" s="54"/>
      <c r="AA265" s="54"/>
      <c r="AB265" s="54"/>
      <c r="AC265" s="54"/>
      <c r="AF265" s="54"/>
      <c r="AG265" s="54"/>
      <c r="AH265" s="54"/>
    </row>
    <row r="266" spans="17:34" x14ac:dyDescent="0.3">
      <c r="Q266" s="54"/>
      <c r="R266" s="54"/>
      <c r="S266" s="54"/>
      <c r="V266" s="54"/>
      <c r="W266" s="54"/>
      <c r="X266" s="54"/>
      <c r="AA266" s="54"/>
      <c r="AB266" s="54"/>
      <c r="AC266" s="54"/>
      <c r="AF266" s="54"/>
      <c r="AG266" s="54"/>
      <c r="AH266" s="54"/>
    </row>
    <row r="267" spans="17:34" x14ac:dyDescent="0.3">
      <c r="Q267" s="54"/>
      <c r="R267" s="54"/>
      <c r="S267" s="54"/>
      <c r="V267" s="54"/>
      <c r="W267" s="54"/>
      <c r="X267" s="54"/>
      <c r="AA267" s="54"/>
      <c r="AB267" s="54"/>
      <c r="AC267" s="54"/>
      <c r="AF267" s="54"/>
      <c r="AG267" s="54"/>
      <c r="AH267" s="54"/>
    </row>
    <row r="268" spans="17:34" x14ac:dyDescent="0.3">
      <c r="Q268" s="54"/>
      <c r="R268" s="54"/>
      <c r="S268" s="54"/>
      <c r="V268" s="54"/>
      <c r="W268" s="54"/>
      <c r="X268" s="54"/>
      <c r="AA268" s="54"/>
      <c r="AB268" s="54"/>
      <c r="AC268" s="54"/>
      <c r="AF268" s="54"/>
      <c r="AG268" s="54"/>
      <c r="AH268" s="54"/>
    </row>
    <row r="269" spans="17:34" x14ac:dyDescent="0.3">
      <c r="Q269" s="54"/>
      <c r="R269" s="54"/>
      <c r="S269" s="54"/>
      <c r="V269" s="54"/>
      <c r="W269" s="54"/>
      <c r="X269" s="54"/>
      <c r="AA269" s="54"/>
      <c r="AB269" s="54"/>
      <c r="AC269" s="54"/>
      <c r="AF269" s="54"/>
      <c r="AG269" s="54"/>
      <c r="AH269" s="54"/>
    </row>
    <row r="270" spans="17:34" x14ac:dyDescent="0.3">
      <c r="Q270" s="54"/>
      <c r="R270" s="54"/>
      <c r="S270" s="54"/>
      <c r="V270" s="54"/>
      <c r="W270" s="54"/>
      <c r="X270" s="54"/>
      <c r="AA270" s="54"/>
      <c r="AB270" s="54"/>
      <c r="AC270" s="54"/>
      <c r="AF270" s="54"/>
      <c r="AG270" s="54"/>
      <c r="AH270" s="54"/>
    </row>
    <row r="271" spans="17:34" x14ac:dyDescent="0.3">
      <c r="Q271" s="54"/>
      <c r="R271" s="54"/>
      <c r="S271" s="54"/>
      <c r="V271" s="54"/>
      <c r="W271" s="54"/>
      <c r="X271" s="54"/>
      <c r="AA271" s="54"/>
      <c r="AB271" s="54"/>
      <c r="AC271" s="54"/>
      <c r="AF271" s="54"/>
      <c r="AG271" s="54"/>
      <c r="AH271" s="54"/>
    </row>
    <row r="272" spans="17:34" x14ac:dyDescent="0.3">
      <c r="Q272" s="54"/>
      <c r="R272" s="54"/>
      <c r="S272" s="54"/>
      <c r="V272" s="54"/>
      <c r="W272" s="54"/>
      <c r="X272" s="54"/>
      <c r="AA272" s="54"/>
      <c r="AB272" s="54"/>
      <c r="AC272" s="54"/>
      <c r="AF272" s="54"/>
      <c r="AG272" s="54"/>
      <c r="AH272" s="54"/>
    </row>
    <row r="273" spans="17:34" x14ac:dyDescent="0.3">
      <c r="Q273" s="54"/>
      <c r="R273" s="54"/>
      <c r="S273" s="54"/>
      <c r="V273" s="54"/>
      <c r="W273" s="54"/>
      <c r="X273" s="54"/>
      <c r="AA273" s="54"/>
      <c r="AB273" s="54"/>
      <c r="AC273" s="54"/>
      <c r="AF273" s="54"/>
      <c r="AG273" s="54"/>
      <c r="AH273" s="54"/>
    </row>
    <row r="274" spans="17:34" x14ac:dyDescent="0.3">
      <c r="Q274" s="54"/>
      <c r="R274" s="54"/>
      <c r="S274" s="54"/>
      <c r="V274" s="54"/>
      <c r="W274" s="54"/>
      <c r="X274" s="54"/>
      <c r="AA274" s="54"/>
      <c r="AB274" s="54"/>
      <c r="AC274" s="54"/>
      <c r="AF274" s="54"/>
      <c r="AG274" s="54"/>
      <c r="AH274" s="54"/>
    </row>
    <row r="275" spans="17:34" x14ac:dyDescent="0.3">
      <c r="Q275" s="54"/>
      <c r="R275" s="54"/>
      <c r="S275" s="54"/>
      <c r="V275" s="54"/>
      <c r="W275" s="54"/>
      <c r="X275" s="54"/>
      <c r="AA275" s="54"/>
      <c r="AB275" s="54"/>
      <c r="AC275" s="54"/>
      <c r="AF275" s="54"/>
      <c r="AG275" s="54"/>
      <c r="AH275" s="54"/>
    </row>
    <row r="276" spans="17:34" x14ac:dyDescent="0.3">
      <c r="Q276" s="54"/>
      <c r="R276" s="54"/>
      <c r="S276" s="54"/>
      <c r="V276" s="54"/>
      <c r="W276" s="54"/>
      <c r="X276" s="54"/>
      <c r="AA276" s="54"/>
      <c r="AB276" s="54"/>
      <c r="AC276" s="54"/>
      <c r="AF276" s="54"/>
      <c r="AG276" s="54"/>
      <c r="AH276" s="54"/>
    </row>
    <row r="277" spans="17:34" x14ac:dyDescent="0.3">
      <c r="Q277" s="54"/>
      <c r="R277" s="54"/>
      <c r="S277" s="54"/>
      <c r="V277" s="54"/>
      <c r="W277" s="54"/>
      <c r="X277" s="54"/>
      <c r="AA277" s="54"/>
      <c r="AB277" s="54"/>
      <c r="AC277" s="54"/>
      <c r="AF277" s="54"/>
      <c r="AG277" s="54"/>
      <c r="AH277" s="54"/>
    </row>
    <row r="278" spans="17:34" x14ac:dyDescent="0.3">
      <c r="Q278" s="54"/>
      <c r="R278" s="54"/>
      <c r="S278" s="54"/>
      <c r="V278" s="54"/>
      <c r="W278" s="54"/>
      <c r="X278" s="54"/>
      <c r="AA278" s="54"/>
      <c r="AB278" s="54"/>
      <c r="AC278" s="54"/>
      <c r="AF278" s="54"/>
      <c r="AG278" s="54"/>
      <c r="AH278" s="54"/>
    </row>
    <row r="279" spans="17:34" x14ac:dyDescent="0.3">
      <c r="Q279" s="54"/>
      <c r="R279" s="54"/>
      <c r="S279" s="54"/>
      <c r="V279" s="54"/>
      <c r="W279" s="54"/>
      <c r="X279" s="54"/>
      <c r="AA279" s="54"/>
      <c r="AB279" s="54"/>
      <c r="AC279" s="54"/>
      <c r="AF279" s="54"/>
      <c r="AG279" s="54"/>
      <c r="AH279" s="54"/>
    </row>
    <row r="280" spans="17:34" x14ac:dyDescent="0.3">
      <c r="Q280" s="54"/>
      <c r="R280" s="54"/>
      <c r="S280" s="54"/>
      <c r="V280" s="54"/>
      <c r="W280" s="54"/>
      <c r="X280" s="54"/>
      <c r="AA280" s="54"/>
      <c r="AB280" s="54"/>
      <c r="AC280" s="54"/>
      <c r="AF280" s="54"/>
      <c r="AG280" s="54"/>
      <c r="AH280" s="54"/>
    </row>
    <row r="281" spans="17:34" x14ac:dyDescent="0.3">
      <c r="Q281" s="54"/>
      <c r="R281" s="54"/>
      <c r="S281" s="54"/>
      <c r="V281" s="54"/>
      <c r="W281" s="54"/>
      <c r="X281" s="54"/>
      <c r="AA281" s="54"/>
      <c r="AB281" s="54"/>
      <c r="AC281" s="54"/>
      <c r="AF281" s="54"/>
      <c r="AG281" s="54"/>
      <c r="AH281" s="54"/>
    </row>
    <row r="282" spans="17:34" x14ac:dyDescent="0.3">
      <c r="Q282" s="54"/>
      <c r="R282" s="54"/>
      <c r="S282" s="54"/>
      <c r="V282" s="54"/>
      <c r="W282" s="54"/>
      <c r="X282" s="54"/>
      <c r="AA282" s="54"/>
      <c r="AB282" s="54"/>
      <c r="AC282" s="54"/>
      <c r="AF282" s="54"/>
      <c r="AG282" s="54"/>
      <c r="AH282" s="54"/>
    </row>
    <row r="283" spans="17:34" x14ac:dyDescent="0.3">
      <c r="Q283" s="54"/>
      <c r="R283" s="54"/>
      <c r="S283" s="54"/>
      <c r="V283" s="54"/>
      <c r="W283" s="54"/>
      <c r="X283" s="54"/>
      <c r="AA283" s="54"/>
      <c r="AB283" s="54"/>
      <c r="AC283" s="54"/>
      <c r="AF283" s="54"/>
      <c r="AG283" s="54"/>
      <c r="AH283" s="54"/>
    </row>
    <row r="284" spans="17:34" x14ac:dyDescent="0.3">
      <c r="Q284" s="54"/>
      <c r="R284" s="54"/>
      <c r="S284" s="54"/>
      <c r="V284" s="54"/>
      <c r="W284" s="54"/>
      <c r="X284" s="54"/>
      <c r="AA284" s="54"/>
      <c r="AB284" s="54"/>
      <c r="AC284" s="54"/>
      <c r="AF284" s="54"/>
      <c r="AG284" s="54"/>
      <c r="AH284" s="54"/>
    </row>
    <row r="285" spans="17:34" x14ac:dyDescent="0.3">
      <c r="Q285" s="54"/>
      <c r="R285" s="54"/>
      <c r="S285" s="54"/>
      <c r="V285" s="54"/>
      <c r="W285" s="54"/>
      <c r="X285" s="54"/>
      <c r="AA285" s="54"/>
      <c r="AB285" s="54"/>
      <c r="AC285" s="54"/>
      <c r="AF285" s="54"/>
      <c r="AG285" s="54"/>
      <c r="AH285" s="54"/>
    </row>
    <row r="286" spans="17:34" x14ac:dyDescent="0.3">
      <c r="Q286" s="54"/>
      <c r="R286" s="54"/>
      <c r="S286" s="54"/>
      <c r="V286" s="54"/>
      <c r="W286" s="54"/>
      <c r="X286" s="54"/>
      <c r="AA286" s="54"/>
      <c r="AB286" s="54"/>
      <c r="AC286" s="54"/>
      <c r="AF286" s="54"/>
      <c r="AG286" s="54"/>
      <c r="AH286" s="54"/>
    </row>
    <row r="287" spans="17:34" x14ac:dyDescent="0.3">
      <c r="Q287" s="54"/>
      <c r="R287" s="54"/>
      <c r="S287" s="54"/>
      <c r="V287" s="54"/>
      <c r="W287" s="54"/>
      <c r="X287" s="54"/>
      <c r="AA287" s="54"/>
      <c r="AB287" s="54"/>
      <c r="AC287" s="54"/>
      <c r="AF287" s="54"/>
      <c r="AG287" s="54"/>
      <c r="AH287" s="54"/>
    </row>
    <row r="288" spans="17:34" x14ac:dyDescent="0.3">
      <c r="Q288" s="54"/>
      <c r="R288" s="54"/>
      <c r="S288" s="54"/>
      <c r="V288" s="54"/>
      <c r="W288" s="54"/>
      <c r="X288" s="54"/>
      <c r="AA288" s="54"/>
      <c r="AB288" s="54"/>
      <c r="AC288" s="54"/>
      <c r="AF288" s="54"/>
      <c r="AG288" s="54"/>
      <c r="AH288" s="54"/>
    </row>
    <row r="289" spans="17:34" x14ac:dyDescent="0.3">
      <c r="Q289" s="54"/>
      <c r="R289" s="54"/>
      <c r="S289" s="54"/>
      <c r="V289" s="54"/>
      <c r="W289" s="54"/>
      <c r="X289" s="54"/>
      <c r="AA289" s="54"/>
      <c r="AB289" s="54"/>
      <c r="AC289" s="54"/>
      <c r="AF289" s="54"/>
      <c r="AG289" s="54"/>
      <c r="AH289" s="54"/>
    </row>
    <row r="290" spans="17:34" x14ac:dyDescent="0.3">
      <c r="Q290" s="54"/>
      <c r="R290" s="54"/>
      <c r="S290" s="54"/>
      <c r="V290" s="54"/>
      <c r="W290" s="54"/>
      <c r="X290" s="54"/>
      <c r="AA290" s="54"/>
      <c r="AB290" s="54"/>
      <c r="AC290" s="54"/>
      <c r="AF290" s="54"/>
      <c r="AG290" s="54"/>
      <c r="AH290" s="54"/>
    </row>
    <row r="291" spans="17:34" x14ac:dyDescent="0.3">
      <c r="Q291" s="54"/>
      <c r="R291" s="54"/>
      <c r="S291" s="54"/>
      <c r="V291" s="54"/>
      <c r="W291" s="54"/>
      <c r="X291" s="54"/>
      <c r="AA291" s="54"/>
      <c r="AB291" s="54"/>
      <c r="AC291" s="54"/>
      <c r="AF291" s="54"/>
      <c r="AG291" s="54"/>
      <c r="AH291" s="54"/>
    </row>
    <row r="292" spans="17:34" x14ac:dyDescent="0.3">
      <c r="Q292" s="54"/>
      <c r="R292" s="54"/>
      <c r="S292" s="54"/>
      <c r="V292" s="54"/>
      <c r="W292" s="54"/>
      <c r="X292" s="54"/>
      <c r="AA292" s="54"/>
      <c r="AB292" s="54"/>
      <c r="AC292" s="54"/>
      <c r="AF292" s="54"/>
      <c r="AG292" s="54"/>
      <c r="AH292" s="54"/>
    </row>
    <row r="293" spans="17:34" x14ac:dyDescent="0.3">
      <c r="Q293" s="54"/>
      <c r="R293" s="54"/>
      <c r="S293" s="54"/>
      <c r="V293" s="54"/>
      <c r="W293" s="54"/>
      <c r="X293" s="54"/>
      <c r="AA293" s="54"/>
      <c r="AB293" s="54"/>
      <c r="AC293" s="54"/>
      <c r="AF293" s="54"/>
      <c r="AG293" s="54"/>
      <c r="AH293" s="54"/>
    </row>
    <row r="294" spans="17:34" x14ac:dyDescent="0.3">
      <c r="Q294" s="54"/>
      <c r="R294" s="54"/>
      <c r="S294" s="54"/>
      <c r="V294" s="54"/>
      <c r="W294" s="54"/>
      <c r="X294" s="54"/>
      <c r="AA294" s="54"/>
      <c r="AB294" s="54"/>
      <c r="AC294" s="54"/>
      <c r="AF294" s="54"/>
      <c r="AG294" s="54"/>
      <c r="AH294" s="54"/>
    </row>
    <row r="295" spans="17:34" x14ac:dyDescent="0.3">
      <c r="Q295" s="54"/>
      <c r="R295" s="54"/>
      <c r="S295" s="54"/>
      <c r="V295" s="54"/>
      <c r="W295" s="54"/>
      <c r="X295" s="54"/>
      <c r="AA295" s="54"/>
      <c r="AB295" s="54"/>
      <c r="AC295" s="54"/>
      <c r="AF295" s="54"/>
      <c r="AG295" s="54"/>
      <c r="AH295" s="54"/>
    </row>
    <row r="296" spans="17:34" x14ac:dyDescent="0.3">
      <c r="Q296" s="54"/>
      <c r="R296" s="54"/>
      <c r="S296" s="54"/>
      <c r="V296" s="54"/>
      <c r="W296" s="54"/>
      <c r="X296" s="54"/>
      <c r="AA296" s="54"/>
      <c r="AB296" s="54"/>
      <c r="AC296" s="54"/>
      <c r="AF296" s="54"/>
      <c r="AG296" s="54"/>
      <c r="AH296" s="54"/>
    </row>
    <row r="297" spans="17:34" x14ac:dyDescent="0.3">
      <c r="Q297" s="54"/>
      <c r="R297" s="54"/>
      <c r="S297" s="54"/>
      <c r="V297" s="54"/>
      <c r="W297" s="54"/>
      <c r="X297" s="54"/>
      <c r="AA297" s="54"/>
      <c r="AB297" s="54"/>
      <c r="AC297" s="54"/>
      <c r="AF297" s="54"/>
      <c r="AG297" s="54"/>
      <c r="AH297" s="54"/>
    </row>
    <row r="298" spans="17:34" x14ac:dyDescent="0.3">
      <c r="Q298" s="54"/>
      <c r="R298" s="54"/>
      <c r="S298" s="54"/>
      <c r="V298" s="54"/>
      <c r="W298" s="54"/>
      <c r="X298" s="54"/>
      <c r="AA298" s="54"/>
      <c r="AB298" s="54"/>
      <c r="AC298" s="54"/>
      <c r="AF298" s="54"/>
      <c r="AG298" s="54"/>
      <c r="AH298" s="54"/>
    </row>
    <row r="299" spans="17:34" x14ac:dyDescent="0.3">
      <c r="Q299" s="54"/>
      <c r="R299" s="54"/>
      <c r="S299" s="54"/>
      <c r="V299" s="54"/>
      <c r="W299" s="54"/>
      <c r="X299" s="54"/>
      <c r="AA299" s="54"/>
      <c r="AB299" s="54"/>
      <c r="AC299" s="54"/>
      <c r="AF299" s="54"/>
      <c r="AG299" s="54"/>
      <c r="AH299" s="54"/>
    </row>
    <row r="300" spans="17:34" x14ac:dyDescent="0.3">
      <c r="Q300" s="54"/>
      <c r="R300" s="54"/>
      <c r="S300" s="54"/>
      <c r="V300" s="54"/>
      <c r="W300" s="54"/>
      <c r="X300" s="54"/>
      <c r="AA300" s="54"/>
      <c r="AB300" s="54"/>
      <c r="AC300" s="54"/>
      <c r="AF300" s="54"/>
      <c r="AG300" s="54"/>
      <c r="AH300" s="54"/>
    </row>
    <row r="301" spans="17:34" x14ac:dyDescent="0.3">
      <c r="Q301" s="54"/>
      <c r="R301" s="54"/>
      <c r="S301" s="54"/>
      <c r="V301" s="54"/>
      <c r="W301" s="54"/>
      <c r="X301" s="54"/>
      <c r="AA301" s="54"/>
      <c r="AB301" s="54"/>
      <c r="AC301" s="54"/>
      <c r="AF301" s="54"/>
      <c r="AG301" s="54"/>
      <c r="AH301" s="54"/>
    </row>
    <row r="302" spans="17:34" x14ac:dyDescent="0.3">
      <c r="Q302" s="54"/>
      <c r="R302" s="54"/>
      <c r="S302" s="54"/>
      <c r="V302" s="54"/>
      <c r="W302" s="54"/>
      <c r="X302" s="54"/>
      <c r="AA302" s="54"/>
      <c r="AB302" s="54"/>
      <c r="AC302" s="54"/>
      <c r="AF302" s="54"/>
      <c r="AG302" s="54"/>
      <c r="AH302" s="54"/>
    </row>
    <row r="303" spans="17:34" x14ac:dyDescent="0.3">
      <c r="Q303" s="54"/>
      <c r="R303" s="54"/>
      <c r="S303" s="54"/>
      <c r="V303" s="54"/>
      <c r="W303" s="54"/>
      <c r="X303" s="54"/>
      <c r="AA303" s="54"/>
      <c r="AB303" s="54"/>
      <c r="AC303" s="54"/>
      <c r="AF303" s="54"/>
      <c r="AG303" s="54"/>
      <c r="AH303" s="54"/>
    </row>
    <row r="304" spans="17:34" x14ac:dyDescent="0.3">
      <c r="Q304" s="54"/>
      <c r="R304" s="54"/>
      <c r="S304" s="54"/>
      <c r="V304" s="54"/>
      <c r="W304" s="54"/>
      <c r="X304" s="54"/>
      <c r="AA304" s="54"/>
      <c r="AB304" s="54"/>
      <c r="AC304" s="54"/>
      <c r="AF304" s="54"/>
      <c r="AG304" s="54"/>
      <c r="AH304" s="54"/>
    </row>
    <row r="305" spans="17:34" x14ac:dyDescent="0.3">
      <c r="Q305" s="54"/>
      <c r="R305" s="54"/>
      <c r="S305" s="54"/>
      <c r="V305" s="54"/>
      <c r="W305" s="54"/>
      <c r="X305" s="54"/>
      <c r="AA305" s="54"/>
      <c r="AB305" s="54"/>
      <c r="AC305" s="54"/>
      <c r="AF305" s="54"/>
      <c r="AG305" s="54"/>
      <c r="AH305" s="54"/>
    </row>
    <row r="306" spans="17:34" x14ac:dyDescent="0.3">
      <c r="Q306" s="54"/>
      <c r="R306" s="54"/>
      <c r="S306" s="54"/>
      <c r="V306" s="54"/>
      <c r="W306" s="54"/>
      <c r="X306" s="54"/>
      <c r="AA306" s="54"/>
      <c r="AB306" s="54"/>
      <c r="AC306" s="54"/>
      <c r="AF306" s="54"/>
      <c r="AG306" s="54"/>
      <c r="AH306" s="54"/>
    </row>
    <row r="307" spans="17:34" x14ac:dyDescent="0.3">
      <c r="Q307" s="54"/>
      <c r="R307" s="54"/>
      <c r="S307" s="54"/>
      <c r="V307" s="54"/>
      <c r="W307" s="54"/>
      <c r="X307" s="54"/>
      <c r="AA307" s="54"/>
      <c r="AB307" s="54"/>
      <c r="AC307" s="54"/>
      <c r="AF307" s="54"/>
      <c r="AG307" s="54"/>
      <c r="AH307" s="54"/>
    </row>
    <row r="308" spans="17:34" x14ac:dyDescent="0.3">
      <c r="Q308" s="54"/>
      <c r="R308" s="54"/>
      <c r="S308" s="54"/>
      <c r="V308" s="54"/>
      <c r="W308" s="54"/>
      <c r="X308" s="54"/>
      <c r="AA308" s="54"/>
      <c r="AB308" s="54"/>
      <c r="AC308" s="54"/>
      <c r="AF308" s="54"/>
      <c r="AG308" s="54"/>
      <c r="AH308" s="54"/>
    </row>
    <row r="309" spans="17:34" x14ac:dyDescent="0.3">
      <c r="Q309" s="54"/>
      <c r="R309" s="54"/>
      <c r="S309" s="54"/>
      <c r="V309" s="54"/>
      <c r="W309" s="54"/>
      <c r="X309" s="54"/>
      <c r="AA309" s="54"/>
      <c r="AB309" s="54"/>
      <c r="AC309" s="54"/>
      <c r="AF309" s="54"/>
      <c r="AG309" s="54"/>
      <c r="AH309" s="54"/>
    </row>
    <row r="310" spans="17:34" x14ac:dyDescent="0.3">
      <c r="Q310" s="54"/>
      <c r="R310" s="54"/>
      <c r="S310" s="54"/>
      <c r="V310" s="54"/>
      <c r="W310" s="54"/>
      <c r="X310" s="54"/>
      <c r="AA310" s="54"/>
      <c r="AB310" s="54"/>
      <c r="AC310" s="54"/>
      <c r="AF310" s="54"/>
      <c r="AG310" s="54"/>
      <c r="AH310" s="54"/>
    </row>
    <row r="311" spans="17:34" x14ac:dyDescent="0.3">
      <c r="Q311" s="54"/>
      <c r="R311" s="54"/>
      <c r="S311" s="54"/>
      <c r="V311" s="54"/>
      <c r="W311" s="54"/>
      <c r="X311" s="54"/>
      <c r="AA311" s="54"/>
      <c r="AB311" s="54"/>
      <c r="AC311" s="54"/>
      <c r="AF311" s="54"/>
      <c r="AG311" s="54"/>
      <c r="AH311" s="54"/>
    </row>
    <row r="312" spans="17:34" x14ac:dyDescent="0.3">
      <c r="Q312" s="54"/>
      <c r="R312" s="54"/>
      <c r="S312" s="54"/>
      <c r="V312" s="54"/>
      <c r="W312" s="54"/>
      <c r="X312" s="54"/>
      <c r="AA312" s="54"/>
      <c r="AB312" s="54"/>
      <c r="AC312" s="54"/>
      <c r="AF312" s="54"/>
      <c r="AG312" s="54"/>
      <c r="AH312" s="54"/>
    </row>
    <row r="313" spans="17:34" x14ac:dyDescent="0.3">
      <c r="Q313" s="54"/>
      <c r="R313" s="54"/>
      <c r="S313" s="54"/>
      <c r="V313" s="54"/>
      <c r="W313" s="54"/>
      <c r="X313" s="54"/>
      <c r="AA313" s="54"/>
      <c r="AB313" s="54"/>
      <c r="AC313" s="54"/>
      <c r="AF313" s="54"/>
      <c r="AG313" s="54"/>
      <c r="AH313" s="54"/>
    </row>
    <row r="314" spans="17:34" x14ac:dyDescent="0.3">
      <c r="Q314" s="54"/>
      <c r="R314" s="54"/>
      <c r="S314" s="54"/>
      <c r="V314" s="54"/>
      <c r="W314" s="54"/>
      <c r="X314" s="54"/>
      <c r="AA314" s="54"/>
      <c r="AB314" s="54"/>
      <c r="AC314" s="54"/>
      <c r="AF314" s="54"/>
      <c r="AG314" s="54"/>
      <c r="AH314" s="54"/>
    </row>
    <row r="315" spans="17:34" x14ac:dyDescent="0.3">
      <c r="Q315" s="54"/>
      <c r="R315" s="54"/>
      <c r="S315" s="54"/>
      <c r="V315" s="54"/>
      <c r="W315" s="54"/>
      <c r="X315" s="54"/>
      <c r="AA315" s="54"/>
      <c r="AB315" s="54"/>
      <c r="AC315" s="54"/>
      <c r="AF315" s="54"/>
      <c r="AG315" s="54"/>
      <c r="AH315" s="54"/>
    </row>
    <row r="316" spans="17:34" x14ac:dyDescent="0.3">
      <c r="Q316" s="54"/>
      <c r="R316" s="54"/>
      <c r="S316" s="54"/>
      <c r="V316" s="54"/>
      <c r="W316" s="54"/>
      <c r="X316" s="54"/>
      <c r="AA316" s="54"/>
      <c r="AB316" s="54"/>
      <c r="AC316" s="54"/>
      <c r="AF316" s="54"/>
      <c r="AG316" s="54"/>
      <c r="AH316" s="54"/>
    </row>
    <row r="317" spans="17:34" x14ac:dyDescent="0.3">
      <c r="Q317" s="54"/>
      <c r="R317" s="54"/>
      <c r="S317" s="54"/>
      <c r="V317" s="54"/>
      <c r="W317" s="54"/>
      <c r="X317" s="54"/>
      <c r="AA317" s="54"/>
      <c r="AB317" s="54"/>
      <c r="AC317" s="54"/>
      <c r="AF317" s="54"/>
      <c r="AG317" s="54"/>
      <c r="AH317" s="54"/>
    </row>
    <row r="318" spans="17:34" x14ac:dyDescent="0.3">
      <c r="Q318" s="54"/>
      <c r="R318" s="54"/>
      <c r="S318" s="54"/>
      <c r="V318" s="54"/>
      <c r="W318" s="54"/>
      <c r="X318" s="54"/>
      <c r="AA318" s="54"/>
      <c r="AB318" s="54"/>
      <c r="AC318" s="54"/>
      <c r="AF318" s="54"/>
      <c r="AG318" s="54"/>
      <c r="AH318" s="54"/>
    </row>
    <row r="319" spans="17:34" x14ac:dyDescent="0.3">
      <c r="Q319" s="54"/>
      <c r="R319" s="54"/>
      <c r="S319" s="54"/>
      <c r="V319" s="54"/>
      <c r="W319" s="54"/>
      <c r="X319" s="54"/>
      <c r="AA319" s="54"/>
      <c r="AB319" s="54"/>
      <c r="AC319" s="54"/>
      <c r="AF319" s="54"/>
      <c r="AG319" s="54"/>
      <c r="AH319" s="54"/>
    </row>
    <row r="320" spans="17:34" x14ac:dyDescent="0.3">
      <c r="Q320" s="54"/>
      <c r="R320" s="54"/>
      <c r="S320" s="54"/>
      <c r="V320" s="54"/>
      <c r="W320" s="54"/>
      <c r="X320" s="54"/>
      <c r="AA320" s="54"/>
      <c r="AB320" s="54"/>
      <c r="AC320" s="54"/>
      <c r="AF320" s="54"/>
      <c r="AG320" s="54"/>
      <c r="AH320" s="54"/>
    </row>
    <row r="321" spans="17:34" x14ac:dyDescent="0.3">
      <c r="Q321" s="54"/>
      <c r="R321" s="54"/>
      <c r="S321" s="54"/>
      <c r="V321" s="54"/>
      <c r="W321" s="54"/>
      <c r="X321" s="54"/>
      <c r="AA321" s="54"/>
      <c r="AB321" s="54"/>
      <c r="AC321" s="54"/>
      <c r="AF321" s="54"/>
      <c r="AG321" s="54"/>
      <c r="AH321" s="54"/>
    </row>
    <row r="322" spans="17:34" x14ac:dyDescent="0.3">
      <c r="Q322" s="54"/>
      <c r="R322" s="54"/>
      <c r="S322" s="54"/>
      <c r="V322" s="54"/>
      <c r="W322" s="54"/>
      <c r="X322" s="54"/>
      <c r="AA322" s="54"/>
      <c r="AB322" s="54"/>
      <c r="AC322" s="54"/>
      <c r="AF322" s="54"/>
      <c r="AG322" s="54"/>
      <c r="AH322" s="54"/>
    </row>
    <row r="323" spans="17:34" x14ac:dyDescent="0.3">
      <c r="Q323" s="54"/>
      <c r="R323" s="54"/>
      <c r="S323" s="54"/>
      <c r="V323" s="54"/>
      <c r="W323" s="54"/>
      <c r="X323" s="54"/>
      <c r="AA323" s="54"/>
      <c r="AB323" s="54"/>
      <c r="AC323" s="54"/>
      <c r="AF323" s="54"/>
      <c r="AG323" s="54"/>
      <c r="AH323" s="54"/>
    </row>
    <row r="324" spans="17:34" x14ac:dyDescent="0.3">
      <c r="Q324" s="54"/>
      <c r="R324" s="54"/>
      <c r="S324" s="54"/>
      <c r="V324" s="54"/>
      <c r="W324" s="54"/>
      <c r="X324" s="54"/>
      <c r="AA324" s="54"/>
      <c r="AB324" s="54"/>
      <c r="AC324" s="54"/>
      <c r="AF324" s="54"/>
      <c r="AG324" s="54"/>
      <c r="AH324" s="54"/>
    </row>
    <row r="325" spans="17:34" x14ac:dyDescent="0.3">
      <c r="Q325" s="54"/>
      <c r="R325" s="54"/>
      <c r="S325" s="54"/>
      <c r="V325" s="54"/>
      <c r="W325" s="54"/>
      <c r="X325" s="54"/>
      <c r="AA325" s="54"/>
      <c r="AB325" s="54"/>
      <c r="AC325" s="54"/>
      <c r="AF325" s="54"/>
      <c r="AG325" s="54"/>
      <c r="AH325" s="54"/>
    </row>
    <row r="326" spans="17:34" x14ac:dyDescent="0.3">
      <c r="Q326" s="54"/>
      <c r="R326" s="54"/>
      <c r="S326" s="54"/>
      <c r="V326" s="54"/>
      <c r="W326" s="54"/>
      <c r="X326" s="54"/>
      <c r="AA326" s="54"/>
      <c r="AB326" s="54"/>
      <c r="AC326" s="54"/>
      <c r="AF326" s="54"/>
      <c r="AG326" s="54"/>
      <c r="AH326" s="54"/>
    </row>
    <row r="327" spans="17:34" x14ac:dyDescent="0.3">
      <c r="Q327" s="54"/>
      <c r="R327" s="54"/>
      <c r="S327" s="54"/>
      <c r="V327" s="54"/>
      <c r="W327" s="54"/>
      <c r="X327" s="54"/>
      <c r="AA327" s="54"/>
      <c r="AB327" s="54"/>
      <c r="AC327" s="54"/>
      <c r="AF327" s="54"/>
      <c r="AG327" s="54"/>
      <c r="AH327" s="54"/>
    </row>
    <row r="328" spans="17:34" x14ac:dyDescent="0.3">
      <c r="Q328" s="54"/>
      <c r="R328" s="54"/>
      <c r="S328" s="54"/>
      <c r="V328" s="54"/>
      <c r="W328" s="54"/>
      <c r="X328" s="54"/>
      <c r="AA328" s="54"/>
      <c r="AB328" s="54"/>
      <c r="AC328" s="54"/>
      <c r="AF328" s="54"/>
      <c r="AG328" s="54"/>
      <c r="AH328" s="54"/>
    </row>
    <row r="329" spans="17:34" x14ac:dyDescent="0.3">
      <c r="Q329" s="54"/>
      <c r="R329" s="54"/>
      <c r="S329" s="54"/>
      <c r="V329" s="54"/>
      <c r="W329" s="54"/>
      <c r="X329" s="54"/>
      <c r="AA329" s="54"/>
      <c r="AB329" s="54"/>
      <c r="AC329" s="54"/>
      <c r="AF329" s="54"/>
      <c r="AG329" s="54"/>
      <c r="AH329" s="54"/>
    </row>
    <row r="330" spans="17:34" x14ac:dyDescent="0.3">
      <c r="Q330" s="54"/>
      <c r="R330" s="54"/>
      <c r="S330" s="54"/>
      <c r="V330" s="54"/>
      <c r="W330" s="54"/>
      <c r="X330" s="54"/>
      <c r="AA330" s="54"/>
      <c r="AB330" s="54"/>
      <c r="AC330" s="54"/>
      <c r="AF330" s="54"/>
      <c r="AG330" s="54"/>
      <c r="AH330" s="54"/>
    </row>
    <row r="331" spans="17:34" x14ac:dyDescent="0.3">
      <c r="Q331" s="54"/>
      <c r="R331" s="54"/>
      <c r="S331" s="54"/>
      <c r="V331" s="54"/>
      <c r="W331" s="54"/>
      <c r="X331" s="54"/>
      <c r="AA331" s="54"/>
      <c r="AB331" s="54"/>
      <c r="AC331" s="54"/>
      <c r="AF331" s="54"/>
      <c r="AG331" s="54"/>
      <c r="AH331" s="54"/>
    </row>
    <row r="332" spans="17:34" x14ac:dyDescent="0.3">
      <c r="Q332" s="54"/>
      <c r="R332" s="54"/>
      <c r="S332" s="54"/>
      <c r="V332" s="54"/>
      <c r="W332" s="54"/>
      <c r="X332" s="54"/>
      <c r="AA332" s="54"/>
      <c r="AB332" s="54"/>
      <c r="AC332" s="54"/>
      <c r="AF332" s="54"/>
      <c r="AG332" s="54"/>
      <c r="AH332" s="54"/>
    </row>
    <row r="333" spans="17:34" x14ac:dyDescent="0.3">
      <c r="Q333" s="54"/>
      <c r="R333" s="54"/>
      <c r="S333" s="54"/>
      <c r="V333" s="54"/>
      <c r="W333" s="54"/>
      <c r="X333" s="54"/>
      <c r="AA333" s="54"/>
      <c r="AB333" s="54"/>
      <c r="AC333" s="54"/>
      <c r="AF333" s="54"/>
      <c r="AG333" s="54"/>
      <c r="AH333" s="54"/>
    </row>
    <row r="334" spans="17:34" x14ac:dyDescent="0.3">
      <c r="Q334" s="54"/>
      <c r="R334" s="54"/>
      <c r="S334" s="54"/>
      <c r="V334" s="54"/>
      <c r="W334" s="54"/>
      <c r="X334" s="54"/>
      <c r="AA334" s="54"/>
      <c r="AB334" s="54"/>
      <c r="AC334" s="54"/>
      <c r="AF334" s="54"/>
      <c r="AG334" s="54"/>
      <c r="AH334" s="54"/>
    </row>
    <row r="335" spans="17:34" x14ac:dyDescent="0.3">
      <c r="Q335" s="54"/>
      <c r="R335" s="54"/>
      <c r="S335" s="54"/>
      <c r="V335" s="54"/>
      <c r="W335" s="54"/>
      <c r="X335" s="54"/>
      <c r="AA335" s="54"/>
      <c r="AB335" s="54"/>
      <c r="AC335" s="54"/>
      <c r="AF335" s="54"/>
      <c r="AG335" s="54"/>
      <c r="AH335" s="54"/>
    </row>
    <row r="336" spans="17:34" x14ac:dyDescent="0.3">
      <c r="Q336" s="54"/>
      <c r="R336" s="54"/>
      <c r="S336" s="54"/>
      <c r="V336" s="54"/>
      <c r="W336" s="54"/>
      <c r="X336" s="54"/>
      <c r="AA336" s="54"/>
      <c r="AB336" s="54"/>
      <c r="AC336" s="54"/>
      <c r="AF336" s="54"/>
      <c r="AG336" s="54"/>
      <c r="AH336" s="54"/>
    </row>
    <row r="337" spans="17:34" x14ac:dyDescent="0.3">
      <c r="Q337" s="54"/>
      <c r="R337" s="54"/>
      <c r="S337" s="54"/>
      <c r="V337" s="54"/>
      <c r="W337" s="54"/>
      <c r="X337" s="54"/>
      <c r="AA337" s="54"/>
      <c r="AB337" s="54"/>
      <c r="AC337" s="54"/>
      <c r="AF337" s="54"/>
      <c r="AG337" s="54"/>
      <c r="AH337" s="54"/>
    </row>
    <row r="338" spans="17:34" x14ac:dyDescent="0.3">
      <c r="Q338" s="54"/>
      <c r="R338" s="54"/>
      <c r="S338" s="54"/>
      <c r="V338" s="54"/>
      <c r="W338" s="54"/>
      <c r="X338" s="54"/>
      <c r="AA338" s="54"/>
      <c r="AB338" s="54"/>
      <c r="AC338" s="54"/>
      <c r="AF338" s="54"/>
      <c r="AG338" s="54"/>
      <c r="AH338" s="54"/>
    </row>
    <row r="339" spans="17:34" x14ac:dyDescent="0.3">
      <c r="Q339" s="54"/>
      <c r="R339" s="54"/>
      <c r="S339" s="54"/>
      <c r="V339" s="54"/>
      <c r="W339" s="54"/>
      <c r="X339" s="54"/>
      <c r="AA339" s="54"/>
      <c r="AB339" s="54"/>
      <c r="AC339" s="54"/>
      <c r="AF339" s="54"/>
      <c r="AG339" s="54"/>
      <c r="AH339" s="54"/>
    </row>
    <row r="340" spans="17:34" x14ac:dyDescent="0.3">
      <c r="Q340" s="54"/>
      <c r="R340" s="54"/>
      <c r="S340" s="54"/>
      <c r="V340" s="54"/>
      <c r="W340" s="54"/>
      <c r="X340" s="54"/>
      <c r="AA340" s="54"/>
      <c r="AB340" s="54"/>
      <c r="AC340" s="54"/>
      <c r="AF340" s="54"/>
      <c r="AG340" s="54"/>
      <c r="AH340" s="54"/>
    </row>
    <row r="341" spans="17:34" x14ac:dyDescent="0.3">
      <c r="Q341" s="54"/>
      <c r="R341" s="54"/>
      <c r="S341" s="54"/>
      <c r="V341" s="54"/>
      <c r="W341" s="54"/>
      <c r="X341" s="54"/>
      <c r="AA341" s="54"/>
      <c r="AB341" s="54"/>
      <c r="AC341" s="54"/>
      <c r="AF341" s="54"/>
      <c r="AG341" s="54"/>
      <c r="AH341" s="54"/>
    </row>
    <row r="342" spans="17:34" x14ac:dyDescent="0.3">
      <c r="Q342" s="54"/>
      <c r="R342" s="54"/>
      <c r="S342" s="54"/>
      <c r="V342" s="54"/>
      <c r="W342" s="54"/>
      <c r="X342" s="54"/>
      <c r="AA342" s="54"/>
      <c r="AB342" s="54"/>
      <c r="AC342" s="54"/>
      <c r="AF342" s="54"/>
      <c r="AG342" s="54"/>
      <c r="AH342" s="54"/>
    </row>
    <row r="343" spans="17:34" x14ac:dyDescent="0.3">
      <c r="Q343" s="54"/>
      <c r="R343" s="54"/>
      <c r="S343" s="54"/>
      <c r="V343" s="54"/>
      <c r="W343" s="54"/>
      <c r="X343" s="54"/>
      <c r="AA343" s="54"/>
      <c r="AB343" s="54"/>
      <c r="AC343" s="54"/>
      <c r="AF343" s="54"/>
      <c r="AG343" s="54"/>
      <c r="AH343" s="54"/>
    </row>
    <row r="344" spans="17:34" x14ac:dyDescent="0.3">
      <c r="Q344" s="54"/>
      <c r="R344" s="54"/>
      <c r="S344" s="54"/>
      <c r="V344" s="54"/>
      <c r="W344" s="54"/>
      <c r="X344" s="54"/>
      <c r="AA344" s="54"/>
      <c r="AB344" s="54"/>
      <c r="AC344" s="54"/>
      <c r="AF344" s="54"/>
      <c r="AG344" s="54"/>
      <c r="AH344" s="54"/>
    </row>
    <row r="345" spans="17:34" x14ac:dyDescent="0.3">
      <c r="Q345" s="54"/>
      <c r="R345" s="54"/>
      <c r="S345" s="54"/>
      <c r="V345" s="54"/>
      <c r="W345" s="54"/>
      <c r="X345" s="54"/>
      <c r="AA345" s="54"/>
      <c r="AB345" s="54"/>
      <c r="AC345" s="54"/>
      <c r="AF345" s="54"/>
      <c r="AG345" s="54"/>
      <c r="AH345" s="54"/>
    </row>
    <row r="346" spans="17:34" x14ac:dyDescent="0.3">
      <c r="Q346" s="54"/>
      <c r="R346" s="54"/>
      <c r="S346" s="54"/>
      <c r="V346" s="54"/>
      <c r="W346" s="54"/>
      <c r="X346" s="54"/>
      <c r="AA346" s="54"/>
      <c r="AB346" s="54"/>
      <c r="AC346" s="54"/>
      <c r="AF346" s="54"/>
      <c r="AG346" s="54"/>
      <c r="AH346" s="54"/>
    </row>
    <row r="347" spans="17:34" x14ac:dyDescent="0.3">
      <c r="Q347" s="54"/>
      <c r="R347" s="54"/>
      <c r="S347" s="54"/>
      <c r="V347" s="54"/>
      <c r="W347" s="54"/>
      <c r="X347" s="54"/>
      <c r="AA347" s="54"/>
      <c r="AB347" s="54"/>
      <c r="AC347" s="54"/>
      <c r="AF347" s="54"/>
      <c r="AG347" s="54"/>
      <c r="AH347" s="54"/>
    </row>
    <row r="348" spans="17:34" x14ac:dyDescent="0.3">
      <c r="Q348" s="54"/>
      <c r="R348" s="54"/>
      <c r="S348" s="54"/>
      <c r="V348" s="54"/>
      <c r="W348" s="54"/>
      <c r="X348" s="54"/>
      <c r="AA348" s="54"/>
      <c r="AB348" s="54"/>
      <c r="AC348" s="54"/>
      <c r="AF348" s="54"/>
      <c r="AG348" s="54"/>
      <c r="AH348" s="54"/>
    </row>
    <row r="349" spans="17:34" x14ac:dyDescent="0.3">
      <c r="Q349" s="54"/>
      <c r="R349" s="54"/>
      <c r="S349" s="54"/>
      <c r="V349" s="54"/>
      <c r="W349" s="54"/>
      <c r="X349" s="54"/>
      <c r="AA349" s="54"/>
      <c r="AB349" s="54"/>
      <c r="AC349" s="54"/>
      <c r="AF349" s="54"/>
      <c r="AG349" s="54"/>
      <c r="AH349" s="54"/>
    </row>
    <row r="350" spans="17:34" x14ac:dyDescent="0.3">
      <c r="Q350" s="54"/>
      <c r="R350" s="54"/>
      <c r="S350" s="54"/>
      <c r="V350" s="54"/>
      <c r="W350" s="54"/>
      <c r="X350" s="54"/>
      <c r="AA350" s="54"/>
      <c r="AB350" s="54"/>
      <c r="AC350" s="54"/>
      <c r="AF350" s="54"/>
      <c r="AG350" s="54"/>
      <c r="AH350" s="54"/>
    </row>
    <row r="351" spans="17:34" x14ac:dyDescent="0.3">
      <c r="Q351" s="54"/>
      <c r="R351" s="54"/>
      <c r="S351" s="54"/>
      <c r="V351" s="54"/>
      <c r="W351" s="54"/>
      <c r="X351" s="54"/>
      <c r="AA351" s="54"/>
      <c r="AB351" s="54"/>
      <c r="AC351" s="54"/>
      <c r="AF351" s="54"/>
      <c r="AG351" s="54"/>
      <c r="AH351" s="54"/>
    </row>
    <row r="352" spans="17:34" x14ac:dyDescent="0.3">
      <c r="Q352" s="54"/>
      <c r="R352" s="54"/>
      <c r="S352" s="54"/>
      <c r="V352" s="54"/>
      <c r="W352" s="54"/>
      <c r="X352" s="54"/>
      <c r="AA352" s="54"/>
      <c r="AB352" s="54"/>
      <c r="AC352" s="54"/>
      <c r="AF352" s="54"/>
      <c r="AG352" s="54"/>
      <c r="AH352" s="54"/>
    </row>
    <row r="353" spans="17:34" x14ac:dyDescent="0.3">
      <c r="Q353" s="54"/>
      <c r="R353" s="54"/>
      <c r="S353" s="54"/>
      <c r="V353" s="54"/>
      <c r="W353" s="54"/>
      <c r="X353" s="54"/>
      <c r="AA353" s="54"/>
      <c r="AB353" s="54"/>
      <c r="AC353" s="54"/>
      <c r="AF353" s="54"/>
      <c r="AG353" s="54"/>
      <c r="AH353" s="54"/>
    </row>
    <row r="354" spans="17:34" x14ac:dyDescent="0.3">
      <c r="Q354" s="54"/>
      <c r="R354" s="54"/>
      <c r="S354" s="54"/>
      <c r="V354" s="54"/>
      <c r="W354" s="54"/>
      <c r="X354" s="54"/>
      <c r="AA354" s="54"/>
      <c r="AB354" s="54"/>
      <c r="AC354" s="54"/>
      <c r="AF354" s="54"/>
      <c r="AG354" s="54"/>
      <c r="AH354" s="54"/>
    </row>
    <row r="355" spans="17:34" x14ac:dyDescent="0.3">
      <c r="Q355" s="54"/>
      <c r="R355" s="54"/>
      <c r="S355" s="54"/>
      <c r="V355" s="54"/>
      <c r="W355" s="54"/>
      <c r="X355" s="54"/>
      <c r="AA355" s="54"/>
      <c r="AB355" s="54"/>
      <c r="AC355" s="54"/>
      <c r="AF355" s="54"/>
      <c r="AG355" s="54"/>
      <c r="AH355" s="54"/>
    </row>
    <row r="356" spans="17:34" x14ac:dyDescent="0.3">
      <c r="Q356" s="54"/>
      <c r="R356" s="54"/>
      <c r="S356" s="54"/>
      <c r="V356" s="54"/>
      <c r="W356" s="54"/>
      <c r="X356" s="54"/>
      <c r="AA356" s="54"/>
      <c r="AB356" s="54"/>
      <c r="AC356" s="54"/>
      <c r="AF356" s="54"/>
      <c r="AG356" s="54"/>
      <c r="AH356" s="54"/>
    </row>
    <row r="357" spans="17:34" x14ac:dyDescent="0.3">
      <c r="Q357" s="54"/>
      <c r="R357" s="54"/>
      <c r="S357" s="54"/>
      <c r="V357" s="54"/>
      <c r="W357" s="54"/>
      <c r="X357" s="54"/>
      <c r="AA357" s="54"/>
      <c r="AB357" s="54"/>
      <c r="AC357" s="54"/>
      <c r="AF357" s="54"/>
      <c r="AG357" s="54"/>
      <c r="AH357" s="54"/>
    </row>
    <row r="358" spans="17:34" x14ac:dyDescent="0.3">
      <c r="Q358" s="54"/>
      <c r="R358" s="54"/>
      <c r="S358" s="54"/>
      <c r="V358" s="54"/>
      <c r="W358" s="54"/>
      <c r="X358" s="54"/>
      <c r="AA358" s="54"/>
      <c r="AB358" s="54"/>
      <c r="AC358" s="54"/>
      <c r="AF358" s="54"/>
      <c r="AG358" s="54"/>
      <c r="AH358" s="54"/>
    </row>
    <row r="359" spans="17:34" x14ac:dyDescent="0.3">
      <c r="Q359" s="54"/>
      <c r="R359" s="54"/>
      <c r="S359" s="54"/>
      <c r="V359" s="54"/>
      <c r="W359" s="54"/>
      <c r="X359" s="54"/>
      <c r="AA359" s="54"/>
      <c r="AB359" s="54"/>
      <c r="AC359" s="54"/>
      <c r="AF359" s="54"/>
      <c r="AG359" s="54"/>
      <c r="AH359" s="54"/>
    </row>
    <row r="360" spans="17:34" x14ac:dyDescent="0.3">
      <c r="Q360" s="54"/>
      <c r="R360" s="54"/>
      <c r="S360" s="54"/>
      <c r="V360" s="54"/>
      <c r="W360" s="54"/>
      <c r="X360" s="54"/>
      <c r="AA360" s="54"/>
      <c r="AB360" s="54"/>
      <c r="AC360" s="54"/>
      <c r="AF360" s="54"/>
      <c r="AG360" s="54"/>
      <c r="AH360" s="54"/>
    </row>
    <row r="361" spans="17:34" x14ac:dyDescent="0.3">
      <c r="Q361" s="54"/>
      <c r="R361" s="54"/>
      <c r="S361" s="54"/>
      <c r="V361" s="54"/>
      <c r="W361" s="54"/>
      <c r="X361" s="54"/>
      <c r="AA361" s="54"/>
      <c r="AB361" s="54"/>
      <c r="AC361" s="54"/>
      <c r="AF361" s="54"/>
      <c r="AG361" s="54"/>
      <c r="AH361" s="54"/>
    </row>
    <row r="362" spans="17:34" x14ac:dyDescent="0.3">
      <c r="Q362" s="54"/>
      <c r="R362" s="54"/>
      <c r="S362" s="54"/>
      <c r="V362" s="54"/>
      <c r="W362" s="54"/>
      <c r="X362" s="54"/>
      <c r="AA362" s="54"/>
      <c r="AB362" s="54"/>
      <c r="AC362" s="54"/>
      <c r="AF362" s="54"/>
      <c r="AG362" s="54"/>
      <c r="AH362" s="54"/>
    </row>
    <row r="363" spans="17:34" x14ac:dyDescent="0.3">
      <c r="Q363" s="54"/>
      <c r="R363" s="54"/>
      <c r="S363" s="54"/>
      <c r="V363" s="54"/>
      <c r="W363" s="54"/>
      <c r="X363" s="54"/>
      <c r="AA363" s="54"/>
      <c r="AB363" s="54"/>
      <c r="AC363" s="54"/>
      <c r="AF363" s="54"/>
      <c r="AG363" s="54"/>
      <c r="AH363" s="54"/>
    </row>
    <row r="364" spans="17:34" x14ac:dyDescent="0.3">
      <c r="Q364" s="54"/>
      <c r="R364" s="54"/>
      <c r="S364" s="54"/>
      <c r="V364" s="54"/>
      <c r="W364" s="54"/>
      <c r="X364" s="54"/>
      <c r="AA364" s="54"/>
      <c r="AB364" s="54"/>
      <c r="AC364" s="54"/>
      <c r="AF364" s="54"/>
      <c r="AG364" s="54"/>
      <c r="AH364" s="54"/>
    </row>
    <row r="365" spans="17:34" x14ac:dyDescent="0.3">
      <c r="Q365" s="54"/>
      <c r="R365" s="54"/>
      <c r="S365" s="54"/>
      <c r="V365" s="54"/>
      <c r="W365" s="54"/>
      <c r="X365" s="54"/>
      <c r="AA365" s="54"/>
      <c r="AB365" s="54"/>
      <c r="AC365" s="54"/>
      <c r="AF365" s="54"/>
      <c r="AG365" s="54"/>
      <c r="AH365" s="54"/>
    </row>
    <row r="366" spans="17:34" x14ac:dyDescent="0.3">
      <c r="Q366" s="54"/>
      <c r="R366" s="54"/>
      <c r="S366" s="54"/>
      <c r="V366" s="54"/>
      <c r="W366" s="54"/>
      <c r="X366" s="54"/>
      <c r="AA366" s="54"/>
      <c r="AB366" s="54"/>
      <c r="AC366" s="54"/>
      <c r="AF366" s="54"/>
      <c r="AG366" s="54"/>
      <c r="AH366" s="54"/>
    </row>
    <row r="367" spans="17:34" x14ac:dyDescent="0.3">
      <c r="Q367" s="54"/>
      <c r="R367" s="54"/>
      <c r="S367" s="54"/>
      <c r="V367" s="54"/>
      <c r="W367" s="54"/>
      <c r="X367" s="54"/>
      <c r="AA367" s="54"/>
      <c r="AB367" s="54"/>
      <c r="AC367" s="54"/>
      <c r="AF367" s="54"/>
      <c r="AG367" s="54"/>
      <c r="AH367" s="54"/>
    </row>
    <row r="368" spans="17:34" x14ac:dyDescent="0.3">
      <c r="Q368" s="54"/>
      <c r="R368" s="54"/>
      <c r="S368" s="54"/>
      <c r="V368" s="54"/>
      <c r="W368" s="54"/>
      <c r="X368" s="54"/>
      <c r="AA368" s="54"/>
      <c r="AB368" s="54"/>
      <c r="AC368" s="54"/>
      <c r="AF368" s="54"/>
      <c r="AG368" s="54"/>
      <c r="AH368" s="54"/>
    </row>
    <row r="369" spans="17:34" x14ac:dyDescent="0.3">
      <c r="Q369" s="54"/>
      <c r="R369" s="54"/>
      <c r="S369" s="54"/>
      <c r="V369" s="54"/>
      <c r="W369" s="54"/>
      <c r="X369" s="54"/>
      <c r="AA369" s="54"/>
      <c r="AB369" s="54"/>
      <c r="AC369" s="54"/>
      <c r="AF369" s="54"/>
      <c r="AG369" s="54"/>
      <c r="AH369" s="54"/>
    </row>
    <row r="370" spans="17:34" x14ac:dyDescent="0.3">
      <c r="Q370" s="54"/>
      <c r="R370" s="54"/>
      <c r="S370" s="54"/>
      <c r="V370" s="54"/>
      <c r="W370" s="54"/>
      <c r="X370" s="54"/>
      <c r="AA370" s="54"/>
      <c r="AB370" s="54"/>
      <c r="AC370" s="54"/>
      <c r="AF370" s="54"/>
      <c r="AG370" s="54"/>
      <c r="AH370" s="54"/>
    </row>
    <row r="371" spans="17:34" x14ac:dyDescent="0.3">
      <c r="Q371" s="54"/>
      <c r="R371" s="54"/>
      <c r="S371" s="54"/>
      <c r="V371" s="54"/>
      <c r="W371" s="54"/>
      <c r="X371" s="54"/>
      <c r="AA371" s="54"/>
      <c r="AB371" s="54"/>
      <c r="AC371" s="54"/>
      <c r="AF371" s="54"/>
      <c r="AG371" s="54"/>
      <c r="AH371" s="54"/>
    </row>
    <row r="372" spans="17:34" x14ac:dyDescent="0.3">
      <c r="Q372" s="54"/>
      <c r="R372" s="54"/>
      <c r="S372" s="54"/>
      <c r="V372" s="54"/>
      <c r="W372" s="54"/>
      <c r="X372" s="54"/>
      <c r="AA372" s="54"/>
      <c r="AB372" s="54"/>
      <c r="AC372" s="54"/>
      <c r="AF372" s="54"/>
      <c r="AG372" s="54"/>
      <c r="AH372" s="54"/>
    </row>
    <row r="373" spans="17:34" x14ac:dyDescent="0.3">
      <c r="Q373" s="54"/>
      <c r="R373" s="54"/>
      <c r="S373" s="54"/>
      <c r="V373" s="54"/>
      <c r="W373" s="54"/>
      <c r="X373" s="54"/>
      <c r="AA373" s="54"/>
      <c r="AB373" s="54"/>
      <c r="AC373" s="54"/>
      <c r="AF373" s="54"/>
      <c r="AG373" s="54"/>
      <c r="AH373" s="54"/>
    </row>
    <row r="374" spans="17:34" x14ac:dyDescent="0.3">
      <c r="Q374" s="54"/>
      <c r="R374" s="54"/>
      <c r="S374" s="54"/>
      <c r="V374" s="54"/>
      <c r="W374" s="54"/>
      <c r="X374" s="54"/>
      <c r="AA374" s="54"/>
      <c r="AB374" s="54"/>
      <c r="AC374" s="54"/>
      <c r="AF374" s="54"/>
      <c r="AG374" s="54"/>
      <c r="AH374" s="54"/>
    </row>
    <row r="375" spans="17:34" x14ac:dyDescent="0.3">
      <c r="Q375" s="54"/>
      <c r="R375" s="54"/>
      <c r="S375" s="54"/>
      <c r="V375" s="54"/>
      <c r="W375" s="54"/>
      <c r="X375" s="54"/>
      <c r="AA375" s="54"/>
      <c r="AB375" s="54"/>
      <c r="AC375" s="54"/>
      <c r="AF375" s="54"/>
      <c r="AG375" s="54"/>
      <c r="AH375" s="54"/>
    </row>
    <row r="376" spans="17:34" x14ac:dyDescent="0.3">
      <c r="Q376" s="54"/>
      <c r="R376" s="54"/>
      <c r="S376" s="54"/>
      <c r="V376" s="54"/>
      <c r="W376" s="54"/>
      <c r="X376" s="54"/>
      <c r="AA376" s="54"/>
      <c r="AB376" s="54"/>
      <c r="AC376" s="54"/>
      <c r="AF376" s="54"/>
      <c r="AG376" s="54"/>
      <c r="AH376" s="54"/>
    </row>
    <row r="377" spans="17:34" x14ac:dyDescent="0.3">
      <c r="Q377" s="54"/>
      <c r="R377" s="54"/>
      <c r="S377" s="54"/>
      <c r="V377" s="54"/>
      <c r="W377" s="54"/>
      <c r="X377" s="54"/>
      <c r="AA377" s="54"/>
      <c r="AB377" s="54"/>
      <c r="AC377" s="54"/>
      <c r="AF377" s="54"/>
      <c r="AG377" s="54"/>
      <c r="AH377" s="54"/>
    </row>
    <row r="378" spans="17:34" x14ac:dyDescent="0.3">
      <c r="Q378" s="54"/>
      <c r="R378" s="54"/>
      <c r="S378" s="54"/>
      <c r="V378" s="54"/>
      <c r="W378" s="54"/>
      <c r="X378" s="54"/>
      <c r="AA378" s="54"/>
      <c r="AB378" s="54"/>
      <c r="AC378" s="54"/>
      <c r="AF378" s="54"/>
      <c r="AG378" s="54"/>
      <c r="AH378" s="54"/>
    </row>
    <row r="379" spans="17:34" x14ac:dyDescent="0.3">
      <c r="Q379" s="54"/>
      <c r="R379" s="54"/>
      <c r="S379" s="54"/>
      <c r="V379" s="54"/>
      <c r="W379" s="54"/>
      <c r="X379" s="54"/>
      <c r="AA379" s="54"/>
      <c r="AB379" s="54"/>
      <c r="AC379" s="54"/>
      <c r="AF379" s="54"/>
      <c r="AG379" s="54"/>
      <c r="AH379" s="54"/>
    </row>
    <row r="380" spans="17:34" x14ac:dyDescent="0.3">
      <c r="Q380" s="54"/>
      <c r="R380" s="54"/>
      <c r="S380" s="54"/>
      <c r="V380" s="54"/>
      <c r="W380" s="54"/>
      <c r="X380" s="54"/>
      <c r="AA380" s="54"/>
      <c r="AB380" s="54"/>
      <c r="AC380" s="54"/>
      <c r="AF380" s="54"/>
      <c r="AG380" s="54"/>
      <c r="AH380" s="54"/>
    </row>
    <row r="381" spans="17:34" x14ac:dyDescent="0.3">
      <c r="Q381" s="54"/>
      <c r="R381" s="54"/>
      <c r="S381" s="54"/>
      <c r="V381" s="54"/>
      <c r="W381" s="54"/>
      <c r="X381" s="54"/>
      <c r="AA381" s="54"/>
      <c r="AB381" s="54"/>
      <c r="AC381" s="54"/>
      <c r="AF381" s="54"/>
      <c r="AG381" s="54"/>
      <c r="AH381" s="54"/>
    </row>
    <row r="382" spans="17:34" x14ac:dyDescent="0.3">
      <c r="Q382" s="54"/>
      <c r="R382" s="54"/>
      <c r="S382" s="54"/>
      <c r="V382" s="54"/>
      <c r="W382" s="54"/>
      <c r="X382" s="54"/>
      <c r="AA382" s="54"/>
      <c r="AB382" s="54"/>
      <c r="AC382" s="54"/>
      <c r="AF382" s="54"/>
      <c r="AG382" s="54"/>
      <c r="AH382" s="54"/>
    </row>
    <row r="383" spans="17:34" x14ac:dyDescent="0.3">
      <c r="Q383" s="54"/>
      <c r="R383" s="54"/>
      <c r="S383" s="54"/>
      <c r="V383" s="54"/>
      <c r="W383" s="54"/>
      <c r="X383" s="54"/>
      <c r="AA383" s="54"/>
      <c r="AB383" s="54"/>
      <c r="AC383" s="54"/>
      <c r="AF383" s="54"/>
      <c r="AG383" s="54"/>
      <c r="AH383" s="54"/>
    </row>
    <row r="384" spans="17:34" x14ac:dyDescent="0.3">
      <c r="Q384" s="54"/>
      <c r="R384" s="54"/>
      <c r="S384" s="54"/>
      <c r="V384" s="54"/>
      <c r="W384" s="54"/>
      <c r="X384" s="54"/>
      <c r="AA384" s="54"/>
      <c r="AB384" s="54"/>
      <c r="AC384" s="54"/>
      <c r="AF384" s="54"/>
      <c r="AG384" s="54"/>
      <c r="AH384" s="54"/>
    </row>
    <row r="385" spans="17:34" x14ac:dyDescent="0.3">
      <c r="Q385" s="54"/>
      <c r="R385" s="54"/>
      <c r="S385" s="54"/>
      <c r="V385" s="54"/>
      <c r="W385" s="54"/>
      <c r="X385" s="54"/>
      <c r="AA385" s="54"/>
      <c r="AB385" s="54"/>
      <c r="AC385" s="54"/>
      <c r="AF385" s="54"/>
      <c r="AG385" s="54"/>
      <c r="AH385" s="54"/>
    </row>
    <row r="386" spans="17:34" x14ac:dyDescent="0.3">
      <c r="Q386" s="54"/>
      <c r="R386" s="54"/>
      <c r="S386" s="54"/>
      <c r="V386" s="54"/>
      <c r="W386" s="54"/>
      <c r="X386" s="54"/>
      <c r="AA386" s="54"/>
      <c r="AB386" s="54"/>
      <c r="AC386" s="54"/>
      <c r="AF386" s="54"/>
      <c r="AG386" s="54"/>
      <c r="AH386" s="54"/>
    </row>
    <row r="387" spans="17:34" x14ac:dyDescent="0.3">
      <c r="Q387" s="54"/>
      <c r="R387" s="54"/>
      <c r="S387" s="54"/>
      <c r="V387" s="54"/>
      <c r="W387" s="54"/>
      <c r="X387" s="54"/>
      <c r="AA387" s="54"/>
      <c r="AB387" s="54"/>
      <c r="AC387" s="54"/>
      <c r="AF387" s="54"/>
      <c r="AG387" s="54"/>
      <c r="AH387" s="54"/>
    </row>
    <row r="388" spans="17:34" x14ac:dyDescent="0.3">
      <c r="Q388" s="54"/>
      <c r="R388" s="54"/>
      <c r="S388" s="54"/>
      <c r="V388" s="54"/>
      <c r="W388" s="54"/>
      <c r="X388" s="54"/>
      <c r="AA388" s="54"/>
      <c r="AB388" s="54"/>
      <c r="AC388" s="54"/>
      <c r="AF388" s="54"/>
      <c r="AG388" s="54"/>
      <c r="AH388" s="54"/>
    </row>
    <row r="389" spans="17:34" x14ac:dyDescent="0.3">
      <c r="Q389" s="54"/>
      <c r="R389" s="54"/>
      <c r="S389" s="54"/>
      <c r="V389" s="54"/>
      <c r="W389" s="54"/>
      <c r="X389" s="54"/>
      <c r="AA389" s="54"/>
      <c r="AB389" s="54"/>
      <c r="AC389" s="54"/>
      <c r="AF389" s="54"/>
      <c r="AG389" s="54"/>
      <c r="AH389" s="54"/>
    </row>
    <row r="390" spans="17:34" x14ac:dyDescent="0.3">
      <c r="Q390" s="54"/>
      <c r="R390" s="54"/>
      <c r="S390" s="54"/>
      <c r="V390" s="54"/>
      <c r="W390" s="54"/>
      <c r="X390" s="54"/>
      <c r="AA390" s="54"/>
      <c r="AB390" s="54"/>
      <c r="AC390" s="54"/>
      <c r="AF390" s="54"/>
      <c r="AG390" s="54"/>
      <c r="AH390" s="54"/>
    </row>
    <row r="391" spans="17:34" x14ac:dyDescent="0.3">
      <c r="Q391" s="54"/>
      <c r="R391" s="54"/>
      <c r="S391" s="54"/>
      <c r="V391" s="54"/>
      <c r="W391" s="54"/>
      <c r="X391" s="54"/>
      <c r="AA391" s="54"/>
      <c r="AB391" s="54"/>
      <c r="AC391" s="54"/>
      <c r="AF391" s="54"/>
      <c r="AG391" s="54"/>
      <c r="AH391" s="54"/>
    </row>
    <row r="392" spans="17:34" x14ac:dyDescent="0.3">
      <c r="Q392" s="54"/>
      <c r="R392" s="54"/>
      <c r="S392" s="54"/>
      <c r="V392" s="54"/>
      <c r="W392" s="54"/>
      <c r="X392" s="54"/>
      <c r="AA392" s="54"/>
      <c r="AB392" s="54"/>
      <c r="AC392" s="54"/>
      <c r="AF392" s="54"/>
      <c r="AG392" s="54"/>
      <c r="AH392" s="54"/>
    </row>
    <row r="393" spans="17:34" x14ac:dyDescent="0.3">
      <c r="Q393" s="54"/>
      <c r="R393" s="54"/>
      <c r="S393" s="54"/>
      <c r="V393" s="54"/>
      <c r="W393" s="54"/>
      <c r="X393" s="54"/>
      <c r="AA393" s="54"/>
      <c r="AB393" s="54"/>
      <c r="AC393" s="54"/>
      <c r="AF393" s="54"/>
      <c r="AG393" s="54"/>
      <c r="AH393" s="54"/>
    </row>
    <row r="394" spans="17:34" x14ac:dyDescent="0.3">
      <c r="Q394" s="54"/>
      <c r="R394" s="54"/>
      <c r="S394" s="54"/>
      <c r="V394" s="54"/>
      <c r="W394" s="54"/>
      <c r="X394" s="54"/>
      <c r="AA394" s="54"/>
      <c r="AB394" s="54"/>
      <c r="AC394" s="54"/>
      <c r="AF394" s="54"/>
      <c r="AG394" s="54"/>
      <c r="AH394" s="54"/>
    </row>
    <row r="395" spans="17:34" x14ac:dyDescent="0.3">
      <c r="Q395" s="54"/>
      <c r="R395" s="54"/>
      <c r="S395" s="54"/>
      <c r="V395" s="54"/>
      <c r="W395" s="54"/>
      <c r="X395" s="54"/>
      <c r="AA395" s="54"/>
      <c r="AB395" s="54"/>
      <c r="AC395" s="54"/>
      <c r="AF395" s="54"/>
      <c r="AG395" s="54"/>
      <c r="AH395" s="54"/>
    </row>
    <row r="396" spans="17:34" x14ac:dyDescent="0.3">
      <c r="Q396" s="54"/>
      <c r="R396" s="54"/>
      <c r="S396" s="54"/>
      <c r="V396" s="54"/>
      <c r="W396" s="54"/>
      <c r="X396" s="54"/>
      <c r="AA396" s="54"/>
      <c r="AB396" s="54"/>
      <c r="AC396" s="54"/>
      <c r="AF396" s="54"/>
      <c r="AG396" s="54"/>
      <c r="AH396" s="54"/>
    </row>
    <row r="397" spans="17:34" x14ac:dyDescent="0.3">
      <c r="Q397" s="54"/>
      <c r="R397" s="54"/>
      <c r="S397" s="54"/>
      <c r="V397" s="54"/>
      <c r="W397" s="54"/>
      <c r="X397" s="54"/>
      <c r="AA397" s="54"/>
      <c r="AB397" s="54"/>
      <c r="AC397" s="54"/>
      <c r="AF397" s="54"/>
      <c r="AG397" s="54"/>
      <c r="AH397" s="54"/>
    </row>
    <row r="398" spans="17:34" x14ac:dyDescent="0.3">
      <c r="Q398" s="54"/>
      <c r="R398" s="54"/>
      <c r="S398" s="54"/>
      <c r="V398" s="54"/>
      <c r="W398" s="54"/>
      <c r="X398" s="54"/>
      <c r="AA398" s="54"/>
      <c r="AB398" s="54"/>
      <c r="AC398" s="54"/>
      <c r="AF398" s="54"/>
      <c r="AG398" s="54"/>
      <c r="AH398" s="54"/>
    </row>
    <row r="399" spans="17:34" x14ac:dyDescent="0.3">
      <c r="Q399" s="54"/>
      <c r="R399" s="54"/>
      <c r="S399" s="54"/>
      <c r="V399" s="54"/>
      <c r="W399" s="54"/>
      <c r="X399" s="54"/>
      <c r="AA399" s="54"/>
      <c r="AB399" s="54"/>
      <c r="AC399" s="54"/>
      <c r="AF399" s="54"/>
      <c r="AG399" s="54"/>
      <c r="AH399" s="54"/>
    </row>
    <row r="400" spans="17:34" x14ac:dyDescent="0.3">
      <c r="Q400" s="54"/>
      <c r="R400" s="54"/>
      <c r="S400" s="54"/>
      <c r="V400" s="54"/>
      <c r="W400" s="54"/>
      <c r="X400" s="54"/>
      <c r="AA400" s="54"/>
      <c r="AB400" s="54"/>
      <c r="AC400" s="54"/>
      <c r="AF400" s="54"/>
      <c r="AG400" s="54"/>
      <c r="AH400" s="54"/>
    </row>
    <row r="401" spans="17:34" x14ac:dyDescent="0.3">
      <c r="Q401" s="54"/>
      <c r="R401" s="54"/>
      <c r="S401" s="54"/>
      <c r="V401" s="54"/>
      <c r="W401" s="54"/>
      <c r="X401" s="54"/>
      <c r="AA401" s="54"/>
      <c r="AB401" s="54"/>
      <c r="AC401" s="54"/>
      <c r="AF401" s="54"/>
      <c r="AG401" s="54"/>
      <c r="AH401" s="54"/>
    </row>
    <row r="402" spans="17:34" x14ac:dyDescent="0.3">
      <c r="Q402" s="54"/>
      <c r="R402" s="54"/>
      <c r="S402" s="54"/>
      <c r="V402" s="54"/>
      <c r="W402" s="54"/>
      <c r="X402" s="54"/>
      <c r="AA402" s="54"/>
      <c r="AB402" s="54"/>
      <c r="AC402" s="54"/>
      <c r="AF402" s="54"/>
      <c r="AG402" s="54"/>
      <c r="AH402" s="54"/>
    </row>
    <row r="403" spans="17:34" x14ac:dyDescent="0.3">
      <c r="Q403" s="54"/>
      <c r="R403" s="54"/>
      <c r="S403" s="54"/>
      <c r="V403" s="54"/>
      <c r="W403" s="54"/>
      <c r="X403" s="54"/>
      <c r="AA403" s="54"/>
      <c r="AB403" s="54"/>
      <c r="AC403" s="54"/>
      <c r="AF403" s="54"/>
      <c r="AG403" s="54"/>
      <c r="AH403" s="54"/>
    </row>
    <row r="404" spans="17:34" x14ac:dyDescent="0.3">
      <c r="Q404" s="54"/>
      <c r="R404" s="54"/>
      <c r="S404" s="54"/>
      <c r="V404" s="54"/>
      <c r="W404" s="54"/>
      <c r="X404" s="54"/>
      <c r="AA404" s="54"/>
      <c r="AB404" s="54"/>
      <c r="AC404" s="54"/>
      <c r="AF404" s="54"/>
      <c r="AG404" s="54"/>
      <c r="AH404" s="54"/>
    </row>
    <row r="405" spans="17:34" x14ac:dyDescent="0.3">
      <c r="Q405" s="54"/>
      <c r="R405" s="54"/>
      <c r="S405" s="54"/>
      <c r="V405" s="54"/>
      <c r="W405" s="54"/>
      <c r="X405" s="54"/>
      <c r="AA405" s="54"/>
      <c r="AB405" s="54"/>
      <c r="AC405" s="54"/>
      <c r="AF405" s="54"/>
      <c r="AG405" s="54"/>
      <c r="AH405" s="54"/>
    </row>
    <row r="406" spans="17:34" x14ac:dyDescent="0.3">
      <c r="Q406" s="54"/>
      <c r="R406" s="54"/>
      <c r="S406" s="54"/>
      <c r="V406" s="54"/>
      <c r="W406" s="54"/>
      <c r="X406" s="54"/>
      <c r="AA406" s="54"/>
      <c r="AB406" s="54"/>
      <c r="AC406" s="54"/>
      <c r="AF406" s="54"/>
      <c r="AG406" s="54"/>
      <c r="AH406" s="54"/>
    </row>
    <row r="407" spans="17:34" x14ac:dyDescent="0.3">
      <c r="Q407" s="54"/>
      <c r="R407" s="54"/>
      <c r="S407" s="54"/>
      <c r="V407" s="54"/>
      <c r="W407" s="54"/>
      <c r="X407" s="54"/>
      <c r="AA407" s="54"/>
      <c r="AB407" s="54"/>
      <c r="AC407" s="54"/>
      <c r="AF407" s="54"/>
      <c r="AG407" s="54"/>
      <c r="AH407" s="54"/>
    </row>
    <row r="408" spans="17:34" x14ac:dyDescent="0.3">
      <c r="Q408" s="54"/>
      <c r="R408" s="54"/>
      <c r="S408" s="54"/>
      <c r="V408" s="54"/>
      <c r="W408" s="54"/>
      <c r="X408" s="54"/>
      <c r="AA408" s="54"/>
      <c r="AB408" s="54"/>
      <c r="AC408" s="54"/>
      <c r="AF408" s="54"/>
      <c r="AG408" s="54"/>
      <c r="AH408" s="54"/>
    </row>
    <row r="409" spans="17:34" x14ac:dyDescent="0.3">
      <c r="Q409" s="54"/>
      <c r="R409" s="54"/>
      <c r="S409" s="54"/>
      <c r="V409" s="54"/>
      <c r="W409" s="54"/>
      <c r="X409" s="54"/>
      <c r="AA409" s="54"/>
      <c r="AB409" s="54"/>
      <c r="AC409" s="54"/>
      <c r="AF409" s="54"/>
      <c r="AG409" s="54"/>
      <c r="AH409" s="54"/>
    </row>
    <row r="410" spans="17:34" x14ac:dyDescent="0.3">
      <c r="Q410" s="54"/>
      <c r="R410" s="54"/>
      <c r="S410" s="54"/>
      <c r="V410" s="54"/>
      <c r="W410" s="54"/>
      <c r="X410" s="54"/>
      <c r="AA410" s="54"/>
      <c r="AB410" s="54"/>
      <c r="AC410" s="54"/>
      <c r="AF410" s="54"/>
      <c r="AG410" s="54"/>
      <c r="AH410" s="54"/>
    </row>
    <row r="411" spans="17:34" x14ac:dyDescent="0.3">
      <c r="Q411" s="54"/>
      <c r="R411" s="54"/>
      <c r="S411" s="54"/>
      <c r="V411" s="54"/>
      <c r="W411" s="54"/>
      <c r="X411" s="54"/>
      <c r="AA411" s="54"/>
      <c r="AB411" s="54"/>
      <c r="AC411" s="54"/>
      <c r="AF411" s="54"/>
      <c r="AG411" s="54"/>
      <c r="AH411" s="54"/>
    </row>
    <row r="412" spans="17:34" x14ac:dyDescent="0.3">
      <c r="Q412" s="54"/>
      <c r="R412" s="54"/>
      <c r="S412" s="54"/>
      <c r="V412" s="54"/>
      <c r="W412" s="54"/>
      <c r="X412" s="54"/>
      <c r="AA412" s="54"/>
      <c r="AB412" s="54"/>
      <c r="AC412" s="54"/>
      <c r="AF412" s="54"/>
      <c r="AG412" s="54"/>
      <c r="AH412" s="54"/>
    </row>
    <row r="413" spans="17:34" x14ac:dyDescent="0.3">
      <c r="Q413" s="54"/>
      <c r="R413" s="54"/>
      <c r="S413" s="54"/>
      <c r="V413" s="54"/>
      <c r="W413" s="54"/>
      <c r="X413" s="54"/>
      <c r="AA413" s="54"/>
      <c r="AB413" s="54"/>
      <c r="AC413" s="54"/>
      <c r="AF413" s="54"/>
      <c r="AG413" s="54"/>
      <c r="AH413" s="54"/>
    </row>
    <row r="414" spans="17:34" x14ac:dyDescent="0.3">
      <c r="Q414" s="54"/>
      <c r="R414" s="54"/>
      <c r="S414" s="54"/>
      <c r="V414" s="54"/>
      <c r="W414" s="54"/>
      <c r="X414" s="54"/>
      <c r="AA414" s="54"/>
      <c r="AB414" s="54"/>
      <c r="AC414" s="54"/>
      <c r="AF414" s="54"/>
      <c r="AG414" s="54"/>
      <c r="AH414" s="54"/>
    </row>
    <row r="415" spans="17:34" x14ac:dyDescent="0.3">
      <c r="Q415" s="54"/>
      <c r="R415" s="54"/>
      <c r="S415" s="54"/>
      <c r="V415" s="54"/>
      <c r="W415" s="54"/>
      <c r="X415" s="54"/>
      <c r="AA415" s="54"/>
      <c r="AB415" s="54"/>
      <c r="AC415" s="54"/>
      <c r="AF415" s="54"/>
      <c r="AG415" s="54"/>
      <c r="AH415" s="54"/>
    </row>
    <row r="416" spans="17:34" x14ac:dyDescent="0.3">
      <c r="Q416" s="54"/>
      <c r="R416" s="54"/>
      <c r="S416" s="54"/>
      <c r="V416" s="54"/>
      <c r="W416" s="54"/>
      <c r="X416" s="54"/>
      <c r="AA416" s="54"/>
      <c r="AB416" s="54"/>
      <c r="AC416" s="54"/>
      <c r="AF416" s="54"/>
      <c r="AG416" s="54"/>
      <c r="AH416" s="54"/>
    </row>
    <row r="417" spans="17:34" x14ac:dyDescent="0.3">
      <c r="Q417" s="54"/>
      <c r="R417" s="54"/>
      <c r="S417" s="54"/>
      <c r="V417" s="54"/>
      <c r="W417" s="54"/>
      <c r="X417" s="54"/>
      <c r="AA417" s="54"/>
      <c r="AB417" s="54"/>
      <c r="AC417" s="54"/>
      <c r="AF417" s="54"/>
      <c r="AG417" s="54"/>
      <c r="AH417" s="54"/>
    </row>
    <row r="418" spans="17:34" x14ac:dyDescent="0.3">
      <c r="Q418" s="54"/>
      <c r="R418" s="54"/>
      <c r="S418" s="54"/>
      <c r="V418" s="54"/>
      <c r="W418" s="54"/>
      <c r="X418" s="54"/>
      <c r="AA418" s="54"/>
      <c r="AB418" s="54"/>
      <c r="AC418" s="54"/>
      <c r="AF418" s="54"/>
      <c r="AG418" s="54"/>
      <c r="AH418" s="54"/>
    </row>
    <row r="419" spans="17:34" x14ac:dyDescent="0.3">
      <c r="Q419" s="54"/>
      <c r="R419" s="54"/>
      <c r="S419" s="54"/>
      <c r="V419" s="54"/>
      <c r="W419" s="54"/>
      <c r="X419" s="54"/>
      <c r="AA419" s="54"/>
      <c r="AB419" s="54"/>
      <c r="AC419" s="54"/>
      <c r="AF419" s="54"/>
      <c r="AG419" s="54"/>
      <c r="AH419" s="54"/>
    </row>
    <row r="420" spans="17:34" x14ac:dyDescent="0.3">
      <c r="Q420" s="54"/>
      <c r="R420" s="54"/>
      <c r="S420" s="54"/>
      <c r="V420" s="54"/>
      <c r="W420" s="54"/>
      <c r="X420" s="54"/>
      <c r="AA420" s="54"/>
      <c r="AB420" s="54"/>
      <c r="AC420" s="54"/>
      <c r="AF420" s="54"/>
      <c r="AG420" s="54"/>
      <c r="AH420" s="54"/>
    </row>
    <row r="421" spans="17:34" x14ac:dyDescent="0.3">
      <c r="Q421" s="54"/>
      <c r="R421" s="54"/>
      <c r="S421" s="54"/>
      <c r="V421" s="54"/>
      <c r="W421" s="54"/>
      <c r="X421" s="54"/>
      <c r="AA421" s="54"/>
      <c r="AB421" s="54"/>
      <c r="AC421" s="54"/>
      <c r="AF421" s="54"/>
      <c r="AG421" s="54"/>
      <c r="AH421" s="54"/>
    </row>
    <row r="422" spans="17:34" x14ac:dyDescent="0.3">
      <c r="Q422" s="54"/>
      <c r="R422" s="54"/>
      <c r="S422" s="54"/>
      <c r="V422" s="54"/>
      <c r="W422" s="54"/>
      <c r="X422" s="54"/>
      <c r="AA422" s="54"/>
      <c r="AB422" s="54"/>
      <c r="AC422" s="54"/>
      <c r="AF422" s="54"/>
      <c r="AG422" s="54"/>
      <c r="AH422" s="54"/>
    </row>
    <row r="423" spans="17:34" x14ac:dyDescent="0.3">
      <c r="Q423" s="54"/>
      <c r="R423" s="54"/>
      <c r="S423" s="54"/>
      <c r="V423" s="54"/>
      <c r="W423" s="54"/>
      <c r="X423" s="54"/>
      <c r="AA423" s="54"/>
      <c r="AB423" s="54"/>
      <c r="AC423" s="54"/>
      <c r="AF423" s="54"/>
      <c r="AG423" s="54"/>
      <c r="AH423" s="54"/>
    </row>
    <row r="424" spans="17:34" x14ac:dyDescent="0.3">
      <c r="Q424" s="54"/>
      <c r="R424" s="54"/>
      <c r="S424" s="54"/>
      <c r="V424" s="54"/>
      <c r="W424" s="54"/>
      <c r="X424" s="54"/>
      <c r="AA424" s="54"/>
      <c r="AB424" s="54"/>
      <c r="AC424" s="54"/>
      <c r="AF424" s="54"/>
      <c r="AG424" s="54"/>
      <c r="AH424" s="54"/>
    </row>
    <row r="425" spans="17:34" x14ac:dyDescent="0.3">
      <c r="Q425" s="54"/>
      <c r="R425" s="54"/>
      <c r="S425" s="54"/>
      <c r="V425" s="54"/>
      <c r="W425" s="54"/>
      <c r="X425" s="54"/>
      <c r="AA425" s="54"/>
      <c r="AB425" s="54"/>
      <c r="AC425" s="54"/>
      <c r="AF425" s="54"/>
      <c r="AG425" s="54"/>
      <c r="AH425" s="54"/>
    </row>
    <row r="426" spans="17:34" x14ac:dyDescent="0.3">
      <c r="Q426" s="54"/>
      <c r="R426" s="54"/>
      <c r="S426" s="54"/>
      <c r="V426" s="54"/>
      <c r="W426" s="54"/>
      <c r="X426" s="54"/>
      <c r="AA426" s="54"/>
      <c r="AB426" s="54"/>
      <c r="AC426" s="54"/>
      <c r="AF426" s="54"/>
      <c r="AG426" s="54"/>
      <c r="AH426" s="54"/>
    </row>
    <row r="427" spans="17:34" x14ac:dyDescent="0.3">
      <c r="Q427" s="54"/>
      <c r="R427" s="54"/>
      <c r="S427" s="54"/>
      <c r="V427" s="54"/>
      <c r="W427" s="54"/>
      <c r="X427" s="54"/>
      <c r="AA427" s="54"/>
      <c r="AB427" s="54"/>
      <c r="AC427" s="54"/>
      <c r="AF427" s="54"/>
      <c r="AG427" s="54"/>
      <c r="AH427" s="54"/>
    </row>
    <row r="428" spans="17:34" x14ac:dyDescent="0.3">
      <c r="Q428" s="54"/>
      <c r="R428" s="54"/>
      <c r="S428" s="54"/>
      <c r="V428" s="54"/>
      <c r="W428" s="54"/>
      <c r="X428" s="54"/>
      <c r="AA428" s="54"/>
      <c r="AB428" s="54"/>
      <c r="AC428" s="54"/>
      <c r="AF428" s="54"/>
      <c r="AG428" s="54"/>
      <c r="AH428" s="54"/>
    </row>
    <row r="429" spans="17:34" x14ac:dyDescent="0.3">
      <c r="Q429" s="54"/>
      <c r="R429" s="54"/>
      <c r="S429" s="54"/>
      <c r="V429" s="54"/>
      <c r="W429" s="54"/>
      <c r="X429" s="54"/>
      <c r="AA429" s="54"/>
      <c r="AB429" s="54"/>
      <c r="AC429" s="54"/>
      <c r="AF429" s="54"/>
      <c r="AG429" s="54"/>
      <c r="AH429" s="54"/>
    </row>
    <row r="430" spans="17:34" x14ac:dyDescent="0.3">
      <c r="Q430" s="54"/>
      <c r="R430" s="54"/>
      <c r="S430" s="54"/>
      <c r="V430" s="54"/>
      <c r="W430" s="54"/>
      <c r="X430" s="54"/>
      <c r="AA430" s="54"/>
      <c r="AB430" s="54"/>
      <c r="AC430" s="54"/>
      <c r="AF430" s="54"/>
      <c r="AG430" s="54"/>
      <c r="AH430" s="54"/>
    </row>
    <row r="431" spans="17:34" x14ac:dyDescent="0.3">
      <c r="Q431" s="54"/>
      <c r="R431" s="54"/>
      <c r="S431" s="54"/>
      <c r="V431" s="54"/>
      <c r="W431" s="54"/>
      <c r="X431" s="54"/>
      <c r="AA431" s="54"/>
      <c r="AB431" s="54"/>
      <c r="AC431" s="54"/>
      <c r="AF431" s="54"/>
      <c r="AG431" s="54"/>
      <c r="AH431" s="54"/>
    </row>
    <row r="432" spans="17:34" x14ac:dyDescent="0.3">
      <c r="Q432" s="54"/>
      <c r="R432" s="54"/>
      <c r="S432" s="54"/>
      <c r="V432" s="54"/>
      <c r="W432" s="54"/>
      <c r="X432" s="54"/>
      <c r="AA432" s="54"/>
      <c r="AB432" s="54"/>
      <c r="AC432" s="54"/>
      <c r="AF432" s="54"/>
      <c r="AG432" s="54"/>
      <c r="AH432" s="54"/>
    </row>
    <row r="433" spans="17:34" x14ac:dyDescent="0.3">
      <c r="Q433" s="54"/>
      <c r="R433" s="54"/>
      <c r="S433" s="54"/>
      <c r="V433" s="54"/>
      <c r="W433" s="54"/>
      <c r="X433" s="54"/>
      <c r="AA433" s="54"/>
      <c r="AB433" s="54"/>
      <c r="AC433" s="54"/>
      <c r="AF433" s="54"/>
      <c r="AG433" s="54"/>
      <c r="AH433" s="54"/>
    </row>
    <row r="434" spans="17:34" x14ac:dyDescent="0.3">
      <c r="Q434" s="54"/>
      <c r="R434" s="54"/>
      <c r="S434" s="54"/>
      <c r="V434" s="54"/>
      <c r="W434" s="54"/>
      <c r="X434" s="54"/>
      <c r="AA434" s="54"/>
      <c r="AB434" s="54"/>
      <c r="AC434" s="54"/>
      <c r="AF434" s="54"/>
      <c r="AG434" s="54"/>
      <c r="AH434" s="54"/>
    </row>
    <row r="435" spans="17:34" x14ac:dyDescent="0.3">
      <c r="Q435" s="54"/>
      <c r="R435" s="54"/>
      <c r="S435" s="54"/>
      <c r="V435" s="54"/>
      <c r="W435" s="54"/>
      <c r="X435" s="54"/>
      <c r="AA435" s="54"/>
      <c r="AB435" s="54"/>
      <c r="AC435" s="54"/>
      <c r="AF435" s="54"/>
      <c r="AG435" s="54"/>
      <c r="AH435" s="54"/>
    </row>
    <row r="436" spans="17:34" x14ac:dyDescent="0.3">
      <c r="Q436" s="54"/>
      <c r="R436" s="54"/>
      <c r="S436" s="54"/>
      <c r="V436" s="54"/>
      <c r="W436" s="54"/>
      <c r="X436" s="54"/>
      <c r="AA436" s="54"/>
      <c r="AB436" s="54"/>
      <c r="AC436" s="54"/>
      <c r="AF436" s="54"/>
      <c r="AG436" s="54"/>
      <c r="AH436" s="54"/>
    </row>
    <row r="437" spans="17:34" x14ac:dyDescent="0.3">
      <c r="Q437" s="54"/>
      <c r="R437" s="54"/>
      <c r="S437" s="54"/>
      <c r="V437" s="54"/>
      <c r="W437" s="54"/>
      <c r="X437" s="54"/>
      <c r="AA437" s="54"/>
      <c r="AB437" s="54"/>
      <c r="AC437" s="54"/>
      <c r="AF437" s="54"/>
      <c r="AG437" s="54"/>
      <c r="AH437" s="54"/>
    </row>
    <row r="438" spans="17:34" x14ac:dyDescent="0.3">
      <c r="Q438" s="54"/>
      <c r="R438" s="54"/>
      <c r="S438" s="54"/>
      <c r="V438" s="54"/>
      <c r="W438" s="54"/>
      <c r="X438" s="54"/>
      <c r="AA438" s="54"/>
      <c r="AB438" s="54"/>
      <c r="AC438" s="54"/>
      <c r="AF438" s="54"/>
      <c r="AG438" s="54"/>
      <c r="AH438" s="54"/>
    </row>
    <row r="439" spans="17:34" x14ac:dyDescent="0.3">
      <c r="Q439" s="54"/>
      <c r="R439" s="54"/>
      <c r="S439" s="54"/>
      <c r="V439" s="54"/>
      <c r="W439" s="54"/>
      <c r="X439" s="54"/>
      <c r="AA439" s="54"/>
      <c r="AB439" s="54"/>
      <c r="AC439" s="54"/>
      <c r="AF439" s="54"/>
      <c r="AG439" s="54"/>
      <c r="AH439" s="54"/>
    </row>
    <row r="440" spans="17:34" x14ac:dyDescent="0.3">
      <c r="Q440" s="54"/>
      <c r="R440" s="54"/>
      <c r="S440" s="54"/>
      <c r="V440" s="54"/>
      <c r="W440" s="54"/>
      <c r="X440" s="54"/>
      <c r="AA440" s="54"/>
      <c r="AB440" s="54"/>
      <c r="AC440" s="54"/>
      <c r="AF440" s="54"/>
      <c r="AG440" s="54"/>
      <c r="AH440" s="54"/>
    </row>
    <row r="441" spans="17:34" x14ac:dyDescent="0.3">
      <c r="Q441" s="54"/>
      <c r="R441" s="54"/>
      <c r="S441" s="54"/>
      <c r="V441" s="54"/>
      <c r="W441" s="54"/>
      <c r="X441" s="54"/>
      <c r="AA441" s="54"/>
      <c r="AB441" s="54"/>
      <c r="AC441" s="54"/>
      <c r="AF441" s="54"/>
      <c r="AG441" s="54"/>
      <c r="AH441" s="54"/>
    </row>
    <row r="442" spans="17:34" x14ac:dyDescent="0.3">
      <c r="Q442" s="54"/>
      <c r="R442" s="54"/>
      <c r="S442" s="54"/>
      <c r="V442" s="54"/>
      <c r="W442" s="54"/>
      <c r="X442" s="54"/>
      <c r="AA442" s="54"/>
      <c r="AB442" s="54"/>
      <c r="AC442" s="54"/>
      <c r="AF442" s="54"/>
      <c r="AG442" s="54"/>
      <c r="AH442" s="54"/>
    </row>
    <row r="443" spans="17:34" x14ac:dyDescent="0.3">
      <c r="Q443" s="54"/>
      <c r="R443" s="54"/>
      <c r="S443" s="54"/>
      <c r="V443" s="54"/>
      <c r="W443" s="54"/>
      <c r="X443" s="54"/>
      <c r="AA443" s="54"/>
      <c r="AB443" s="54"/>
      <c r="AC443" s="54"/>
      <c r="AF443" s="54"/>
      <c r="AG443" s="54"/>
      <c r="AH443" s="54"/>
    </row>
    <row r="444" spans="17:34" x14ac:dyDescent="0.3">
      <c r="Q444" s="54"/>
      <c r="R444" s="54"/>
      <c r="S444" s="54"/>
      <c r="V444" s="54"/>
      <c r="W444" s="54"/>
      <c r="X444" s="54"/>
      <c r="AA444" s="54"/>
      <c r="AB444" s="54"/>
      <c r="AC444" s="54"/>
      <c r="AF444" s="54"/>
      <c r="AG444" s="54"/>
      <c r="AH444" s="54"/>
    </row>
    <row r="445" spans="17:34" x14ac:dyDescent="0.3">
      <c r="Q445" s="54"/>
      <c r="R445" s="54"/>
      <c r="S445" s="54"/>
      <c r="V445" s="54"/>
      <c r="W445" s="54"/>
      <c r="X445" s="54"/>
      <c r="AA445" s="54"/>
      <c r="AB445" s="54"/>
      <c r="AC445" s="54"/>
      <c r="AF445" s="54"/>
      <c r="AG445" s="54"/>
      <c r="AH445" s="54"/>
    </row>
    <row r="446" spans="17:34" x14ac:dyDescent="0.3">
      <c r="Q446" s="54"/>
      <c r="R446" s="54"/>
      <c r="S446" s="54"/>
      <c r="V446" s="54"/>
      <c r="W446" s="54"/>
      <c r="X446" s="54"/>
      <c r="AA446" s="54"/>
      <c r="AB446" s="54"/>
      <c r="AC446" s="54"/>
      <c r="AF446" s="54"/>
      <c r="AG446" s="54"/>
      <c r="AH446" s="54"/>
    </row>
    <row r="447" spans="17:34" x14ac:dyDescent="0.3">
      <c r="Q447" s="54"/>
      <c r="R447" s="54"/>
      <c r="S447" s="54"/>
      <c r="V447" s="54"/>
      <c r="W447" s="54"/>
      <c r="X447" s="54"/>
      <c r="AA447" s="54"/>
      <c r="AB447" s="54"/>
      <c r="AC447" s="54"/>
      <c r="AF447" s="54"/>
      <c r="AG447" s="54"/>
      <c r="AH447" s="54"/>
    </row>
    <row r="448" spans="17:34" x14ac:dyDescent="0.3">
      <c r="Q448" s="54"/>
      <c r="R448" s="54"/>
      <c r="S448" s="54"/>
      <c r="V448" s="54"/>
      <c r="W448" s="54"/>
      <c r="X448" s="54"/>
      <c r="AA448" s="54"/>
      <c r="AB448" s="54"/>
      <c r="AC448" s="54"/>
      <c r="AF448" s="54"/>
      <c r="AG448" s="54"/>
      <c r="AH448" s="54"/>
    </row>
    <row r="449" spans="17:34" x14ac:dyDescent="0.3">
      <c r="Q449" s="54"/>
      <c r="R449" s="54"/>
      <c r="S449" s="54"/>
      <c r="V449" s="54"/>
      <c r="W449" s="54"/>
      <c r="X449" s="54"/>
      <c r="AA449" s="54"/>
      <c r="AB449" s="54"/>
      <c r="AC449" s="54"/>
      <c r="AF449" s="54"/>
      <c r="AG449" s="54"/>
      <c r="AH449" s="54"/>
    </row>
    <row r="450" spans="17:34" x14ac:dyDescent="0.3">
      <c r="Q450" s="54"/>
      <c r="R450" s="54"/>
      <c r="S450" s="54"/>
      <c r="V450" s="54"/>
      <c r="W450" s="54"/>
      <c r="X450" s="54"/>
      <c r="AA450" s="54"/>
      <c r="AB450" s="54"/>
      <c r="AC450" s="54"/>
      <c r="AF450" s="54"/>
      <c r="AG450" s="54"/>
      <c r="AH450" s="54"/>
    </row>
    <row r="451" spans="17:34" x14ac:dyDescent="0.3">
      <c r="Q451" s="54"/>
      <c r="R451" s="54"/>
      <c r="S451" s="54"/>
      <c r="V451" s="54"/>
      <c r="W451" s="54"/>
      <c r="X451" s="54"/>
      <c r="AA451" s="54"/>
      <c r="AB451" s="54"/>
      <c r="AC451" s="54"/>
      <c r="AF451" s="54"/>
      <c r="AG451" s="54"/>
      <c r="AH451" s="54"/>
    </row>
    <row r="452" spans="17:34" x14ac:dyDescent="0.3">
      <c r="Q452" s="54"/>
      <c r="R452" s="54"/>
      <c r="S452" s="54"/>
      <c r="V452" s="54"/>
      <c r="W452" s="54"/>
      <c r="X452" s="54"/>
      <c r="AA452" s="54"/>
      <c r="AB452" s="54"/>
      <c r="AC452" s="54"/>
      <c r="AF452" s="54"/>
      <c r="AG452" s="54"/>
      <c r="AH452" s="54"/>
    </row>
    <row r="453" spans="17:34" x14ac:dyDescent="0.3">
      <c r="Q453" s="54"/>
      <c r="R453" s="54"/>
      <c r="S453" s="54"/>
      <c r="V453" s="54"/>
      <c r="W453" s="54"/>
      <c r="X453" s="54"/>
      <c r="AA453" s="54"/>
      <c r="AB453" s="54"/>
      <c r="AC453" s="54"/>
      <c r="AF453" s="54"/>
      <c r="AG453" s="54"/>
      <c r="AH453" s="54"/>
    </row>
    <row r="454" spans="17:34" x14ac:dyDescent="0.3">
      <c r="AF454" s="54"/>
      <c r="AG454" s="54"/>
      <c r="AH454" s="54"/>
    </row>
  </sheetData>
  <sheetProtection algorithmName="SHA-512" hashValue="GLXUbgZRqFK04l4q/3yRLy/shwMvyZ7fGKt8SrNdLpSGhxHaP1F8lsAM8ZMnFfiId1oYNiaEsgbrFOrvhb5lTA==" saltValue="5PI/1P83+glam9dsqP86jg==" spinCount="100000" sheet="1" objects="1" scenarios="1" selectLockedCells="1"/>
  <mergeCells count="5">
    <mergeCell ref="F70:H70"/>
    <mergeCell ref="N3:O3"/>
    <mergeCell ref="A1:P1"/>
    <mergeCell ref="F81:G81"/>
    <mergeCell ref="K35:P36"/>
  </mergeCells>
  <phoneticPr fontId="5" type="noConversion"/>
  <conditionalFormatting sqref="E6:E8">
    <cfRule type="cellIs" dxfId="34" priority="63" stopIfTrue="1" operator="notBetween">
      <formula>3.5</formula>
      <formula>VIN_MAX_RATING</formula>
    </cfRule>
  </conditionalFormatting>
  <conditionalFormatting sqref="E9">
    <cfRule type="cellIs" dxfId="33" priority="60" stopIfTrue="1" operator="notBetween">
      <formula>0.8</formula>
      <formula>VOUT_MAX_RATING</formula>
    </cfRule>
  </conditionalFormatting>
  <conditionalFormatting sqref="E33">
    <cfRule type="cellIs" dxfId="32" priority="58" stopIfTrue="1" operator="lessThanOrEqual">
      <formula>0</formula>
    </cfRule>
  </conditionalFormatting>
  <conditionalFormatting sqref="E35">
    <cfRule type="cellIs" dxfId="31" priority="57" stopIfTrue="1" operator="lessThan">
      <formula>$E$34</formula>
    </cfRule>
  </conditionalFormatting>
  <conditionalFormatting sqref="E37">
    <cfRule type="cellIs" dxfId="30" priority="56" stopIfTrue="1" operator="greaterThan">
      <formula>$E$36</formula>
    </cfRule>
  </conditionalFormatting>
  <conditionalFormatting sqref="E42">
    <cfRule type="cellIs" dxfId="29" priority="54" stopIfTrue="1" operator="equal">
      <formula>0</formula>
    </cfRule>
  </conditionalFormatting>
  <conditionalFormatting sqref="E44">
    <cfRule type="cellIs" dxfId="28" priority="53" stopIfTrue="1" operator="lessThan">
      <formula>$E$43</formula>
    </cfRule>
  </conditionalFormatting>
  <conditionalFormatting sqref="E46">
    <cfRule type="cellIs" dxfId="27" priority="51" stopIfTrue="1" operator="greaterThan">
      <formula>$E$45</formula>
    </cfRule>
    <cfRule type="cellIs" dxfId="26" priority="52" stopIfTrue="1" operator="equal">
      <formula>0</formula>
    </cfRule>
  </conditionalFormatting>
  <conditionalFormatting sqref="E11">
    <cfRule type="expression" dxfId="25" priority="24">
      <formula>OR(Fsw/1000&gt;2200, Fsw/1000&lt;100)</formula>
    </cfRule>
  </conditionalFormatting>
  <conditionalFormatting sqref="E7">
    <cfRule type="cellIs" dxfId="24" priority="67" operator="notBetween">
      <formula>$E$6</formula>
      <formula>$E$8</formula>
    </cfRule>
  </conditionalFormatting>
  <conditionalFormatting sqref="I10">
    <cfRule type="cellIs" dxfId="23" priority="40" stopIfTrue="1" operator="notBetween">
      <formula>0.6</formula>
      <formula>55</formula>
    </cfRule>
  </conditionalFormatting>
  <conditionalFormatting sqref="I33">
    <cfRule type="cellIs" dxfId="22" priority="39" stopIfTrue="1" operator="lessThanOrEqual">
      <formula>0</formula>
    </cfRule>
  </conditionalFormatting>
  <conditionalFormatting sqref="I35">
    <cfRule type="cellIs" dxfId="21" priority="38" stopIfTrue="1" operator="lessThan">
      <formula>$E$34</formula>
    </cfRule>
  </conditionalFormatting>
  <conditionalFormatting sqref="I37">
    <cfRule type="cellIs" dxfId="20" priority="37" stopIfTrue="1" operator="greaterThan">
      <formula>$I$36</formula>
    </cfRule>
  </conditionalFormatting>
  <conditionalFormatting sqref="A74:G74">
    <cfRule type="expression" dxfId="19" priority="35">
      <formula>MODE=2</formula>
    </cfRule>
  </conditionalFormatting>
  <conditionalFormatting sqref="H41 G43:H43 G45 G47:G49 G61:J67 G33:J39 G16:J23 G26:J30 G10:J10">
    <cfRule type="expression" dxfId="18" priority="32">
      <formula>MODE=2</formula>
    </cfRule>
  </conditionalFormatting>
  <conditionalFormatting sqref="I65:J67">
    <cfRule type="expression" dxfId="17" priority="30">
      <formula>OR((Ch2_VOUT=1),(Ch2_VOUT=2))</formula>
    </cfRule>
  </conditionalFormatting>
  <conditionalFormatting sqref="D80 G79">
    <cfRule type="expression" dxfId="16" priority="28">
      <formula>MODE=2</formula>
    </cfRule>
  </conditionalFormatting>
  <conditionalFormatting sqref="H79:I93">
    <cfRule type="expression" dxfId="15" priority="26">
      <formula>MODE=2</formula>
    </cfRule>
  </conditionalFormatting>
  <conditionalFormatting sqref="D65">
    <cfRule type="expression" dxfId="14" priority="8">
      <formula>OR((VOUT_setting=2),(VOUT_setting=3))</formula>
    </cfRule>
  </conditionalFormatting>
  <conditionalFormatting sqref="A49:F49">
    <cfRule type="expression" dxfId="13" priority="6">
      <formula>INFILTER_TYPE=1</formula>
    </cfRule>
  </conditionalFormatting>
  <conditionalFormatting sqref="D53:F54">
    <cfRule type="expression" dxfId="12" priority="5">
      <formula>UVLO_TYPE=2</formula>
    </cfRule>
  </conditionalFormatting>
  <conditionalFormatting sqref="D61:F64">
    <cfRule type="expression" dxfId="11" priority="4">
      <formula>COMP_TYPE=1</formula>
    </cfRule>
  </conditionalFormatting>
  <conditionalFormatting sqref="A69:H73">
    <cfRule type="expression" dxfId="10" priority="3">
      <formula>COMP_TYPE=1</formula>
    </cfRule>
  </conditionalFormatting>
  <conditionalFormatting sqref="E65:F67">
    <cfRule type="expression" dxfId="9" priority="2">
      <formula>VOUT_setting&lt;&gt;1</formula>
    </cfRule>
  </conditionalFormatting>
  <conditionalFormatting sqref="D66">
    <cfRule type="expression" dxfId="8" priority="1">
      <formula>VOUT_setting&lt;&gt;1</formula>
    </cfRule>
  </conditionalFormatting>
  <hyperlinks>
    <hyperlink ref="N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06" max="16383" man="1"/>
  </rowBreaks>
  <ignoredErrors>
    <ignoredError sqref="E69"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809785" r:id="rId7" name="Drop Down 7993">
              <controlPr defaultSize="0" autoLine="0" autoPict="0">
                <anchor moveWithCells="1">
                  <from>
                    <xdr:col>15</xdr:col>
                    <xdr:colOff>5480050</xdr:colOff>
                    <xdr:row>0</xdr:row>
                    <xdr:rowOff>177800</xdr:rowOff>
                  </from>
                  <to>
                    <xdr:col>15</xdr:col>
                    <xdr:colOff>5861050</xdr:colOff>
                    <xdr:row>0</xdr:row>
                    <xdr:rowOff>419100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330200</xdr:colOff>
                    <xdr:row>70</xdr:row>
                    <xdr:rowOff>76200</xdr:rowOff>
                  </from>
                  <to>
                    <xdr:col>2</xdr:col>
                    <xdr:colOff>901700</xdr:colOff>
                    <xdr:row>72</xdr:row>
                    <xdr:rowOff>139700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330200</xdr:colOff>
                    <xdr:row>70</xdr:row>
                    <xdr:rowOff>76200</xdr:rowOff>
                  </from>
                  <to>
                    <xdr:col>2</xdr:col>
                    <xdr:colOff>901700</xdr:colOff>
                    <xdr:row>72</xdr:row>
                    <xdr:rowOff>139700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25400</xdr:colOff>
                    <xdr:row>62</xdr:row>
                    <xdr:rowOff>0</xdr:rowOff>
                  </from>
                  <to>
                    <xdr:col>5</xdr:col>
                    <xdr:colOff>184150</xdr:colOff>
                    <xdr:row>62</xdr:row>
                    <xdr:rowOff>184150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139700</xdr:colOff>
                    <xdr:row>6</xdr:row>
                    <xdr:rowOff>25400</xdr:rowOff>
                  </from>
                  <to>
                    <xdr:col>5</xdr:col>
                    <xdr:colOff>304800</xdr:colOff>
                    <xdr:row>7</xdr:row>
                    <xdr:rowOff>25400</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2</xdr:col>
                    <xdr:colOff>146050</xdr:colOff>
                    <xdr:row>50</xdr:row>
                    <xdr:rowOff>63500</xdr:rowOff>
                  </from>
                  <to>
                    <xdr:col>3</xdr:col>
                    <xdr:colOff>450850</xdr:colOff>
                    <xdr:row>51</xdr:row>
                    <xdr:rowOff>139700</xdr:rowOff>
                  </to>
                </anchor>
              </controlPr>
            </control>
          </mc:Choice>
        </mc:AlternateContent>
        <mc:AlternateContent xmlns:mc="http://schemas.openxmlformats.org/markup-compatibility/2006">
          <mc:Choice Requires="x14">
            <control shapeId="685442" r:id="rId13" name="Drop Down 1410">
              <controlPr defaultSize="0" autoLine="0" autoPict="0">
                <anchor moveWithCells="1">
                  <from>
                    <xdr:col>4</xdr:col>
                    <xdr:colOff>69850</xdr:colOff>
                    <xdr:row>50</xdr:row>
                    <xdr:rowOff>63500</xdr:rowOff>
                  </from>
                  <to>
                    <xdr:col>5</xdr:col>
                    <xdr:colOff>336550</xdr:colOff>
                    <xdr:row>51</xdr:row>
                    <xdr:rowOff>139700</xdr:rowOff>
                  </to>
                </anchor>
              </controlPr>
            </control>
          </mc:Choice>
        </mc:AlternateContent>
        <mc:AlternateContent xmlns:mc="http://schemas.openxmlformats.org/markup-compatibility/2006">
          <mc:Choice Requires="x14">
            <control shapeId="685906" r:id="rId14" name="Drop Down 1874">
              <controlPr defaultSize="0" autoLine="0" autoPict="0">
                <anchor moveWithCells="1">
                  <from>
                    <xdr:col>0</xdr:col>
                    <xdr:colOff>25400</xdr:colOff>
                    <xdr:row>101</xdr:row>
                    <xdr:rowOff>0</xdr:rowOff>
                  </from>
                  <to>
                    <xdr:col>2</xdr:col>
                    <xdr:colOff>25400</xdr:colOff>
                    <xdr:row>102</xdr:row>
                    <xdr:rowOff>0</xdr:rowOff>
                  </to>
                </anchor>
              </controlPr>
            </control>
          </mc:Choice>
        </mc:AlternateContent>
        <mc:AlternateContent xmlns:mc="http://schemas.openxmlformats.org/markup-compatibility/2006">
          <mc:Choice Requires="x14">
            <control shapeId="700305" r:id="rId15" name="Drop Down 2961">
              <controlPr defaultSize="0" autoLine="0" autoPict="0">
                <anchor moveWithCells="1">
                  <from>
                    <xdr:col>3</xdr:col>
                    <xdr:colOff>228600</xdr:colOff>
                    <xdr:row>58</xdr:row>
                    <xdr:rowOff>177800</xdr:rowOff>
                  </from>
                  <to>
                    <xdr:col>6</xdr:col>
                    <xdr:colOff>0</xdr:colOff>
                    <xdr:row>59</xdr:row>
                    <xdr:rowOff>234950</xdr:rowOff>
                  </to>
                </anchor>
              </controlPr>
            </control>
          </mc:Choice>
        </mc:AlternateContent>
        <mc:AlternateContent xmlns:mc="http://schemas.openxmlformats.org/markup-compatibility/2006">
          <mc:Choice Requires="x14">
            <control shapeId="770900" r:id="rId16" name="Drop Down 6996">
              <controlPr defaultSize="0" autoLine="0" autoPict="0">
                <anchor moveWithCells="1">
                  <from>
                    <xdr:col>0</xdr:col>
                    <xdr:colOff>63500</xdr:colOff>
                    <xdr:row>50</xdr:row>
                    <xdr:rowOff>63500</xdr:rowOff>
                  </from>
                  <to>
                    <xdr:col>2</xdr:col>
                    <xdr:colOff>31750</xdr:colOff>
                    <xdr:row>51</xdr:row>
                    <xdr:rowOff>139700</xdr:rowOff>
                  </to>
                </anchor>
              </controlPr>
            </control>
          </mc:Choice>
        </mc:AlternateContent>
        <mc:AlternateContent xmlns:mc="http://schemas.openxmlformats.org/markup-compatibility/2006">
          <mc:Choice Requires="x14">
            <control shapeId="843436" r:id="rId17" name="Drop Down 8876">
              <controlPr locked="0" defaultSize="0" autoLine="0" autoPict="0">
                <anchor moveWithCells="1">
                  <from>
                    <xdr:col>6</xdr:col>
                    <xdr:colOff>76200</xdr:colOff>
                    <xdr:row>4</xdr:row>
                    <xdr:rowOff>6350</xdr:rowOff>
                  </from>
                  <to>
                    <xdr:col>7</xdr:col>
                    <xdr:colOff>114300</xdr:colOff>
                    <xdr:row>4</xdr:row>
                    <xdr:rowOff>254000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00B0F0"/>
  </sheetPr>
  <dimension ref="A1:R453"/>
  <sheetViews>
    <sheetView zoomScaleNormal="100" workbookViewId="0">
      <selection activeCell="O12" sqref="O12"/>
    </sheetView>
  </sheetViews>
  <sheetFormatPr defaultColWidth="9.08984375" defaultRowHeight="13" x14ac:dyDescent="0.3"/>
  <cols>
    <col min="1" max="3" width="9.08984375" style="307"/>
    <col min="4" max="4" width="4.36328125" style="307" customWidth="1"/>
    <col min="5" max="6" width="9.54296875" style="307" bestFit="1" customWidth="1"/>
    <col min="7" max="7" width="9.08984375" style="307"/>
    <col min="8" max="8" width="5.08984375" style="307" customWidth="1"/>
    <col min="9" max="9" width="10.6328125" style="307" customWidth="1"/>
    <col min="10" max="10" width="9.6328125" style="307" customWidth="1"/>
    <col min="11" max="11" width="11.453125" style="307" customWidth="1"/>
    <col min="12" max="12" width="5.54296875" style="307" customWidth="1"/>
    <col min="13" max="15" width="9.08984375" style="307"/>
    <col min="16" max="16" width="9.08984375" style="307" customWidth="1"/>
    <col min="17" max="17" width="102" style="307" customWidth="1"/>
    <col min="18" max="18" width="30.453125" style="701" customWidth="1"/>
    <col min="19" max="16384" width="9.08984375" style="307"/>
  </cols>
  <sheetData>
    <row r="1" spans="1:18" ht="39.5" x14ac:dyDescent="0.3">
      <c r="A1" s="793" t="s">
        <v>913</v>
      </c>
      <c r="B1" s="794"/>
      <c r="C1" s="794"/>
      <c r="D1" s="794"/>
      <c r="E1" s="794"/>
      <c r="F1" s="794"/>
      <c r="G1" s="794"/>
      <c r="H1" s="794"/>
      <c r="I1" s="794"/>
      <c r="J1" s="794"/>
      <c r="K1" s="794"/>
      <c r="L1" s="794"/>
      <c r="M1" s="794"/>
      <c r="N1" s="794"/>
      <c r="O1" s="794"/>
      <c r="P1" s="794"/>
      <c r="Q1" s="794"/>
      <c r="R1" s="706"/>
    </row>
    <row r="2" spans="1:18" ht="17.75" customHeight="1" x14ac:dyDescent="0.65">
      <c r="A2" s="755"/>
      <c r="B2" s="749"/>
      <c r="C2" s="749"/>
      <c r="D2" s="749"/>
      <c r="E2" s="749"/>
      <c r="F2" s="749"/>
      <c r="G2" s="749"/>
      <c r="H2" s="749"/>
      <c r="I2" s="749"/>
      <c r="J2" s="749"/>
      <c r="K2" s="749"/>
      <c r="L2" s="749"/>
      <c r="M2" s="749"/>
      <c r="N2" s="749"/>
      <c r="O2" s="502" t="s">
        <v>585</v>
      </c>
      <c r="P2" s="749"/>
      <c r="Q2" s="749"/>
      <c r="R2" s="706"/>
    </row>
    <row r="3" spans="1:18" ht="16.25" customHeight="1" x14ac:dyDescent="0.65">
      <c r="A3" s="754" t="s">
        <v>232</v>
      </c>
      <c r="B3" s="753"/>
      <c r="C3" s="501" t="s">
        <v>233</v>
      </c>
      <c r="D3" s="752"/>
      <c r="E3" s="751"/>
      <c r="F3" s="750" t="s">
        <v>145</v>
      </c>
      <c r="G3" s="748"/>
      <c r="H3" s="749"/>
      <c r="I3" s="749"/>
      <c r="J3" s="748"/>
      <c r="K3" s="747"/>
      <c r="L3" s="746"/>
      <c r="M3" s="706"/>
      <c r="N3" s="706"/>
      <c r="O3" s="795" t="s">
        <v>51</v>
      </c>
      <c r="P3" s="795"/>
      <c r="Q3" s="706" t="s">
        <v>165</v>
      </c>
      <c r="R3" s="706"/>
    </row>
    <row r="4" spans="1:18" ht="14.75" customHeight="1" thickBot="1" x14ac:dyDescent="0.5">
      <c r="A4" s="745"/>
      <c r="B4" s="744"/>
      <c r="C4" s="743"/>
      <c r="D4" s="743"/>
      <c r="E4" s="743"/>
      <c r="F4" s="743"/>
      <c r="G4" s="743"/>
      <c r="H4" s="743"/>
      <c r="I4" s="743"/>
      <c r="J4" s="743"/>
      <c r="K4" s="743"/>
      <c r="L4" s="743"/>
      <c r="M4" s="742"/>
      <c r="N4" s="742"/>
      <c r="O4" s="742"/>
      <c r="P4" s="742"/>
      <c r="Q4" s="742"/>
      <c r="R4" s="706"/>
    </row>
    <row r="5" spans="1:18" x14ac:dyDescent="0.3">
      <c r="A5" s="244"/>
      <c r="B5" s="244"/>
      <c r="C5" s="244"/>
      <c r="D5" s="244"/>
      <c r="E5" s="244"/>
      <c r="F5" s="244"/>
      <c r="G5" s="244"/>
      <c r="H5" s="244"/>
      <c r="I5" s="244"/>
      <c r="J5" s="244"/>
      <c r="K5" s="244"/>
      <c r="L5" s="244"/>
      <c r="M5" s="244"/>
      <c r="N5" s="244"/>
      <c r="O5" s="244"/>
      <c r="P5" s="244"/>
      <c r="Q5" s="244"/>
      <c r="R5" s="706"/>
    </row>
    <row r="6" spans="1:18" ht="13.5" thickBot="1" x14ac:dyDescent="0.35">
      <c r="A6" s="244"/>
      <c r="B6" s="244"/>
      <c r="C6" s="244"/>
      <c r="D6" s="244"/>
      <c r="E6" s="244"/>
      <c r="F6" s="244"/>
      <c r="G6" s="244"/>
      <c r="H6" s="244"/>
      <c r="I6" s="244"/>
      <c r="J6" s="244"/>
      <c r="K6" s="244"/>
      <c r="L6" s="244"/>
      <c r="M6" s="244"/>
      <c r="N6" s="244"/>
      <c r="O6" s="244"/>
      <c r="P6" s="244"/>
      <c r="Q6" s="244"/>
      <c r="R6" s="706"/>
    </row>
    <row r="7" spans="1:18" ht="18" x14ac:dyDescent="0.4">
      <c r="A7" s="741"/>
      <c r="B7" s="740"/>
      <c r="C7" s="739"/>
      <c r="D7" s="739"/>
      <c r="E7" s="738" t="s">
        <v>877</v>
      </c>
      <c r="F7" s="759"/>
      <c r="G7" s="707"/>
      <c r="H7" s="737"/>
      <c r="I7" s="715"/>
      <c r="J7" s="707"/>
      <c r="K7" s="707"/>
      <c r="L7" s="707"/>
      <c r="M7" s="738" t="s">
        <v>779</v>
      </c>
      <c r="N7" s="707"/>
      <c r="O7" s="707"/>
      <c r="P7" s="737"/>
      <c r="Q7" s="244"/>
      <c r="R7" s="706"/>
    </row>
    <row r="8" spans="1:18" ht="13.5" thickBot="1" x14ac:dyDescent="0.35">
      <c r="A8" s="727"/>
      <c r="B8" s="721"/>
      <c r="C8" s="721"/>
      <c r="D8" s="721"/>
      <c r="E8" s="721"/>
      <c r="F8" s="721"/>
      <c r="G8" s="721"/>
      <c r="H8" s="728"/>
      <c r="I8" s="727"/>
      <c r="J8" s="721"/>
      <c r="K8" s="721"/>
      <c r="L8" s="721"/>
      <c r="M8" s="384"/>
      <c r="N8" s="721"/>
      <c r="O8" s="384"/>
      <c r="P8" s="728"/>
      <c r="Q8" s="244"/>
      <c r="R8" s="706"/>
    </row>
    <row r="9" spans="1:18" ht="15.5" x14ac:dyDescent="0.4">
      <c r="A9" s="707"/>
      <c r="B9" s="736" t="s">
        <v>894</v>
      </c>
      <c r="C9" s="658" t="str">
        <f>'Design Regulator'!E49 &amp; " µH"</f>
        <v>0.68 µH</v>
      </c>
      <c r="D9" s="734"/>
      <c r="E9" s="715"/>
      <c r="F9" s="736" t="s">
        <v>898</v>
      </c>
      <c r="G9" s="128">
        <v>1</v>
      </c>
      <c r="H9" s="734" t="s">
        <v>214</v>
      </c>
      <c r="I9" s="715"/>
      <c r="J9" s="736" t="s">
        <v>907</v>
      </c>
      <c r="K9" s="658" t="s">
        <v>876</v>
      </c>
      <c r="L9" s="734" t="s">
        <v>214</v>
      </c>
      <c r="M9" s="707"/>
      <c r="N9" s="736" t="s">
        <v>900</v>
      </c>
      <c r="O9" s="735">
        <v>0.68</v>
      </c>
      <c r="P9" s="734" t="s">
        <v>214</v>
      </c>
      <c r="Q9" s="244"/>
      <c r="R9" s="706"/>
    </row>
    <row r="10" spans="1:18" ht="15.5" x14ac:dyDescent="0.4">
      <c r="A10" s="244"/>
      <c r="B10" s="731" t="s">
        <v>895</v>
      </c>
      <c r="C10" s="760" t="e">
        <f>'Design Regulator'!#REF! &amp; " µF"</f>
        <v>#REF!</v>
      </c>
      <c r="D10" s="729"/>
      <c r="E10" s="244"/>
      <c r="F10" s="731" t="s">
        <v>899</v>
      </c>
      <c r="G10" s="128">
        <v>1</v>
      </c>
      <c r="H10" s="729" t="s">
        <v>215</v>
      </c>
      <c r="I10" s="733"/>
      <c r="J10" s="732" t="s">
        <v>906</v>
      </c>
      <c r="K10" s="760" t="s">
        <v>876</v>
      </c>
      <c r="L10" s="729" t="s">
        <v>215</v>
      </c>
      <c r="M10" s="244"/>
      <c r="N10" s="731" t="s">
        <v>903</v>
      </c>
      <c r="O10" s="730">
        <v>0.47</v>
      </c>
      <c r="P10" s="729" t="s">
        <v>215</v>
      </c>
      <c r="Q10" s="244"/>
      <c r="R10" s="706"/>
    </row>
    <row r="11" spans="1:18" ht="15.5" x14ac:dyDescent="0.4">
      <c r="A11" s="732"/>
      <c r="B11" s="731" t="s">
        <v>896</v>
      </c>
      <c r="C11" s="760" t="e">
        <f>'Design Regulator'!#REF! &amp; " µF"</f>
        <v>#REF!</v>
      </c>
      <c r="D11" s="729"/>
      <c r="E11" s="244"/>
      <c r="F11" s="731" t="s">
        <v>887</v>
      </c>
      <c r="G11" s="764">
        <v>1</v>
      </c>
      <c r="H11" s="729" t="s">
        <v>215</v>
      </c>
      <c r="I11" s="733"/>
      <c r="J11" s="732" t="s">
        <v>905</v>
      </c>
      <c r="K11" s="761" t="s">
        <v>882</v>
      </c>
      <c r="L11" s="729" t="s">
        <v>215</v>
      </c>
      <c r="M11" s="244"/>
      <c r="N11" s="731" t="s">
        <v>902</v>
      </c>
      <c r="O11" s="730">
        <v>1</v>
      </c>
      <c r="P11" s="729" t="s">
        <v>215</v>
      </c>
      <c r="Q11" s="244"/>
      <c r="R11" s="706"/>
    </row>
    <row r="12" spans="1:18" ht="16" thickBot="1" x14ac:dyDescent="0.45">
      <c r="A12" s="725"/>
      <c r="B12" s="724" t="s">
        <v>897</v>
      </c>
      <c r="C12" s="763" t="e">
        <f>'Design Regulator'!#REF! &amp; " Ω"</f>
        <v>#REF!</v>
      </c>
      <c r="D12" s="722"/>
      <c r="E12" s="727"/>
      <c r="F12" s="724" t="s">
        <v>888</v>
      </c>
      <c r="G12" s="765">
        <v>10</v>
      </c>
      <c r="H12" s="722" t="s">
        <v>138</v>
      </c>
      <c r="I12" s="727"/>
      <c r="J12" s="726" t="s">
        <v>904</v>
      </c>
      <c r="K12" s="725" t="e">
        <f>Rdamp_PassiveStd</f>
        <v>#VALUE!</v>
      </c>
      <c r="L12" s="722" t="s">
        <v>138</v>
      </c>
      <c r="M12" s="721"/>
      <c r="N12" s="724" t="s">
        <v>901</v>
      </c>
      <c r="O12" s="723">
        <v>0.35</v>
      </c>
      <c r="P12" s="722" t="s">
        <v>138</v>
      </c>
      <c r="Q12" s="244"/>
      <c r="R12" s="706"/>
    </row>
    <row r="13" spans="1:18" x14ac:dyDescent="0.3">
      <c r="A13" s="244"/>
      <c r="B13" s="244"/>
      <c r="C13" s="244"/>
      <c r="D13" s="244"/>
      <c r="E13" s="244"/>
      <c r="F13" s="244"/>
      <c r="G13" s="244"/>
      <c r="H13" s="244"/>
      <c r="I13" s="244"/>
      <c r="J13" s="244"/>
      <c r="K13" s="244"/>
      <c r="L13" s="244"/>
      <c r="M13" s="244"/>
      <c r="N13" s="244"/>
      <c r="O13" s="244"/>
      <c r="P13" s="244"/>
      <c r="Q13" s="244"/>
      <c r="R13" s="706"/>
    </row>
    <row r="14" spans="1:18" ht="15.5" x14ac:dyDescent="0.35">
      <c r="A14" s="244"/>
      <c r="B14" s="244"/>
      <c r="C14" s="775" t="s">
        <v>914</v>
      </c>
      <c r="D14" s="244"/>
      <c r="E14" s="244"/>
      <c r="F14" s="774">
        <f>VinRipple_dBuV</f>
        <v>107.44749014444535</v>
      </c>
      <c r="G14" s="720" t="s">
        <v>849</v>
      </c>
      <c r="H14" s="773" t="s">
        <v>787</v>
      </c>
      <c r="I14" s="771">
        <f>VinRipple_dBuV</f>
        <v>107.44749014444535</v>
      </c>
      <c r="J14" s="719" t="s">
        <v>849</v>
      </c>
      <c r="L14" s="244"/>
      <c r="M14" s="244"/>
      <c r="N14" s="244"/>
      <c r="O14" s="244"/>
      <c r="P14" s="244"/>
      <c r="Q14" s="244"/>
      <c r="R14" s="706"/>
    </row>
    <row r="15" spans="1:18" ht="13.5" thickBot="1" x14ac:dyDescent="0.35">
      <c r="A15" s="244"/>
      <c r="B15" s="721"/>
      <c r="C15" s="244"/>
      <c r="D15" s="721"/>
      <c r="E15" s="721"/>
      <c r="F15" s="721"/>
      <c r="G15" s="244"/>
      <c r="H15" s="244"/>
      <c r="I15" s="244"/>
      <c r="J15" s="244"/>
      <c r="K15" s="244"/>
      <c r="L15" s="244"/>
      <c r="M15" s="244"/>
      <c r="N15" s="244"/>
      <c r="O15" s="244"/>
      <c r="P15" s="244"/>
      <c r="Q15" s="244"/>
      <c r="R15" s="706"/>
    </row>
    <row r="16" spans="1:18" x14ac:dyDescent="0.3">
      <c r="A16" s="244"/>
      <c r="B16" s="757"/>
      <c r="C16" s="718"/>
      <c r="D16" s="717" t="s">
        <v>885</v>
      </c>
      <c r="E16" s="756" t="e">
        <f>-'Input Filter Calculations'!AM97</f>
        <v>#VALUE!</v>
      </c>
      <c r="F16" s="716" t="s">
        <v>804</v>
      </c>
      <c r="G16" s="244"/>
      <c r="H16" s="244"/>
      <c r="I16" s="244"/>
      <c r="J16" s="762"/>
      <c r="K16" s="715"/>
      <c r="L16" s="714" t="s">
        <v>886</v>
      </c>
      <c r="M16" s="769">
        <f>-'Input Filter Calculations'!AA97</f>
        <v>12.386592769258344</v>
      </c>
      <c r="N16" s="713" t="s">
        <v>804</v>
      </c>
      <c r="O16" s="244"/>
      <c r="P16" s="244"/>
      <c r="Q16" s="244"/>
      <c r="R16" s="706"/>
    </row>
    <row r="17" spans="1:18" ht="13.5" thickBot="1" x14ac:dyDescent="0.35">
      <c r="A17" s="711"/>
      <c r="B17" s="758"/>
      <c r="C17" s="710"/>
      <c r="D17" s="712" t="s">
        <v>875</v>
      </c>
      <c r="E17" s="768" t="e">
        <f>VinRipple_dBuV-E16</f>
        <v>#VALUE!</v>
      </c>
      <c r="F17" s="708" t="s">
        <v>786</v>
      </c>
      <c r="G17" s="244"/>
      <c r="H17" s="244"/>
      <c r="J17" s="758"/>
      <c r="K17" s="710"/>
      <c r="L17" s="709" t="s">
        <v>874</v>
      </c>
      <c r="M17" s="770">
        <f>VinRipple_dBuV-M16</f>
        <v>95.060897375187011</v>
      </c>
      <c r="N17" s="708" t="s">
        <v>786</v>
      </c>
      <c r="O17" s="244"/>
      <c r="P17" s="244"/>
      <c r="Q17" s="244"/>
      <c r="R17" s="706"/>
    </row>
    <row r="18" spans="1:18" x14ac:dyDescent="0.3">
      <c r="A18" s="244"/>
      <c r="B18" s="244"/>
      <c r="C18" s="244"/>
      <c r="D18" s="244"/>
      <c r="E18" s="244"/>
      <c r="F18" s="244"/>
      <c r="G18" s="244"/>
      <c r="H18" s="244"/>
      <c r="I18" s="244"/>
      <c r="J18" s="244"/>
      <c r="K18" s="244"/>
      <c r="L18" s="244"/>
      <c r="M18" s="244"/>
      <c r="N18" s="244"/>
      <c r="O18" s="244"/>
      <c r="P18" s="244"/>
      <c r="Q18" s="244"/>
      <c r="R18" s="706"/>
    </row>
    <row r="19" spans="1:18" x14ac:dyDescent="0.3">
      <c r="A19" s="244"/>
      <c r="B19" s="244"/>
      <c r="C19" s="244"/>
      <c r="D19" s="244"/>
      <c r="E19" s="244"/>
      <c r="F19" s="244"/>
      <c r="G19" s="244"/>
      <c r="H19" s="244"/>
      <c r="I19" s="244"/>
      <c r="J19" s="244"/>
      <c r="K19" s="244"/>
      <c r="L19" s="244"/>
      <c r="M19" s="244"/>
      <c r="N19" s="244"/>
      <c r="O19" s="244"/>
      <c r="P19" s="244"/>
      <c r="Q19" s="244"/>
      <c r="R19" s="706"/>
    </row>
    <row r="20" spans="1:18" x14ac:dyDescent="0.3">
      <c r="A20" s="244"/>
      <c r="B20" s="244"/>
      <c r="C20" s="244"/>
      <c r="D20" s="244"/>
      <c r="E20" s="244"/>
      <c r="F20" s="244"/>
      <c r="G20" s="244"/>
      <c r="H20" s="244"/>
      <c r="I20" s="244"/>
      <c r="J20" s="244"/>
      <c r="K20" s="244"/>
      <c r="L20" s="244"/>
      <c r="M20" s="244"/>
      <c r="N20" s="244"/>
      <c r="O20" s="244"/>
      <c r="P20" s="244"/>
      <c r="Q20" s="244"/>
      <c r="R20" s="706"/>
    </row>
    <row r="21" spans="1:18" x14ac:dyDescent="0.3">
      <c r="A21" s="244"/>
      <c r="B21" s="244"/>
      <c r="C21" s="244"/>
      <c r="D21" s="244"/>
      <c r="E21" s="244"/>
      <c r="F21" s="244"/>
      <c r="G21" s="244"/>
      <c r="H21" s="244"/>
      <c r="I21" s="244"/>
      <c r="J21" s="244"/>
      <c r="K21" s="244"/>
      <c r="L21" s="244"/>
      <c r="M21" s="244"/>
      <c r="N21" s="244"/>
      <c r="O21" s="244"/>
      <c r="P21" s="244"/>
      <c r="Q21" s="244"/>
      <c r="R21" s="706"/>
    </row>
    <row r="22" spans="1:18" x14ac:dyDescent="0.3">
      <c r="A22" s="244"/>
      <c r="B22" s="244"/>
      <c r="C22" s="244"/>
      <c r="D22" s="244"/>
      <c r="E22" s="244"/>
      <c r="F22" s="244"/>
      <c r="G22" s="244"/>
      <c r="H22" s="244"/>
      <c r="I22" s="244"/>
      <c r="J22" s="244"/>
      <c r="K22" s="244"/>
      <c r="L22" s="244"/>
      <c r="M22" s="244"/>
      <c r="N22" s="244"/>
      <c r="O22" s="244"/>
      <c r="P22" s="244"/>
      <c r="Q22" s="244"/>
      <c r="R22" s="706"/>
    </row>
    <row r="23" spans="1:18" x14ac:dyDescent="0.3">
      <c r="A23" s="244"/>
      <c r="B23" s="244"/>
      <c r="C23" s="244"/>
      <c r="D23" s="244"/>
      <c r="E23" s="244"/>
      <c r="F23" s="244"/>
      <c r="G23" s="244"/>
      <c r="H23" s="244"/>
      <c r="I23" s="244"/>
      <c r="J23" s="244"/>
      <c r="K23" s="244"/>
      <c r="L23" s="244"/>
      <c r="M23" s="244"/>
      <c r="N23" s="244"/>
      <c r="O23" s="244"/>
      <c r="P23" s="244"/>
      <c r="Q23" s="244"/>
      <c r="R23" s="706"/>
    </row>
    <row r="24" spans="1:18" x14ac:dyDescent="0.3">
      <c r="A24" s="244"/>
      <c r="B24" s="244"/>
      <c r="C24" s="244"/>
      <c r="D24" s="244"/>
      <c r="E24" s="244"/>
      <c r="F24" s="244"/>
      <c r="G24" s="244"/>
      <c r="H24" s="244"/>
      <c r="I24" s="244"/>
      <c r="J24" s="244"/>
      <c r="K24" s="244"/>
      <c r="L24" s="244"/>
      <c r="M24" s="244"/>
      <c r="N24" s="244"/>
      <c r="O24" s="244"/>
      <c r="P24" s="244"/>
      <c r="Q24" s="244"/>
      <c r="R24" s="706"/>
    </row>
    <row r="25" spans="1:18" x14ac:dyDescent="0.3">
      <c r="A25" s="244"/>
      <c r="B25" s="244"/>
      <c r="C25" s="244"/>
      <c r="D25" s="244"/>
      <c r="E25" s="244"/>
      <c r="F25" s="244"/>
      <c r="G25" s="244"/>
      <c r="H25" s="244"/>
      <c r="I25" s="244"/>
      <c r="J25" s="244"/>
      <c r="K25" s="244"/>
      <c r="L25" s="244"/>
      <c r="M25" s="244"/>
      <c r="N25" s="244"/>
      <c r="O25" s="244"/>
      <c r="P25" s="244"/>
      <c r="Q25" s="244"/>
      <c r="R25" s="706"/>
    </row>
    <row r="26" spans="1:18" x14ac:dyDescent="0.3">
      <c r="A26" s="244"/>
      <c r="B26" s="244"/>
      <c r="C26" s="244"/>
      <c r="D26" s="244"/>
      <c r="E26" s="244"/>
      <c r="F26" s="244"/>
      <c r="G26" s="244"/>
      <c r="H26" s="244"/>
      <c r="I26" s="244"/>
      <c r="J26" s="244"/>
      <c r="K26" s="244"/>
      <c r="L26" s="244"/>
      <c r="M26" s="244"/>
      <c r="N26" s="244"/>
      <c r="O26" s="244"/>
      <c r="P26" s="244"/>
      <c r="Q26" s="244"/>
      <c r="R26" s="706"/>
    </row>
    <row r="27" spans="1:18" x14ac:dyDescent="0.3">
      <c r="A27" s="244"/>
      <c r="B27" s="244"/>
      <c r="C27" s="244"/>
      <c r="D27" s="244"/>
      <c r="E27" s="244"/>
      <c r="F27" s="244"/>
      <c r="G27" s="244"/>
      <c r="H27" s="244"/>
      <c r="I27" s="244"/>
      <c r="J27" s="244"/>
      <c r="K27" s="244"/>
      <c r="L27" s="244"/>
      <c r="M27" s="244"/>
      <c r="N27" s="244"/>
      <c r="O27" s="244"/>
      <c r="P27" s="244"/>
      <c r="Q27" s="244"/>
      <c r="R27" s="706"/>
    </row>
    <row r="28" spans="1:18" x14ac:dyDescent="0.3">
      <c r="A28" s="244"/>
      <c r="B28" s="244"/>
      <c r="C28" s="244"/>
      <c r="D28" s="244"/>
      <c r="E28" s="244"/>
      <c r="F28" s="244"/>
      <c r="G28" s="244"/>
      <c r="H28" s="244"/>
      <c r="I28" s="244"/>
      <c r="J28" s="244"/>
      <c r="K28" s="244"/>
      <c r="L28" s="244"/>
      <c r="M28" s="244"/>
      <c r="N28" s="244"/>
      <c r="O28" s="244"/>
      <c r="P28" s="244"/>
      <c r="Q28" s="244"/>
      <c r="R28" s="706"/>
    </row>
    <row r="29" spans="1:18" x14ac:dyDescent="0.3">
      <c r="A29" s="244"/>
      <c r="B29" s="244"/>
      <c r="C29" s="244"/>
      <c r="D29" s="244"/>
      <c r="E29" s="244"/>
      <c r="F29" s="244"/>
      <c r="G29" s="244"/>
      <c r="H29" s="244"/>
      <c r="I29" s="244"/>
      <c r="J29" s="244"/>
      <c r="K29" s="244"/>
      <c r="L29" s="244"/>
      <c r="M29" s="244"/>
      <c r="N29" s="244"/>
      <c r="O29" s="244"/>
      <c r="P29" s="244"/>
      <c r="Q29" s="244"/>
      <c r="R29" s="706"/>
    </row>
    <row r="30" spans="1:18" x14ac:dyDescent="0.3">
      <c r="A30" s="244"/>
      <c r="B30" s="244"/>
      <c r="C30" s="244"/>
      <c r="D30" s="244"/>
      <c r="E30" s="244"/>
      <c r="F30" s="244"/>
      <c r="G30" s="244"/>
      <c r="H30" s="244"/>
      <c r="I30" s="244"/>
      <c r="J30" s="244"/>
      <c r="K30" s="244"/>
      <c r="L30" s="244"/>
      <c r="M30" s="244"/>
      <c r="N30" s="244"/>
      <c r="O30" s="244"/>
      <c r="P30" s="244"/>
      <c r="Q30" s="244"/>
      <c r="R30" s="706"/>
    </row>
    <row r="31" spans="1:18" x14ac:dyDescent="0.3">
      <c r="A31" s="244"/>
      <c r="B31" s="244"/>
      <c r="C31" s="244"/>
      <c r="D31" s="244"/>
      <c r="E31" s="244"/>
      <c r="F31" s="244"/>
      <c r="G31" s="244"/>
      <c r="H31" s="244"/>
      <c r="I31" s="244"/>
      <c r="J31" s="244"/>
      <c r="K31" s="244"/>
      <c r="L31" s="244"/>
      <c r="M31" s="244"/>
      <c r="N31" s="244"/>
      <c r="O31" s="244"/>
      <c r="P31" s="244"/>
      <c r="Q31" s="244"/>
      <c r="R31" s="706"/>
    </row>
    <row r="32" spans="1:18" x14ac:dyDescent="0.3">
      <c r="A32" s="244"/>
      <c r="B32" s="244"/>
      <c r="C32" s="244"/>
      <c r="D32" s="244"/>
      <c r="E32" s="244"/>
      <c r="F32" s="244"/>
      <c r="G32" s="244"/>
      <c r="H32" s="244"/>
      <c r="I32" s="244"/>
      <c r="J32" s="244"/>
      <c r="K32" s="244"/>
      <c r="L32" s="244"/>
      <c r="M32" s="244"/>
      <c r="N32" s="244"/>
      <c r="O32" s="244"/>
      <c r="P32" s="244"/>
      <c r="Q32" s="244"/>
      <c r="R32" s="706"/>
    </row>
    <row r="33" spans="1:18" x14ac:dyDescent="0.3">
      <c r="A33" s="244"/>
      <c r="B33" s="244"/>
      <c r="C33" s="244"/>
      <c r="D33" s="244"/>
      <c r="E33" s="244"/>
      <c r="F33" s="244"/>
      <c r="G33" s="244"/>
      <c r="H33" s="244"/>
      <c r="I33" s="244"/>
      <c r="J33" s="244"/>
      <c r="K33" s="244"/>
      <c r="L33" s="244"/>
      <c r="M33" s="244"/>
      <c r="N33" s="244"/>
      <c r="O33" s="244"/>
      <c r="P33" s="244"/>
      <c r="Q33" s="244"/>
      <c r="R33" s="706"/>
    </row>
    <row r="34" spans="1:18" x14ac:dyDescent="0.3">
      <c r="A34" s="244"/>
      <c r="B34" s="244"/>
      <c r="C34" s="244"/>
      <c r="D34" s="244"/>
      <c r="E34" s="244"/>
      <c r="F34" s="244"/>
      <c r="G34" s="244"/>
      <c r="H34" s="244"/>
      <c r="I34" s="244"/>
      <c r="J34" s="244"/>
      <c r="K34" s="244"/>
      <c r="L34" s="244"/>
      <c r="M34" s="244"/>
      <c r="N34" s="244"/>
      <c r="O34" s="244"/>
      <c r="P34" s="244"/>
      <c r="Q34" s="244"/>
      <c r="R34" s="706"/>
    </row>
    <row r="35" spans="1:18" x14ac:dyDescent="0.3">
      <c r="A35" s="244"/>
      <c r="B35" s="244"/>
      <c r="C35" s="244"/>
      <c r="D35" s="244"/>
      <c r="E35" s="244"/>
      <c r="F35" s="244"/>
      <c r="G35" s="244"/>
      <c r="H35" s="244"/>
      <c r="I35" s="244"/>
      <c r="J35" s="244"/>
      <c r="K35" s="244"/>
      <c r="L35" s="244"/>
      <c r="M35" s="244"/>
      <c r="N35" s="244"/>
      <c r="O35" s="244"/>
      <c r="P35" s="244"/>
      <c r="Q35" s="244"/>
      <c r="R35" s="706"/>
    </row>
    <row r="36" spans="1:18" x14ac:dyDescent="0.3">
      <c r="A36" s="244"/>
      <c r="B36" s="244"/>
      <c r="C36" s="244"/>
      <c r="D36" s="244"/>
      <c r="E36" s="244"/>
      <c r="F36" s="244"/>
      <c r="G36" s="244"/>
      <c r="H36" s="244"/>
      <c r="I36" s="244"/>
      <c r="J36" s="244"/>
      <c r="K36" s="244"/>
      <c r="L36" s="244"/>
      <c r="M36" s="244"/>
      <c r="N36" s="244"/>
      <c r="O36" s="244"/>
      <c r="P36" s="244"/>
      <c r="Q36" s="244"/>
      <c r="R36" s="706"/>
    </row>
    <row r="37" spans="1:18" x14ac:dyDescent="0.3">
      <c r="A37" s="244"/>
      <c r="B37" s="244"/>
      <c r="C37" s="244"/>
      <c r="D37" s="244"/>
      <c r="E37" s="244"/>
      <c r="F37" s="244"/>
      <c r="G37" s="244"/>
      <c r="H37" s="244"/>
      <c r="I37" s="244"/>
      <c r="J37" s="244"/>
      <c r="K37" s="244"/>
      <c r="L37" s="244"/>
      <c r="M37" s="244"/>
      <c r="N37" s="244"/>
      <c r="O37" s="244"/>
      <c r="P37" s="244"/>
      <c r="Q37" s="244"/>
      <c r="R37" s="706"/>
    </row>
    <row r="38" spans="1:18" x14ac:dyDescent="0.3">
      <c r="A38" s="244"/>
      <c r="B38" s="244"/>
      <c r="C38" s="244"/>
      <c r="D38" s="244"/>
      <c r="E38" s="244"/>
      <c r="F38" s="244"/>
      <c r="G38" s="244"/>
      <c r="H38" s="244"/>
      <c r="I38" s="244"/>
      <c r="J38" s="244"/>
      <c r="K38" s="244"/>
      <c r="L38" s="244"/>
      <c r="M38" s="244"/>
      <c r="N38" s="244"/>
      <c r="O38" s="244"/>
      <c r="P38" s="244"/>
      <c r="Q38" s="244"/>
      <c r="R38" s="706"/>
    </row>
    <row r="39" spans="1:18" x14ac:dyDescent="0.3">
      <c r="A39" s="244"/>
      <c r="B39" s="244"/>
      <c r="C39" s="244"/>
      <c r="D39" s="244"/>
      <c r="E39" s="244"/>
      <c r="F39" s="244"/>
      <c r="G39" s="244"/>
      <c r="H39" s="244"/>
      <c r="I39" s="244"/>
      <c r="J39" s="244"/>
      <c r="K39" s="244"/>
      <c r="L39" s="244"/>
      <c r="M39" s="244"/>
      <c r="N39" s="244"/>
      <c r="O39" s="244"/>
      <c r="P39" s="244"/>
      <c r="Q39" s="244"/>
      <c r="R39" s="706"/>
    </row>
    <row r="40" spans="1:18" x14ac:dyDescent="0.3">
      <c r="A40" s="244"/>
      <c r="B40" s="244"/>
      <c r="C40" s="244"/>
      <c r="D40" s="244"/>
      <c r="E40" s="244"/>
      <c r="F40" s="244"/>
      <c r="G40" s="244"/>
      <c r="H40" s="244"/>
      <c r="I40" s="244"/>
      <c r="J40" s="244"/>
      <c r="K40" s="244"/>
      <c r="L40" s="244"/>
      <c r="M40" s="244"/>
      <c r="N40" s="244"/>
      <c r="O40" s="244"/>
      <c r="P40" s="244"/>
      <c r="Q40" s="244"/>
      <c r="R40" s="706"/>
    </row>
    <row r="41" spans="1:18" x14ac:dyDescent="0.3">
      <c r="A41" s="244"/>
      <c r="B41" s="244"/>
      <c r="C41" s="244"/>
      <c r="D41" s="244"/>
      <c r="E41" s="244"/>
      <c r="F41" s="244"/>
      <c r="G41" s="244"/>
      <c r="H41" s="244"/>
      <c r="I41" s="244"/>
      <c r="J41" s="244"/>
      <c r="K41" s="244"/>
      <c r="L41" s="244"/>
      <c r="M41" s="244"/>
      <c r="N41" s="244"/>
      <c r="O41" s="244"/>
      <c r="P41" s="244"/>
      <c r="Q41" s="244"/>
      <c r="R41" s="706"/>
    </row>
    <row r="42" spans="1:18" x14ac:dyDescent="0.3">
      <c r="A42" s="244"/>
      <c r="B42" s="244"/>
      <c r="C42" s="244"/>
      <c r="D42" s="244"/>
      <c r="E42" s="244"/>
      <c r="F42" s="244"/>
      <c r="G42" s="244"/>
      <c r="H42" s="244"/>
      <c r="I42" s="244"/>
      <c r="J42" s="244"/>
      <c r="K42" s="244"/>
      <c r="L42" s="244"/>
      <c r="M42" s="244"/>
      <c r="N42" s="244"/>
      <c r="O42" s="244"/>
      <c r="P42" s="244"/>
      <c r="Q42" s="244"/>
      <c r="R42" s="706"/>
    </row>
    <row r="43" spans="1:18" x14ac:dyDescent="0.3">
      <c r="A43" s="244"/>
      <c r="B43" s="244"/>
      <c r="C43" s="244"/>
      <c r="D43" s="244"/>
      <c r="E43" s="244"/>
      <c r="F43" s="244"/>
      <c r="G43" s="244"/>
      <c r="H43" s="244"/>
      <c r="I43" s="244"/>
      <c r="J43" s="244"/>
      <c r="K43" s="244"/>
      <c r="L43" s="244"/>
      <c r="M43" s="244"/>
      <c r="N43" s="244"/>
      <c r="O43" s="244"/>
      <c r="P43" s="244"/>
      <c r="Q43" s="244"/>
      <c r="R43" s="706"/>
    </row>
    <row r="44" spans="1:18" x14ac:dyDescent="0.3">
      <c r="A44" s="244"/>
      <c r="B44" s="244"/>
      <c r="C44" s="244"/>
      <c r="D44" s="244"/>
      <c r="E44" s="244"/>
      <c r="F44" s="244"/>
      <c r="G44" s="244"/>
      <c r="H44" s="244"/>
      <c r="I44" s="244"/>
      <c r="J44" s="244"/>
      <c r="K44" s="244"/>
      <c r="L44" s="244"/>
      <c r="M44" s="244"/>
      <c r="N44" s="244"/>
      <c r="O44" s="244"/>
      <c r="P44" s="244"/>
      <c r="Q44" s="244"/>
      <c r="R44" s="706"/>
    </row>
    <row r="45" spans="1:18" x14ac:dyDescent="0.3">
      <c r="A45" s="244"/>
      <c r="B45" s="244"/>
      <c r="C45" s="244"/>
      <c r="D45" s="244"/>
      <c r="E45" s="244"/>
      <c r="F45" s="244"/>
      <c r="G45" s="244"/>
      <c r="H45" s="244"/>
      <c r="I45" s="244"/>
      <c r="J45" s="244"/>
      <c r="K45" s="244"/>
      <c r="L45" s="244"/>
      <c r="M45" s="244"/>
      <c r="N45" s="244"/>
      <c r="O45" s="244"/>
      <c r="P45" s="244"/>
      <c r="Q45" s="244"/>
      <c r="R45" s="706"/>
    </row>
    <row r="46" spans="1:18" x14ac:dyDescent="0.3">
      <c r="A46" s="244"/>
      <c r="B46" s="244"/>
      <c r="C46" s="244"/>
      <c r="D46" s="244"/>
      <c r="E46" s="244"/>
      <c r="F46" s="244"/>
      <c r="G46" s="244"/>
      <c r="H46" s="244"/>
      <c r="I46" s="244"/>
      <c r="J46" s="244"/>
      <c r="K46" s="244"/>
      <c r="L46" s="244"/>
      <c r="M46" s="244"/>
      <c r="N46" s="244"/>
      <c r="O46" s="244"/>
      <c r="P46" s="244"/>
      <c r="Q46" s="244"/>
      <c r="R46" s="706"/>
    </row>
    <row r="47" spans="1:18" x14ac:dyDescent="0.3">
      <c r="A47" s="244"/>
      <c r="B47" s="244"/>
      <c r="C47" s="244"/>
      <c r="D47" s="244"/>
      <c r="E47" s="244"/>
      <c r="F47" s="244"/>
      <c r="G47" s="244"/>
      <c r="H47" s="244"/>
      <c r="I47" s="244"/>
      <c r="J47" s="244"/>
      <c r="K47" s="244"/>
      <c r="L47" s="244"/>
      <c r="M47" s="244"/>
      <c r="N47" s="244"/>
      <c r="O47" s="244"/>
      <c r="P47" s="244"/>
      <c r="Q47" s="244"/>
      <c r="R47" s="706"/>
    </row>
    <row r="48" spans="1:18" x14ac:dyDescent="0.3">
      <c r="A48" s="244"/>
      <c r="B48" s="244"/>
      <c r="C48" s="244"/>
      <c r="D48" s="244"/>
      <c r="E48" s="244"/>
      <c r="F48" s="244"/>
      <c r="G48" s="244"/>
      <c r="H48" s="244"/>
      <c r="I48" s="244"/>
      <c r="J48" s="244"/>
      <c r="K48" s="244"/>
      <c r="L48" s="244"/>
      <c r="M48" s="244"/>
      <c r="N48" s="244"/>
      <c r="O48" s="244"/>
      <c r="P48" s="244"/>
      <c r="Q48" s="244"/>
      <c r="R48" s="706"/>
    </row>
    <row r="49" spans="1:18" x14ac:dyDescent="0.3">
      <c r="A49" s="244"/>
      <c r="B49" s="244"/>
      <c r="C49" s="244"/>
      <c r="D49" s="244"/>
      <c r="E49" s="244"/>
      <c r="F49" s="244"/>
      <c r="G49" s="244"/>
      <c r="H49" s="244"/>
      <c r="I49" s="244"/>
      <c r="J49" s="244"/>
      <c r="K49" s="244"/>
      <c r="L49" s="244"/>
      <c r="M49" s="244"/>
      <c r="N49" s="244"/>
      <c r="O49" s="244"/>
      <c r="P49" s="244"/>
      <c r="Q49" s="244"/>
      <c r="R49" s="706"/>
    </row>
    <row r="50" spans="1:18" x14ac:dyDescent="0.3">
      <c r="A50" s="244"/>
      <c r="B50" s="244"/>
      <c r="C50" s="244"/>
      <c r="D50" s="244"/>
      <c r="E50" s="244"/>
      <c r="F50" s="244"/>
      <c r="G50" s="244"/>
      <c r="H50" s="244"/>
      <c r="I50" s="244"/>
      <c r="J50" s="244"/>
      <c r="K50" s="244"/>
      <c r="L50" s="244"/>
      <c r="M50" s="244"/>
      <c r="N50" s="244"/>
      <c r="O50" s="244"/>
      <c r="P50" s="244"/>
      <c r="Q50" s="244"/>
      <c r="R50" s="706"/>
    </row>
    <row r="51" spans="1:18" x14ac:dyDescent="0.3">
      <c r="A51" s="244"/>
      <c r="B51" s="244"/>
      <c r="C51" s="244"/>
      <c r="D51" s="244"/>
      <c r="E51" s="244"/>
      <c r="F51" s="244"/>
      <c r="G51" s="244"/>
      <c r="H51" s="244"/>
      <c r="I51" s="244"/>
      <c r="J51" s="244"/>
      <c r="K51" s="244"/>
      <c r="L51" s="244"/>
      <c r="M51" s="244"/>
      <c r="N51" s="244"/>
      <c r="O51" s="244"/>
      <c r="P51" s="244"/>
      <c r="Q51" s="244"/>
      <c r="R51" s="706"/>
    </row>
    <row r="52" spans="1:18" x14ac:dyDescent="0.3">
      <c r="A52" s="244"/>
      <c r="B52" s="244"/>
      <c r="C52" s="244"/>
      <c r="D52" s="244"/>
      <c r="E52" s="244"/>
      <c r="F52" s="244"/>
      <c r="G52" s="244"/>
      <c r="H52" s="244"/>
      <c r="I52" s="244"/>
      <c r="J52" s="244"/>
      <c r="K52" s="244"/>
      <c r="L52" s="244"/>
      <c r="M52" s="244"/>
      <c r="N52" s="244"/>
      <c r="O52" s="244"/>
      <c r="P52" s="244"/>
      <c r="Q52" s="244"/>
      <c r="R52" s="706"/>
    </row>
    <row r="53" spans="1:18" x14ac:dyDescent="0.3">
      <c r="A53" s="244"/>
      <c r="B53" s="244"/>
      <c r="C53" s="244"/>
      <c r="D53" s="244"/>
      <c r="E53" s="244"/>
      <c r="F53" s="244"/>
      <c r="G53" s="244"/>
      <c r="H53" s="244"/>
      <c r="I53" s="244"/>
      <c r="J53" s="244"/>
      <c r="K53" s="244"/>
      <c r="L53" s="244"/>
      <c r="M53" s="244"/>
      <c r="N53" s="244"/>
      <c r="O53" s="244"/>
      <c r="P53" s="244"/>
      <c r="Q53" s="244"/>
      <c r="R53" s="706"/>
    </row>
    <row r="54" spans="1:18" x14ac:dyDescent="0.3">
      <c r="A54" s="244"/>
      <c r="B54" s="244"/>
      <c r="C54" s="244"/>
      <c r="D54" s="244"/>
      <c r="E54" s="244"/>
      <c r="F54" s="244"/>
      <c r="G54" s="244"/>
      <c r="H54" s="244"/>
      <c r="I54" s="244"/>
      <c r="J54" s="244"/>
      <c r="K54" s="244"/>
      <c r="L54" s="244"/>
      <c r="M54" s="244"/>
      <c r="N54" s="244"/>
      <c r="O54" s="244"/>
      <c r="P54" s="244"/>
      <c r="Q54" s="244"/>
      <c r="R54" s="706"/>
    </row>
    <row r="55" spans="1:18" x14ac:dyDescent="0.3">
      <c r="A55" s="244"/>
      <c r="B55" s="244"/>
      <c r="C55" s="244"/>
      <c r="D55" s="244"/>
      <c r="E55" s="244"/>
      <c r="F55" s="244"/>
      <c r="G55" s="244"/>
      <c r="H55" s="244"/>
      <c r="I55" s="244"/>
      <c r="J55" s="244"/>
      <c r="K55" s="244"/>
      <c r="L55" s="244"/>
      <c r="M55" s="244"/>
      <c r="N55" s="244"/>
      <c r="O55" s="244"/>
      <c r="P55" s="244"/>
      <c r="Q55" s="244"/>
      <c r="R55" s="706"/>
    </row>
    <row r="56" spans="1:18" x14ac:dyDescent="0.3">
      <c r="A56" s="244"/>
      <c r="B56" s="244"/>
      <c r="C56" s="244"/>
      <c r="D56" s="244"/>
      <c r="E56" s="244"/>
      <c r="F56" s="244"/>
      <c r="G56" s="244"/>
      <c r="H56" s="244"/>
      <c r="I56" s="244"/>
      <c r="J56" s="244"/>
      <c r="K56" s="244"/>
      <c r="L56" s="244"/>
      <c r="M56" s="244"/>
      <c r="N56" s="244"/>
      <c r="O56" s="244"/>
      <c r="P56" s="244"/>
      <c r="Q56" s="244"/>
      <c r="R56" s="706"/>
    </row>
    <row r="57" spans="1:18" x14ac:dyDescent="0.3">
      <c r="A57" s="244"/>
      <c r="B57" s="244"/>
      <c r="C57" s="244"/>
      <c r="D57" s="244"/>
      <c r="E57" s="244"/>
      <c r="F57" s="244"/>
      <c r="G57" s="244"/>
      <c r="H57" s="244"/>
      <c r="I57" s="244"/>
      <c r="J57" s="244"/>
      <c r="K57" s="244"/>
      <c r="L57" s="244"/>
      <c r="M57" s="244"/>
      <c r="N57" s="244"/>
      <c r="O57" s="244"/>
      <c r="P57" s="244"/>
      <c r="Q57" s="244"/>
      <c r="R57" s="706"/>
    </row>
    <row r="58" spans="1:18" x14ac:dyDescent="0.3">
      <c r="A58" s="244"/>
      <c r="B58" s="244"/>
      <c r="C58" s="244"/>
      <c r="D58" s="244"/>
      <c r="E58" s="244"/>
      <c r="F58" s="244"/>
      <c r="G58" s="244"/>
      <c r="H58" s="244"/>
      <c r="I58" s="244"/>
      <c r="J58" s="244"/>
      <c r="K58" s="244"/>
      <c r="L58" s="244"/>
      <c r="M58" s="244"/>
      <c r="N58" s="244"/>
      <c r="O58" s="244"/>
      <c r="P58" s="244"/>
      <c r="Q58" s="244"/>
      <c r="R58" s="706"/>
    </row>
    <row r="59" spans="1:18" x14ac:dyDescent="0.3">
      <c r="A59" s="244"/>
      <c r="B59" s="244"/>
      <c r="C59" s="244"/>
      <c r="D59" s="244"/>
      <c r="E59" s="244"/>
      <c r="F59" s="244"/>
      <c r="G59" s="244"/>
      <c r="H59" s="244"/>
      <c r="I59" s="244"/>
      <c r="J59" s="244"/>
      <c r="K59" s="244"/>
      <c r="L59" s="244"/>
      <c r="M59" s="244"/>
      <c r="N59" s="244"/>
      <c r="O59" s="244"/>
      <c r="P59" s="244"/>
      <c r="Q59" s="244"/>
      <c r="R59" s="706"/>
    </row>
    <row r="60" spans="1:18" x14ac:dyDescent="0.3">
      <c r="A60" s="244"/>
      <c r="B60" s="244"/>
      <c r="C60" s="244"/>
      <c r="D60" s="244"/>
      <c r="E60" s="244"/>
      <c r="F60" s="244"/>
      <c r="G60" s="244"/>
      <c r="H60" s="244"/>
      <c r="I60" s="244"/>
      <c r="J60" s="244"/>
      <c r="K60" s="244"/>
      <c r="L60" s="244"/>
      <c r="M60" s="244"/>
      <c r="N60" s="244"/>
      <c r="O60" s="244"/>
      <c r="P60" s="244"/>
      <c r="Q60" s="244"/>
      <c r="R60" s="706"/>
    </row>
    <row r="61" spans="1:18" x14ac:dyDescent="0.3">
      <c r="A61" s="244"/>
      <c r="B61" s="244"/>
      <c r="C61" s="244"/>
      <c r="D61" s="244"/>
      <c r="E61" s="244"/>
      <c r="F61" s="244"/>
      <c r="G61" s="244"/>
      <c r="H61" s="244"/>
      <c r="I61" s="244"/>
      <c r="J61" s="244"/>
      <c r="K61" s="244"/>
      <c r="L61" s="244"/>
      <c r="M61" s="244"/>
      <c r="N61" s="244"/>
      <c r="O61" s="244"/>
      <c r="P61" s="244"/>
      <c r="Q61" s="244"/>
      <c r="R61" s="703"/>
    </row>
    <row r="62" spans="1:18" x14ac:dyDescent="0.3">
      <c r="A62" s="244"/>
      <c r="B62" s="244"/>
      <c r="C62" s="244"/>
      <c r="D62" s="244"/>
      <c r="E62" s="244"/>
      <c r="F62" s="244"/>
      <c r="G62" s="244"/>
      <c r="H62" s="244"/>
      <c r="I62" s="244"/>
      <c r="J62" s="244"/>
      <c r="K62" s="244"/>
      <c r="L62" s="244"/>
      <c r="M62" s="244"/>
      <c r="N62" s="244"/>
      <c r="O62" s="244"/>
      <c r="P62" s="244"/>
      <c r="Q62" s="244"/>
      <c r="R62" s="703"/>
    </row>
    <row r="63" spans="1:18" x14ac:dyDescent="0.3">
      <c r="A63" s="244"/>
      <c r="B63" s="244"/>
      <c r="C63" s="244"/>
      <c r="D63" s="244"/>
      <c r="E63" s="244"/>
      <c r="F63" s="244"/>
      <c r="G63" s="244"/>
      <c r="H63" s="244"/>
      <c r="I63" s="244"/>
      <c r="J63" s="244"/>
      <c r="K63" s="244"/>
      <c r="L63" s="244"/>
      <c r="M63" s="244"/>
      <c r="N63" s="244"/>
      <c r="O63" s="244"/>
      <c r="P63" s="244"/>
      <c r="Q63" s="244"/>
      <c r="R63" s="703"/>
    </row>
    <row r="64" spans="1:18" x14ac:dyDescent="0.3">
      <c r="A64" s="244"/>
      <c r="B64" s="244"/>
      <c r="C64" s="244"/>
      <c r="D64" s="244"/>
      <c r="E64" s="244"/>
      <c r="F64" s="244"/>
      <c r="G64" s="244"/>
      <c r="H64" s="244"/>
      <c r="I64" s="244"/>
      <c r="J64" s="244"/>
      <c r="K64" s="244"/>
      <c r="L64" s="244"/>
      <c r="M64" s="244"/>
      <c r="N64" s="244"/>
      <c r="O64" s="244"/>
      <c r="P64" s="244"/>
      <c r="Q64" s="244"/>
      <c r="R64" s="703"/>
    </row>
    <row r="65" spans="1:18" x14ac:dyDescent="0.3">
      <c r="A65" s="244"/>
      <c r="B65" s="244"/>
      <c r="C65" s="244"/>
      <c r="D65" s="244"/>
      <c r="E65" s="244"/>
      <c r="F65" s="244"/>
      <c r="G65" s="244"/>
      <c r="H65" s="244"/>
      <c r="I65" s="244"/>
      <c r="J65" s="244"/>
      <c r="K65" s="244"/>
      <c r="L65" s="244"/>
      <c r="M65" s="244"/>
      <c r="N65" s="244"/>
      <c r="O65" s="244"/>
      <c r="P65" s="244"/>
      <c r="Q65" s="244"/>
      <c r="R65" s="703"/>
    </row>
    <row r="66" spans="1:18" x14ac:dyDescent="0.3">
      <c r="A66" s="244"/>
      <c r="B66" s="244"/>
      <c r="C66" s="244"/>
      <c r="D66" s="244"/>
      <c r="E66" s="244"/>
      <c r="F66" s="244"/>
      <c r="G66" s="244"/>
      <c r="H66" s="244"/>
      <c r="I66" s="244"/>
      <c r="J66" s="244"/>
      <c r="K66" s="244"/>
      <c r="L66" s="244"/>
      <c r="M66" s="244"/>
      <c r="N66" s="244"/>
      <c r="O66" s="244"/>
      <c r="P66" s="244"/>
      <c r="Q66" s="244"/>
      <c r="R66" s="703"/>
    </row>
    <row r="67" spans="1:18" x14ac:dyDescent="0.3">
      <c r="A67" s="244"/>
      <c r="B67" s="244"/>
      <c r="C67" s="244"/>
      <c r="D67" s="244"/>
      <c r="E67" s="244"/>
      <c r="F67" s="244"/>
      <c r="G67" s="244"/>
      <c r="H67" s="244"/>
      <c r="I67" s="244"/>
      <c r="J67" s="244"/>
      <c r="K67" s="244"/>
      <c r="L67" s="244"/>
      <c r="M67" s="244"/>
      <c r="N67" s="244"/>
      <c r="O67" s="244"/>
      <c r="P67" s="244"/>
      <c r="Q67" s="244"/>
      <c r="R67" s="703"/>
    </row>
    <row r="68" spans="1:18" x14ac:dyDescent="0.3">
      <c r="A68" s="244"/>
      <c r="B68" s="244"/>
      <c r="C68" s="244"/>
      <c r="D68" s="244"/>
      <c r="E68" s="244"/>
      <c r="F68" s="244"/>
      <c r="G68" s="244"/>
      <c r="H68" s="244"/>
      <c r="I68" s="244"/>
      <c r="J68" s="244"/>
      <c r="K68" s="244"/>
      <c r="L68" s="244"/>
      <c r="M68" s="244"/>
      <c r="N68" s="244"/>
      <c r="O68" s="244"/>
      <c r="P68" s="244"/>
      <c r="Q68" s="244"/>
      <c r="R68" s="703"/>
    </row>
    <row r="69" spans="1:18" x14ac:dyDescent="0.3">
      <c r="A69" s="244"/>
      <c r="B69" s="244"/>
      <c r="C69" s="244"/>
      <c r="D69" s="244"/>
      <c r="E69" s="244"/>
      <c r="F69" s="244"/>
      <c r="G69" s="244"/>
      <c r="H69" s="244"/>
      <c r="I69" s="244"/>
      <c r="J69" s="244"/>
      <c r="K69" s="244"/>
      <c r="L69" s="244"/>
      <c r="M69" s="244"/>
      <c r="N69" s="244"/>
      <c r="O69" s="244"/>
      <c r="P69" s="244"/>
      <c r="Q69" s="244"/>
      <c r="R69" s="703"/>
    </row>
    <row r="70" spans="1:18" x14ac:dyDescent="0.3">
      <c r="A70" s="244"/>
      <c r="B70" s="244"/>
      <c r="C70" s="244"/>
      <c r="D70" s="244"/>
      <c r="E70" s="244"/>
      <c r="F70" s="244"/>
      <c r="G70" s="244"/>
      <c r="H70" s="244"/>
      <c r="I70" s="244"/>
      <c r="J70" s="244"/>
      <c r="K70" s="244"/>
      <c r="L70" s="244"/>
      <c r="M70" s="244"/>
      <c r="N70" s="244"/>
      <c r="O70" s="244"/>
      <c r="P70" s="244"/>
      <c r="Q70" s="244"/>
      <c r="R70" s="705"/>
    </row>
    <row r="71" spans="1:18" x14ac:dyDescent="0.3">
      <c r="A71" s="244"/>
      <c r="B71" s="244"/>
      <c r="C71" s="244"/>
      <c r="D71" s="244"/>
      <c r="E71" s="244"/>
      <c r="F71" s="244"/>
      <c r="G71" s="244"/>
      <c r="H71" s="244"/>
      <c r="I71" s="244"/>
      <c r="J71" s="244"/>
      <c r="K71" s="244"/>
      <c r="L71" s="244"/>
      <c r="M71" s="244"/>
      <c r="N71" s="244"/>
      <c r="O71" s="244"/>
      <c r="P71" s="244"/>
      <c r="Q71" s="244"/>
      <c r="R71" s="703"/>
    </row>
    <row r="72" spans="1:18" x14ac:dyDescent="0.3">
      <c r="A72" s="244"/>
      <c r="B72" s="244"/>
      <c r="C72" s="244"/>
      <c r="D72" s="244"/>
      <c r="E72" s="244"/>
      <c r="F72" s="244"/>
      <c r="G72" s="244"/>
      <c r="H72" s="244"/>
      <c r="I72" s="244"/>
      <c r="J72" s="244"/>
      <c r="K72" s="244"/>
      <c r="L72" s="244"/>
      <c r="M72" s="244"/>
      <c r="N72" s="244"/>
      <c r="O72" s="244"/>
      <c r="P72" s="244"/>
      <c r="Q72" s="244"/>
      <c r="R72" s="703"/>
    </row>
    <row r="73" spans="1:18" x14ac:dyDescent="0.3">
      <c r="A73" s="244"/>
      <c r="B73" s="244"/>
      <c r="C73" s="244"/>
      <c r="D73" s="244"/>
      <c r="E73" s="244"/>
      <c r="F73" s="244"/>
      <c r="G73" s="244"/>
      <c r="H73" s="244"/>
      <c r="I73" s="244"/>
      <c r="J73" s="244"/>
      <c r="K73" s="244"/>
      <c r="L73" s="244"/>
      <c r="M73" s="244"/>
      <c r="N73" s="244"/>
      <c r="O73" s="244"/>
      <c r="P73" s="244"/>
      <c r="Q73" s="244"/>
      <c r="R73" s="703"/>
    </row>
    <row r="74" spans="1:18" x14ac:dyDescent="0.3">
      <c r="A74" s="244"/>
      <c r="B74" s="244"/>
      <c r="C74" s="244"/>
      <c r="D74" s="244"/>
      <c r="E74" s="244"/>
      <c r="F74" s="244"/>
      <c r="G74" s="244"/>
      <c r="H74" s="244"/>
      <c r="I74" s="244"/>
      <c r="J74" s="244"/>
      <c r="K74" s="244"/>
      <c r="L74" s="244"/>
      <c r="M74" s="244"/>
      <c r="N74" s="244"/>
      <c r="O74" s="244"/>
      <c r="P74" s="244"/>
      <c r="Q74" s="244"/>
      <c r="R74" s="703"/>
    </row>
    <row r="75" spans="1:18" x14ac:dyDescent="0.3">
      <c r="A75" s="244"/>
      <c r="B75" s="244"/>
      <c r="C75" s="244"/>
      <c r="D75" s="244"/>
      <c r="E75" s="244"/>
      <c r="F75" s="244"/>
      <c r="G75" s="244"/>
      <c r="H75" s="244"/>
      <c r="I75" s="244"/>
      <c r="J75" s="244"/>
      <c r="K75" s="244"/>
      <c r="L75" s="244"/>
      <c r="M75" s="244"/>
      <c r="N75" s="244"/>
      <c r="O75" s="244"/>
      <c r="P75" s="244"/>
      <c r="Q75" s="244"/>
      <c r="R75" s="703"/>
    </row>
    <row r="76" spans="1:18" ht="15.5" x14ac:dyDescent="0.35">
      <c r="A76" s="244"/>
      <c r="B76" s="244"/>
      <c r="C76" s="244"/>
      <c r="D76" s="244"/>
      <c r="E76" s="244"/>
      <c r="F76" s="244"/>
      <c r="G76" s="244"/>
      <c r="H76" s="244"/>
      <c r="I76" s="244"/>
      <c r="J76" s="244"/>
      <c r="K76" s="244"/>
      <c r="L76" s="244"/>
      <c r="M76" s="244"/>
      <c r="N76" s="244"/>
      <c r="O76" s="244"/>
      <c r="P76" s="244"/>
      <c r="Q76" s="244"/>
      <c r="R76" s="704"/>
    </row>
    <row r="77" spans="1:18" x14ac:dyDescent="0.3">
      <c r="A77" s="244"/>
      <c r="B77" s="244"/>
      <c r="C77" s="244"/>
      <c r="D77" s="244"/>
      <c r="E77" s="244"/>
      <c r="F77" s="244"/>
      <c r="G77" s="244"/>
      <c r="H77" s="244"/>
      <c r="I77" s="244"/>
      <c r="J77" s="244"/>
      <c r="K77" s="244"/>
      <c r="L77" s="244"/>
      <c r="M77" s="244"/>
      <c r="N77" s="244"/>
      <c r="O77" s="244"/>
      <c r="P77" s="244"/>
      <c r="Q77" s="244"/>
      <c r="R77" s="703"/>
    </row>
    <row r="78" spans="1:18" x14ac:dyDescent="0.3">
      <c r="A78" s="244"/>
      <c r="B78" s="244"/>
      <c r="C78" s="244"/>
      <c r="D78" s="244"/>
      <c r="E78" s="244"/>
      <c r="F78" s="244"/>
      <c r="G78" s="244"/>
      <c r="H78" s="244"/>
      <c r="I78" s="244"/>
      <c r="J78" s="244"/>
      <c r="K78" s="244"/>
      <c r="L78" s="244"/>
      <c r="M78" s="244"/>
      <c r="N78" s="244"/>
      <c r="O78" s="244"/>
      <c r="P78" s="244"/>
      <c r="Q78" s="244"/>
      <c r="R78" s="703"/>
    </row>
    <row r="79" spans="1:18" x14ac:dyDescent="0.3">
      <c r="A79" s="244"/>
      <c r="B79" s="244"/>
      <c r="C79" s="244"/>
      <c r="D79" s="244"/>
      <c r="E79" s="244"/>
      <c r="F79" s="244"/>
      <c r="G79" s="244"/>
      <c r="H79" s="244"/>
      <c r="I79" s="244"/>
      <c r="J79" s="244"/>
      <c r="K79" s="244"/>
      <c r="L79" s="244"/>
      <c r="M79" s="244"/>
      <c r="N79" s="244"/>
      <c r="O79" s="244"/>
      <c r="P79" s="244"/>
      <c r="Q79" s="244"/>
      <c r="R79" s="703"/>
    </row>
    <row r="80" spans="1:18" x14ac:dyDescent="0.3">
      <c r="A80" s="244"/>
      <c r="B80" s="244"/>
      <c r="C80" s="244"/>
      <c r="D80" s="244"/>
      <c r="E80" s="244"/>
      <c r="F80" s="244"/>
      <c r="G80" s="244"/>
      <c r="H80" s="244"/>
      <c r="I80" s="244"/>
      <c r="J80" s="244"/>
      <c r="K80" s="244"/>
      <c r="L80" s="244"/>
      <c r="M80" s="244"/>
      <c r="N80" s="244"/>
      <c r="O80" s="244"/>
      <c r="P80" s="244"/>
      <c r="Q80" s="244"/>
      <c r="R80" s="703"/>
    </row>
    <row r="81" spans="1:18" x14ac:dyDescent="0.3">
      <c r="A81" s="244"/>
      <c r="B81" s="244"/>
      <c r="C81" s="244"/>
      <c r="D81" s="244"/>
      <c r="E81" s="244"/>
      <c r="F81" s="244"/>
      <c r="G81" s="244"/>
      <c r="H81" s="244"/>
      <c r="I81" s="244"/>
      <c r="J81" s="244"/>
      <c r="K81" s="244"/>
      <c r="L81" s="244"/>
      <c r="M81" s="244"/>
      <c r="N81" s="244"/>
      <c r="O81" s="244"/>
      <c r="P81" s="244"/>
      <c r="Q81" s="244"/>
      <c r="R81" s="703"/>
    </row>
    <row r="82" spans="1:18" x14ac:dyDescent="0.3">
      <c r="R82" s="703"/>
    </row>
    <row r="83" spans="1:18" x14ac:dyDescent="0.3">
      <c r="R83" s="703"/>
    </row>
    <row r="84" spans="1:18" x14ac:dyDescent="0.3">
      <c r="R84" s="703"/>
    </row>
    <row r="85" spans="1:18" x14ac:dyDescent="0.3">
      <c r="R85" s="703"/>
    </row>
    <row r="86" spans="1:18" x14ac:dyDescent="0.3">
      <c r="R86" s="703"/>
    </row>
    <row r="87" spans="1:18" x14ac:dyDescent="0.3">
      <c r="R87" s="703"/>
    </row>
    <row r="88" spans="1:18" x14ac:dyDescent="0.3">
      <c r="R88" s="703"/>
    </row>
    <row r="89" spans="1:18" x14ac:dyDescent="0.3">
      <c r="R89" s="703"/>
    </row>
    <row r="90" spans="1:18" x14ac:dyDescent="0.3">
      <c r="R90" s="703"/>
    </row>
    <row r="91" spans="1:18" x14ac:dyDescent="0.3">
      <c r="R91" s="703"/>
    </row>
    <row r="92" spans="1:18" x14ac:dyDescent="0.3">
      <c r="R92" s="703"/>
    </row>
    <row r="93" spans="1:18" x14ac:dyDescent="0.3">
      <c r="R93" s="703"/>
    </row>
    <row r="94" spans="1:18" x14ac:dyDescent="0.3">
      <c r="R94" s="703"/>
    </row>
    <row r="95" spans="1:18" x14ac:dyDescent="0.3">
      <c r="R95" s="703"/>
    </row>
    <row r="96" spans="1:18" x14ac:dyDescent="0.3">
      <c r="R96" s="703"/>
    </row>
    <row r="97" spans="18:18" x14ac:dyDescent="0.3">
      <c r="R97" s="703"/>
    </row>
    <row r="98" spans="18:18" x14ac:dyDescent="0.3">
      <c r="R98" s="703"/>
    </row>
    <row r="99" spans="18:18" x14ac:dyDescent="0.3">
      <c r="R99" s="703"/>
    </row>
    <row r="100" spans="18:18" x14ac:dyDescent="0.3">
      <c r="R100" s="703"/>
    </row>
    <row r="101" spans="18:18" x14ac:dyDescent="0.3">
      <c r="R101" s="703"/>
    </row>
    <row r="102" spans="18:18" x14ac:dyDescent="0.3">
      <c r="R102" s="703"/>
    </row>
    <row r="103" spans="18:18" x14ac:dyDescent="0.3">
      <c r="R103" s="703"/>
    </row>
    <row r="104" spans="18:18" x14ac:dyDescent="0.3">
      <c r="R104" s="703"/>
    </row>
    <row r="105" spans="18:18" x14ac:dyDescent="0.3">
      <c r="R105" s="703"/>
    </row>
    <row r="106" spans="18:18" x14ac:dyDescent="0.3">
      <c r="R106" s="703"/>
    </row>
    <row r="107" spans="18:18" x14ac:dyDescent="0.3">
      <c r="R107" s="703"/>
    </row>
    <row r="108" spans="18:18" x14ac:dyDescent="0.3">
      <c r="R108" s="702"/>
    </row>
    <row r="109" spans="18:18" x14ac:dyDescent="0.3">
      <c r="R109" s="702"/>
    </row>
    <row r="110" spans="18:18" x14ac:dyDescent="0.3">
      <c r="R110" s="702"/>
    </row>
    <row r="111" spans="18:18" x14ac:dyDescent="0.3">
      <c r="R111" s="702"/>
    </row>
    <row r="112" spans="18:18" x14ac:dyDescent="0.3">
      <c r="R112" s="702"/>
    </row>
    <row r="113" spans="18:18" x14ac:dyDescent="0.3">
      <c r="R113" s="702"/>
    </row>
    <row r="114" spans="18:18" x14ac:dyDescent="0.3">
      <c r="R114" s="702"/>
    </row>
    <row r="115" spans="18:18" x14ac:dyDescent="0.3">
      <c r="R115" s="702"/>
    </row>
    <row r="116" spans="18:18" x14ac:dyDescent="0.3">
      <c r="R116" s="702"/>
    </row>
    <row r="117" spans="18:18" x14ac:dyDescent="0.3">
      <c r="R117" s="702"/>
    </row>
    <row r="118" spans="18:18" x14ac:dyDescent="0.3">
      <c r="R118" s="702"/>
    </row>
    <row r="119" spans="18:18" x14ac:dyDescent="0.3">
      <c r="R119" s="702"/>
    </row>
    <row r="120" spans="18:18" x14ac:dyDescent="0.3">
      <c r="R120" s="702"/>
    </row>
    <row r="121" spans="18:18" x14ac:dyDescent="0.3">
      <c r="R121" s="702"/>
    </row>
    <row r="122" spans="18:18" x14ac:dyDescent="0.3">
      <c r="R122" s="702"/>
    </row>
    <row r="123" spans="18:18" x14ac:dyDescent="0.3">
      <c r="R123" s="702"/>
    </row>
    <row r="124" spans="18:18" x14ac:dyDescent="0.3">
      <c r="R124" s="702"/>
    </row>
    <row r="125" spans="18:18" x14ac:dyDescent="0.3">
      <c r="R125" s="702"/>
    </row>
    <row r="126" spans="18:18" x14ac:dyDescent="0.3">
      <c r="R126" s="702"/>
    </row>
    <row r="127" spans="18:18" x14ac:dyDescent="0.3">
      <c r="R127" s="702"/>
    </row>
    <row r="128" spans="18:18" x14ac:dyDescent="0.3">
      <c r="R128" s="702"/>
    </row>
    <row r="129" spans="18:18" x14ac:dyDescent="0.3">
      <c r="R129" s="702"/>
    </row>
    <row r="130" spans="18:18" x14ac:dyDescent="0.3">
      <c r="R130" s="702"/>
    </row>
    <row r="131" spans="18:18" x14ac:dyDescent="0.3">
      <c r="R131" s="702"/>
    </row>
    <row r="132" spans="18:18" x14ac:dyDescent="0.3">
      <c r="R132" s="702"/>
    </row>
    <row r="133" spans="18:18" x14ac:dyDescent="0.3">
      <c r="R133" s="702"/>
    </row>
    <row r="134" spans="18:18" x14ac:dyDescent="0.3">
      <c r="R134" s="702"/>
    </row>
    <row r="135" spans="18:18" x14ac:dyDescent="0.3">
      <c r="R135" s="702"/>
    </row>
    <row r="136" spans="18:18" x14ac:dyDescent="0.3">
      <c r="R136" s="702"/>
    </row>
    <row r="137" spans="18:18" x14ac:dyDescent="0.3">
      <c r="R137" s="702"/>
    </row>
    <row r="138" spans="18:18" x14ac:dyDescent="0.3">
      <c r="R138" s="702"/>
    </row>
    <row r="139" spans="18:18" x14ac:dyDescent="0.3">
      <c r="R139" s="702"/>
    </row>
    <row r="140" spans="18:18" x14ac:dyDescent="0.3">
      <c r="R140" s="702"/>
    </row>
    <row r="141" spans="18:18" x14ac:dyDescent="0.3">
      <c r="R141" s="702"/>
    </row>
    <row r="142" spans="18:18" x14ac:dyDescent="0.3">
      <c r="R142" s="702"/>
    </row>
    <row r="143" spans="18:18" x14ac:dyDescent="0.3">
      <c r="R143" s="702"/>
    </row>
    <row r="144" spans="18:18" x14ac:dyDescent="0.3">
      <c r="R144" s="702"/>
    </row>
    <row r="145" spans="18:18" x14ac:dyDescent="0.3">
      <c r="R145" s="702"/>
    </row>
    <row r="146" spans="18:18" x14ac:dyDescent="0.3">
      <c r="R146" s="702"/>
    </row>
    <row r="147" spans="18:18" x14ac:dyDescent="0.3">
      <c r="R147" s="702"/>
    </row>
    <row r="148" spans="18:18" x14ac:dyDescent="0.3">
      <c r="R148" s="702"/>
    </row>
    <row r="149" spans="18:18" x14ac:dyDescent="0.3">
      <c r="R149" s="702"/>
    </row>
    <row r="150" spans="18:18" x14ac:dyDescent="0.3">
      <c r="R150" s="702"/>
    </row>
    <row r="151" spans="18:18" x14ac:dyDescent="0.3">
      <c r="R151" s="702"/>
    </row>
    <row r="152" spans="18:18" x14ac:dyDescent="0.3">
      <c r="R152" s="702"/>
    </row>
    <row r="153" spans="18:18" x14ac:dyDescent="0.3">
      <c r="R153" s="702"/>
    </row>
    <row r="154" spans="18:18" x14ac:dyDescent="0.3">
      <c r="R154" s="702"/>
    </row>
    <row r="155" spans="18:18" x14ac:dyDescent="0.3">
      <c r="R155" s="702"/>
    </row>
    <row r="156" spans="18:18" x14ac:dyDescent="0.3">
      <c r="R156" s="702"/>
    </row>
    <row r="157" spans="18:18" x14ac:dyDescent="0.3">
      <c r="R157" s="702"/>
    </row>
    <row r="158" spans="18:18" x14ac:dyDescent="0.3">
      <c r="R158" s="702"/>
    </row>
    <row r="159" spans="18:18" x14ac:dyDescent="0.3">
      <c r="R159" s="702"/>
    </row>
    <row r="160" spans="18:18" x14ac:dyDescent="0.3">
      <c r="R160" s="702"/>
    </row>
    <row r="161" spans="18:18" x14ac:dyDescent="0.3">
      <c r="R161" s="702"/>
    </row>
    <row r="162" spans="18:18" x14ac:dyDescent="0.3">
      <c r="R162" s="702"/>
    </row>
    <row r="163" spans="18:18" x14ac:dyDescent="0.3">
      <c r="R163" s="702"/>
    </row>
    <row r="164" spans="18:18" x14ac:dyDescent="0.3">
      <c r="R164" s="702"/>
    </row>
    <row r="165" spans="18:18" x14ac:dyDescent="0.3">
      <c r="R165" s="702"/>
    </row>
    <row r="166" spans="18:18" x14ac:dyDescent="0.3">
      <c r="R166" s="702"/>
    </row>
    <row r="167" spans="18:18" x14ac:dyDescent="0.3">
      <c r="R167" s="702"/>
    </row>
    <row r="168" spans="18:18" x14ac:dyDescent="0.3">
      <c r="R168" s="702"/>
    </row>
    <row r="169" spans="18:18" x14ac:dyDescent="0.3">
      <c r="R169" s="702"/>
    </row>
    <row r="170" spans="18:18" x14ac:dyDescent="0.3">
      <c r="R170" s="702"/>
    </row>
    <row r="171" spans="18:18" x14ac:dyDescent="0.3">
      <c r="R171" s="702"/>
    </row>
    <row r="172" spans="18:18" x14ac:dyDescent="0.3">
      <c r="R172" s="702"/>
    </row>
    <row r="173" spans="18:18" x14ac:dyDescent="0.3">
      <c r="R173" s="702"/>
    </row>
    <row r="174" spans="18:18" x14ac:dyDescent="0.3">
      <c r="R174" s="702"/>
    </row>
    <row r="175" spans="18:18" x14ac:dyDescent="0.3">
      <c r="R175" s="702"/>
    </row>
    <row r="176" spans="18:18" x14ac:dyDescent="0.3">
      <c r="R176" s="702"/>
    </row>
    <row r="177" spans="18:18" x14ac:dyDescent="0.3">
      <c r="R177" s="702"/>
    </row>
    <row r="178" spans="18:18" x14ac:dyDescent="0.3">
      <c r="R178" s="702"/>
    </row>
    <row r="179" spans="18:18" x14ac:dyDescent="0.3">
      <c r="R179" s="702"/>
    </row>
    <row r="180" spans="18:18" x14ac:dyDescent="0.3">
      <c r="R180" s="702"/>
    </row>
    <row r="181" spans="18:18" x14ac:dyDescent="0.3">
      <c r="R181" s="702"/>
    </row>
    <row r="182" spans="18:18" x14ac:dyDescent="0.3">
      <c r="R182" s="702"/>
    </row>
    <row r="183" spans="18:18" x14ac:dyDescent="0.3">
      <c r="R183" s="702"/>
    </row>
    <row r="184" spans="18:18" x14ac:dyDescent="0.3">
      <c r="R184" s="702"/>
    </row>
    <row r="185" spans="18:18" x14ac:dyDescent="0.3">
      <c r="R185" s="702"/>
    </row>
    <row r="186" spans="18:18" x14ac:dyDescent="0.3">
      <c r="R186" s="702"/>
    </row>
    <row r="187" spans="18:18" x14ac:dyDescent="0.3">
      <c r="R187" s="702"/>
    </row>
    <row r="188" spans="18:18" x14ac:dyDescent="0.3">
      <c r="R188" s="702"/>
    </row>
    <row r="189" spans="18:18" x14ac:dyDescent="0.3">
      <c r="R189" s="702"/>
    </row>
    <row r="190" spans="18:18" x14ac:dyDescent="0.3">
      <c r="R190" s="702"/>
    </row>
    <row r="191" spans="18:18" x14ac:dyDescent="0.3">
      <c r="R191" s="702"/>
    </row>
    <row r="192" spans="18:18" x14ac:dyDescent="0.3">
      <c r="R192" s="702"/>
    </row>
    <row r="193" spans="18:18" x14ac:dyDescent="0.3">
      <c r="R193" s="702"/>
    </row>
    <row r="194" spans="18:18" x14ac:dyDescent="0.3">
      <c r="R194" s="702"/>
    </row>
    <row r="195" spans="18:18" x14ac:dyDescent="0.3">
      <c r="R195" s="702"/>
    </row>
    <row r="196" spans="18:18" x14ac:dyDescent="0.3">
      <c r="R196" s="702"/>
    </row>
    <row r="197" spans="18:18" x14ac:dyDescent="0.3">
      <c r="R197" s="702"/>
    </row>
    <row r="198" spans="18:18" x14ac:dyDescent="0.3">
      <c r="R198" s="702"/>
    </row>
    <row r="199" spans="18:18" x14ac:dyDescent="0.3">
      <c r="R199" s="702"/>
    </row>
    <row r="200" spans="18:18" x14ac:dyDescent="0.3">
      <c r="R200" s="702"/>
    </row>
    <row r="201" spans="18:18" x14ac:dyDescent="0.3">
      <c r="R201" s="702"/>
    </row>
    <row r="202" spans="18:18" x14ac:dyDescent="0.3">
      <c r="R202" s="702"/>
    </row>
    <row r="203" spans="18:18" x14ac:dyDescent="0.3">
      <c r="R203" s="702"/>
    </row>
    <row r="204" spans="18:18" x14ac:dyDescent="0.3">
      <c r="R204" s="702"/>
    </row>
    <row r="205" spans="18:18" x14ac:dyDescent="0.3">
      <c r="R205" s="702"/>
    </row>
    <row r="206" spans="18:18" x14ac:dyDescent="0.3">
      <c r="R206" s="702"/>
    </row>
    <row r="207" spans="18:18" x14ac:dyDescent="0.3">
      <c r="R207" s="702"/>
    </row>
    <row r="208" spans="18:18" x14ac:dyDescent="0.3">
      <c r="R208" s="702"/>
    </row>
    <row r="209" spans="18:18" x14ac:dyDescent="0.3">
      <c r="R209" s="702"/>
    </row>
    <row r="210" spans="18:18" x14ac:dyDescent="0.3">
      <c r="R210" s="702"/>
    </row>
    <row r="211" spans="18:18" x14ac:dyDescent="0.3">
      <c r="R211" s="702"/>
    </row>
    <row r="212" spans="18:18" x14ac:dyDescent="0.3">
      <c r="R212" s="702"/>
    </row>
    <row r="213" spans="18:18" x14ac:dyDescent="0.3">
      <c r="R213" s="702"/>
    </row>
    <row r="214" spans="18:18" x14ac:dyDescent="0.3">
      <c r="R214" s="702"/>
    </row>
    <row r="215" spans="18:18" x14ac:dyDescent="0.3">
      <c r="R215" s="702"/>
    </row>
    <row r="216" spans="18:18" x14ac:dyDescent="0.3">
      <c r="R216" s="702"/>
    </row>
    <row r="217" spans="18:18" x14ac:dyDescent="0.3">
      <c r="R217" s="702"/>
    </row>
    <row r="218" spans="18:18" x14ac:dyDescent="0.3">
      <c r="R218" s="702"/>
    </row>
    <row r="219" spans="18:18" x14ac:dyDescent="0.3">
      <c r="R219" s="702"/>
    </row>
    <row r="220" spans="18:18" x14ac:dyDescent="0.3">
      <c r="R220" s="702"/>
    </row>
    <row r="221" spans="18:18" x14ac:dyDescent="0.3">
      <c r="R221" s="702"/>
    </row>
    <row r="222" spans="18:18" x14ac:dyDescent="0.3">
      <c r="R222" s="702"/>
    </row>
    <row r="223" spans="18:18" x14ac:dyDescent="0.3">
      <c r="R223" s="702"/>
    </row>
    <row r="224" spans="18:18" x14ac:dyDescent="0.3">
      <c r="R224" s="702"/>
    </row>
    <row r="225" spans="18:18" x14ac:dyDescent="0.3">
      <c r="R225" s="702"/>
    </row>
    <row r="226" spans="18:18" x14ac:dyDescent="0.3">
      <c r="R226" s="702"/>
    </row>
    <row r="227" spans="18:18" x14ac:dyDescent="0.3">
      <c r="R227" s="702"/>
    </row>
    <row r="228" spans="18:18" x14ac:dyDescent="0.3">
      <c r="R228" s="702"/>
    </row>
    <row r="229" spans="18:18" x14ac:dyDescent="0.3">
      <c r="R229" s="702"/>
    </row>
    <row r="230" spans="18:18" x14ac:dyDescent="0.3">
      <c r="R230" s="702"/>
    </row>
    <row r="231" spans="18:18" x14ac:dyDescent="0.3">
      <c r="R231" s="702"/>
    </row>
    <row r="232" spans="18:18" x14ac:dyDescent="0.3">
      <c r="R232" s="702"/>
    </row>
    <row r="233" spans="18:18" x14ac:dyDescent="0.3">
      <c r="R233" s="702"/>
    </row>
    <row r="234" spans="18:18" x14ac:dyDescent="0.3">
      <c r="R234" s="702"/>
    </row>
    <row r="235" spans="18:18" x14ac:dyDescent="0.3">
      <c r="R235" s="702"/>
    </row>
    <row r="236" spans="18:18" x14ac:dyDescent="0.3">
      <c r="R236" s="702"/>
    </row>
    <row r="237" spans="18:18" x14ac:dyDescent="0.3">
      <c r="R237" s="702"/>
    </row>
    <row r="238" spans="18:18" x14ac:dyDescent="0.3">
      <c r="R238" s="702"/>
    </row>
    <row r="239" spans="18:18" x14ac:dyDescent="0.3">
      <c r="R239" s="702"/>
    </row>
    <row r="240" spans="18:18" x14ac:dyDescent="0.3">
      <c r="R240" s="702"/>
    </row>
    <row r="241" spans="18:18" x14ac:dyDescent="0.3">
      <c r="R241" s="702"/>
    </row>
    <row r="242" spans="18:18" x14ac:dyDescent="0.3">
      <c r="R242" s="702"/>
    </row>
    <row r="243" spans="18:18" x14ac:dyDescent="0.3">
      <c r="R243" s="702"/>
    </row>
    <row r="244" spans="18:18" x14ac:dyDescent="0.3">
      <c r="R244" s="702"/>
    </row>
    <row r="245" spans="18:18" x14ac:dyDescent="0.3">
      <c r="R245" s="702"/>
    </row>
    <row r="246" spans="18:18" x14ac:dyDescent="0.3">
      <c r="R246" s="702"/>
    </row>
    <row r="247" spans="18:18" x14ac:dyDescent="0.3">
      <c r="R247" s="702"/>
    </row>
    <row r="248" spans="18:18" x14ac:dyDescent="0.3">
      <c r="R248" s="702"/>
    </row>
    <row r="249" spans="18:18" x14ac:dyDescent="0.3">
      <c r="R249" s="702"/>
    </row>
    <row r="250" spans="18:18" x14ac:dyDescent="0.3">
      <c r="R250" s="702"/>
    </row>
    <row r="251" spans="18:18" x14ac:dyDescent="0.3">
      <c r="R251" s="702"/>
    </row>
    <row r="252" spans="18:18" x14ac:dyDescent="0.3">
      <c r="R252" s="702"/>
    </row>
    <row r="253" spans="18:18" x14ac:dyDescent="0.3">
      <c r="R253" s="702"/>
    </row>
    <row r="254" spans="18:18" x14ac:dyDescent="0.3">
      <c r="R254" s="702"/>
    </row>
    <row r="255" spans="18:18" x14ac:dyDescent="0.3">
      <c r="R255" s="702"/>
    </row>
    <row r="256" spans="18:18" x14ac:dyDescent="0.3">
      <c r="R256" s="702"/>
    </row>
    <row r="257" spans="18:18" x14ac:dyDescent="0.3">
      <c r="R257" s="702"/>
    </row>
    <row r="258" spans="18:18" x14ac:dyDescent="0.3">
      <c r="R258" s="702"/>
    </row>
    <row r="259" spans="18:18" x14ac:dyDescent="0.3">
      <c r="R259" s="702"/>
    </row>
    <row r="260" spans="18:18" x14ac:dyDescent="0.3">
      <c r="R260" s="702"/>
    </row>
    <row r="261" spans="18:18" x14ac:dyDescent="0.3">
      <c r="R261" s="702"/>
    </row>
    <row r="262" spans="18:18" x14ac:dyDescent="0.3">
      <c r="R262" s="702"/>
    </row>
    <row r="263" spans="18:18" x14ac:dyDescent="0.3">
      <c r="R263" s="702"/>
    </row>
    <row r="264" spans="18:18" x14ac:dyDescent="0.3">
      <c r="R264" s="702"/>
    </row>
    <row r="265" spans="18:18" x14ac:dyDescent="0.3">
      <c r="R265" s="702"/>
    </row>
    <row r="266" spans="18:18" x14ac:dyDescent="0.3">
      <c r="R266" s="702"/>
    </row>
    <row r="267" spans="18:18" x14ac:dyDescent="0.3">
      <c r="R267" s="702"/>
    </row>
    <row r="268" spans="18:18" x14ac:dyDescent="0.3">
      <c r="R268" s="702"/>
    </row>
    <row r="269" spans="18:18" x14ac:dyDescent="0.3">
      <c r="R269" s="702"/>
    </row>
    <row r="270" spans="18:18" x14ac:dyDescent="0.3">
      <c r="R270" s="702"/>
    </row>
    <row r="271" spans="18:18" x14ac:dyDescent="0.3">
      <c r="R271" s="702"/>
    </row>
    <row r="272" spans="18:18" x14ac:dyDescent="0.3">
      <c r="R272" s="702"/>
    </row>
    <row r="273" spans="18:18" x14ac:dyDescent="0.3">
      <c r="R273" s="702"/>
    </row>
    <row r="274" spans="18:18" x14ac:dyDescent="0.3">
      <c r="R274" s="702"/>
    </row>
    <row r="275" spans="18:18" x14ac:dyDescent="0.3">
      <c r="R275" s="702"/>
    </row>
    <row r="276" spans="18:18" x14ac:dyDescent="0.3">
      <c r="R276" s="702"/>
    </row>
    <row r="277" spans="18:18" x14ac:dyDescent="0.3">
      <c r="R277" s="702"/>
    </row>
    <row r="278" spans="18:18" x14ac:dyDescent="0.3">
      <c r="R278" s="702"/>
    </row>
    <row r="279" spans="18:18" x14ac:dyDescent="0.3">
      <c r="R279" s="702"/>
    </row>
    <row r="280" spans="18:18" x14ac:dyDescent="0.3">
      <c r="R280" s="702"/>
    </row>
    <row r="281" spans="18:18" x14ac:dyDescent="0.3">
      <c r="R281" s="702"/>
    </row>
    <row r="282" spans="18:18" x14ac:dyDescent="0.3">
      <c r="R282" s="702"/>
    </row>
    <row r="283" spans="18:18" x14ac:dyDescent="0.3">
      <c r="R283" s="702"/>
    </row>
    <row r="284" spans="18:18" x14ac:dyDescent="0.3">
      <c r="R284" s="702"/>
    </row>
    <row r="285" spans="18:18" x14ac:dyDescent="0.3">
      <c r="R285" s="702"/>
    </row>
    <row r="286" spans="18:18" x14ac:dyDescent="0.3">
      <c r="R286" s="702"/>
    </row>
    <row r="287" spans="18:18" x14ac:dyDescent="0.3">
      <c r="R287" s="702"/>
    </row>
    <row r="288" spans="18:18" x14ac:dyDescent="0.3">
      <c r="R288" s="702"/>
    </row>
    <row r="289" spans="18:18" x14ac:dyDescent="0.3">
      <c r="R289" s="702"/>
    </row>
    <row r="290" spans="18:18" x14ac:dyDescent="0.3">
      <c r="R290" s="702"/>
    </row>
    <row r="291" spans="18:18" x14ac:dyDescent="0.3">
      <c r="R291" s="702"/>
    </row>
    <row r="292" spans="18:18" x14ac:dyDescent="0.3">
      <c r="R292" s="702"/>
    </row>
    <row r="293" spans="18:18" x14ac:dyDescent="0.3">
      <c r="R293" s="702"/>
    </row>
    <row r="294" spans="18:18" x14ac:dyDescent="0.3">
      <c r="R294" s="702"/>
    </row>
    <row r="295" spans="18:18" x14ac:dyDescent="0.3">
      <c r="R295" s="702"/>
    </row>
    <row r="296" spans="18:18" x14ac:dyDescent="0.3">
      <c r="R296" s="702"/>
    </row>
    <row r="297" spans="18:18" x14ac:dyDescent="0.3">
      <c r="R297" s="702"/>
    </row>
    <row r="298" spans="18:18" x14ac:dyDescent="0.3">
      <c r="R298" s="702"/>
    </row>
    <row r="299" spans="18:18" x14ac:dyDescent="0.3">
      <c r="R299" s="702"/>
    </row>
    <row r="300" spans="18:18" x14ac:dyDescent="0.3">
      <c r="R300" s="702"/>
    </row>
    <row r="301" spans="18:18" x14ac:dyDescent="0.3">
      <c r="R301" s="702"/>
    </row>
    <row r="302" spans="18:18" x14ac:dyDescent="0.3">
      <c r="R302" s="702"/>
    </row>
    <row r="303" spans="18:18" x14ac:dyDescent="0.3">
      <c r="R303" s="702"/>
    </row>
    <row r="304" spans="18:18" x14ac:dyDescent="0.3">
      <c r="R304" s="702"/>
    </row>
    <row r="305" spans="18:18" x14ac:dyDescent="0.3">
      <c r="R305" s="702"/>
    </row>
    <row r="306" spans="18:18" x14ac:dyDescent="0.3">
      <c r="R306" s="702"/>
    </row>
    <row r="307" spans="18:18" x14ac:dyDescent="0.3">
      <c r="R307" s="702"/>
    </row>
    <row r="308" spans="18:18" x14ac:dyDescent="0.3">
      <c r="R308" s="702"/>
    </row>
    <row r="309" spans="18:18" x14ac:dyDescent="0.3">
      <c r="R309" s="702"/>
    </row>
    <row r="310" spans="18:18" x14ac:dyDescent="0.3">
      <c r="R310" s="702"/>
    </row>
    <row r="311" spans="18:18" x14ac:dyDescent="0.3">
      <c r="R311" s="702"/>
    </row>
    <row r="312" spans="18:18" x14ac:dyDescent="0.3">
      <c r="R312" s="702"/>
    </row>
    <row r="313" spans="18:18" x14ac:dyDescent="0.3">
      <c r="R313" s="702"/>
    </row>
    <row r="314" spans="18:18" x14ac:dyDescent="0.3">
      <c r="R314" s="702"/>
    </row>
    <row r="315" spans="18:18" x14ac:dyDescent="0.3">
      <c r="R315" s="702"/>
    </row>
    <row r="316" spans="18:18" x14ac:dyDescent="0.3">
      <c r="R316" s="702"/>
    </row>
    <row r="317" spans="18:18" x14ac:dyDescent="0.3">
      <c r="R317" s="702"/>
    </row>
    <row r="318" spans="18:18" x14ac:dyDescent="0.3">
      <c r="R318" s="702"/>
    </row>
    <row r="319" spans="18:18" x14ac:dyDescent="0.3">
      <c r="R319" s="702"/>
    </row>
    <row r="320" spans="18:18" x14ac:dyDescent="0.3">
      <c r="R320" s="702"/>
    </row>
    <row r="321" spans="18:18" x14ac:dyDescent="0.3">
      <c r="R321" s="702"/>
    </row>
    <row r="322" spans="18:18" x14ac:dyDescent="0.3">
      <c r="R322" s="702"/>
    </row>
    <row r="323" spans="18:18" x14ac:dyDescent="0.3">
      <c r="R323" s="702"/>
    </row>
    <row r="324" spans="18:18" x14ac:dyDescent="0.3">
      <c r="R324" s="702"/>
    </row>
    <row r="325" spans="18:18" x14ac:dyDescent="0.3">
      <c r="R325" s="702"/>
    </row>
    <row r="326" spans="18:18" x14ac:dyDescent="0.3">
      <c r="R326" s="702"/>
    </row>
    <row r="327" spans="18:18" x14ac:dyDescent="0.3">
      <c r="R327" s="702"/>
    </row>
    <row r="328" spans="18:18" x14ac:dyDescent="0.3">
      <c r="R328" s="702"/>
    </row>
    <row r="329" spans="18:18" x14ac:dyDescent="0.3">
      <c r="R329" s="702"/>
    </row>
    <row r="330" spans="18:18" x14ac:dyDescent="0.3">
      <c r="R330" s="702"/>
    </row>
    <row r="331" spans="18:18" x14ac:dyDescent="0.3">
      <c r="R331" s="702"/>
    </row>
    <row r="332" spans="18:18" x14ac:dyDescent="0.3">
      <c r="R332" s="702"/>
    </row>
    <row r="333" spans="18:18" x14ac:dyDescent="0.3">
      <c r="R333" s="702"/>
    </row>
    <row r="334" spans="18:18" x14ac:dyDescent="0.3">
      <c r="R334" s="702"/>
    </row>
    <row r="335" spans="18:18" x14ac:dyDescent="0.3">
      <c r="R335" s="702"/>
    </row>
    <row r="336" spans="18:18" x14ac:dyDescent="0.3">
      <c r="R336" s="702"/>
    </row>
    <row r="337" spans="18:18" x14ac:dyDescent="0.3">
      <c r="R337" s="702"/>
    </row>
    <row r="338" spans="18:18" x14ac:dyDescent="0.3">
      <c r="R338" s="702"/>
    </row>
    <row r="339" spans="18:18" x14ac:dyDescent="0.3">
      <c r="R339" s="702"/>
    </row>
    <row r="340" spans="18:18" x14ac:dyDescent="0.3">
      <c r="R340" s="702"/>
    </row>
    <row r="341" spans="18:18" x14ac:dyDescent="0.3">
      <c r="R341" s="702"/>
    </row>
    <row r="342" spans="18:18" x14ac:dyDescent="0.3">
      <c r="R342" s="702"/>
    </row>
    <row r="343" spans="18:18" x14ac:dyDescent="0.3">
      <c r="R343" s="702"/>
    </row>
    <row r="344" spans="18:18" x14ac:dyDescent="0.3">
      <c r="R344" s="702"/>
    </row>
    <row r="345" spans="18:18" x14ac:dyDescent="0.3">
      <c r="R345" s="702"/>
    </row>
    <row r="346" spans="18:18" x14ac:dyDescent="0.3">
      <c r="R346" s="702"/>
    </row>
    <row r="347" spans="18:18" x14ac:dyDescent="0.3">
      <c r="R347" s="702"/>
    </row>
    <row r="348" spans="18:18" x14ac:dyDescent="0.3">
      <c r="R348" s="702"/>
    </row>
    <row r="349" spans="18:18" x14ac:dyDescent="0.3">
      <c r="R349" s="702"/>
    </row>
    <row r="350" spans="18:18" x14ac:dyDescent="0.3">
      <c r="R350" s="702"/>
    </row>
    <row r="351" spans="18:18" x14ac:dyDescent="0.3">
      <c r="R351" s="702"/>
    </row>
    <row r="352" spans="18:18" x14ac:dyDescent="0.3">
      <c r="R352" s="702"/>
    </row>
    <row r="353" spans="18:18" x14ac:dyDescent="0.3">
      <c r="R353" s="702"/>
    </row>
    <row r="354" spans="18:18" x14ac:dyDescent="0.3">
      <c r="R354" s="702"/>
    </row>
    <row r="355" spans="18:18" x14ac:dyDescent="0.3">
      <c r="R355" s="702"/>
    </row>
    <row r="356" spans="18:18" x14ac:dyDescent="0.3">
      <c r="R356" s="702"/>
    </row>
    <row r="357" spans="18:18" x14ac:dyDescent="0.3">
      <c r="R357" s="702"/>
    </row>
    <row r="358" spans="18:18" x14ac:dyDescent="0.3">
      <c r="R358" s="702"/>
    </row>
    <row r="359" spans="18:18" x14ac:dyDescent="0.3">
      <c r="R359" s="702"/>
    </row>
    <row r="360" spans="18:18" x14ac:dyDescent="0.3">
      <c r="R360" s="702"/>
    </row>
    <row r="361" spans="18:18" x14ac:dyDescent="0.3">
      <c r="R361" s="702"/>
    </row>
    <row r="362" spans="18:18" x14ac:dyDescent="0.3">
      <c r="R362" s="702"/>
    </row>
    <row r="363" spans="18:18" x14ac:dyDescent="0.3">
      <c r="R363" s="702"/>
    </row>
    <row r="364" spans="18:18" x14ac:dyDescent="0.3">
      <c r="R364" s="702"/>
    </row>
    <row r="365" spans="18:18" x14ac:dyDescent="0.3">
      <c r="R365" s="702"/>
    </row>
    <row r="366" spans="18:18" x14ac:dyDescent="0.3">
      <c r="R366" s="702"/>
    </row>
    <row r="367" spans="18:18" x14ac:dyDescent="0.3">
      <c r="R367" s="702"/>
    </row>
    <row r="368" spans="18:18" x14ac:dyDescent="0.3">
      <c r="R368" s="702"/>
    </row>
    <row r="369" spans="18:18" x14ac:dyDescent="0.3">
      <c r="R369" s="702"/>
    </row>
    <row r="370" spans="18:18" x14ac:dyDescent="0.3">
      <c r="R370" s="702"/>
    </row>
    <row r="371" spans="18:18" x14ac:dyDescent="0.3">
      <c r="R371" s="702"/>
    </row>
    <row r="372" spans="18:18" x14ac:dyDescent="0.3">
      <c r="R372" s="702"/>
    </row>
    <row r="373" spans="18:18" x14ac:dyDescent="0.3">
      <c r="R373" s="702"/>
    </row>
    <row r="374" spans="18:18" x14ac:dyDescent="0.3">
      <c r="R374" s="702"/>
    </row>
    <row r="375" spans="18:18" x14ac:dyDescent="0.3">
      <c r="R375" s="702"/>
    </row>
    <row r="376" spans="18:18" x14ac:dyDescent="0.3">
      <c r="R376" s="702"/>
    </row>
    <row r="377" spans="18:18" x14ac:dyDescent="0.3">
      <c r="R377" s="702"/>
    </row>
    <row r="378" spans="18:18" x14ac:dyDescent="0.3">
      <c r="R378" s="702"/>
    </row>
    <row r="379" spans="18:18" x14ac:dyDescent="0.3">
      <c r="R379" s="702"/>
    </row>
    <row r="380" spans="18:18" x14ac:dyDescent="0.3">
      <c r="R380" s="702"/>
    </row>
    <row r="381" spans="18:18" x14ac:dyDescent="0.3">
      <c r="R381" s="702"/>
    </row>
    <row r="382" spans="18:18" x14ac:dyDescent="0.3">
      <c r="R382" s="702"/>
    </row>
    <row r="383" spans="18:18" x14ac:dyDescent="0.3">
      <c r="R383" s="702"/>
    </row>
    <row r="384" spans="18:18" x14ac:dyDescent="0.3">
      <c r="R384" s="702"/>
    </row>
    <row r="385" spans="18:18" x14ac:dyDescent="0.3">
      <c r="R385" s="702"/>
    </row>
    <row r="386" spans="18:18" x14ac:dyDescent="0.3">
      <c r="R386" s="702"/>
    </row>
    <row r="387" spans="18:18" x14ac:dyDescent="0.3">
      <c r="R387" s="702"/>
    </row>
    <row r="388" spans="18:18" x14ac:dyDescent="0.3">
      <c r="R388" s="702"/>
    </row>
    <row r="389" spans="18:18" x14ac:dyDescent="0.3">
      <c r="R389" s="702"/>
    </row>
    <row r="390" spans="18:18" x14ac:dyDescent="0.3">
      <c r="R390" s="702"/>
    </row>
    <row r="391" spans="18:18" x14ac:dyDescent="0.3">
      <c r="R391" s="702"/>
    </row>
    <row r="392" spans="18:18" x14ac:dyDescent="0.3">
      <c r="R392" s="702"/>
    </row>
    <row r="393" spans="18:18" x14ac:dyDescent="0.3">
      <c r="R393" s="702"/>
    </row>
    <row r="394" spans="18:18" x14ac:dyDescent="0.3">
      <c r="R394" s="702"/>
    </row>
    <row r="395" spans="18:18" x14ac:dyDescent="0.3">
      <c r="R395" s="702"/>
    </row>
    <row r="396" spans="18:18" x14ac:dyDescent="0.3">
      <c r="R396" s="702"/>
    </row>
    <row r="397" spans="18:18" x14ac:dyDescent="0.3">
      <c r="R397" s="702"/>
    </row>
    <row r="398" spans="18:18" x14ac:dyDescent="0.3">
      <c r="R398" s="702"/>
    </row>
    <row r="399" spans="18:18" x14ac:dyDescent="0.3">
      <c r="R399" s="702"/>
    </row>
    <row r="400" spans="18:18" x14ac:dyDescent="0.3">
      <c r="R400" s="702"/>
    </row>
    <row r="401" spans="18:18" x14ac:dyDescent="0.3">
      <c r="R401" s="702"/>
    </row>
    <row r="402" spans="18:18" x14ac:dyDescent="0.3">
      <c r="R402" s="702"/>
    </row>
    <row r="403" spans="18:18" x14ac:dyDescent="0.3">
      <c r="R403" s="702"/>
    </row>
    <row r="404" spans="18:18" x14ac:dyDescent="0.3">
      <c r="R404" s="702"/>
    </row>
    <row r="405" spans="18:18" x14ac:dyDescent="0.3">
      <c r="R405" s="702"/>
    </row>
    <row r="406" spans="18:18" x14ac:dyDescent="0.3">
      <c r="R406" s="702"/>
    </row>
    <row r="407" spans="18:18" x14ac:dyDescent="0.3">
      <c r="R407" s="702"/>
    </row>
    <row r="408" spans="18:18" x14ac:dyDescent="0.3">
      <c r="R408" s="702"/>
    </row>
    <row r="409" spans="18:18" x14ac:dyDescent="0.3">
      <c r="R409" s="702"/>
    </row>
    <row r="410" spans="18:18" x14ac:dyDescent="0.3">
      <c r="R410" s="702"/>
    </row>
    <row r="411" spans="18:18" x14ac:dyDescent="0.3">
      <c r="R411" s="702"/>
    </row>
    <row r="412" spans="18:18" x14ac:dyDescent="0.3">
      <c r="R412" s="702"/>
    </row>
    <row r="413" spans="18:18" x14ac:dyDescent="0.3">
      <c r="R413" s="702"/>
    </row>
    <row r="414" spans="18:18" x14ac:dyDescent="0.3">
      <c r="R414" s="702"/>
    </row>
    <row r="415" spans="18:18" x14ac:dyDescent="0.3">
      <c r="R415" s="702"/>
    </row>
    <row r="416" spans="18:18" x14ac:dyDescent="0.3">
      <c r="R416" s="702"/>
    </row>
    <row r="417" spans="18:18" x14ac:dyDescent="0.3">
      <c r="R417" s="702"/>
    </row>
    <row r="418" spans="18:18" x14ac:dyDescent="0.3">
      <c r="R418" s="702"/>
    </row>
    <row r="419" spans="18:18" x14ac:dyDescent="0.3">
      <c r="R419" s="702"/>
    </row>
    <row r="420" spans="18:18" x14ac:dyDescent="0.3">
      <c r="R420" s="702"/>
    </row>
    <row r="421" spans="18:18" x14ac:dyDescent="0.3">
      <c r="R421" s="702"/>
    </row>
    <row r="422" spans="18:18" x14ac:dyDescent="0.3">
      <c r="R422" s="702"/>
    </row>
    <row r="423" spans="18:18" x14ac:dyDescent="0.3">
      <c r="R423" s="702"/>
    </row>
    <row r="424" spans="18:18" x14ac:dyDescent="0.3">
      <c r="R424" s="702"/>
    </row>
    <row r="425" spans="18:18" x14ac:dyDescent="0.3">
      <c r="R425" s="702"/>
    </row>
    <row r="426" spans="18:18" x14ac:dyDescent="0.3">
      <c r="R426" s="702"/>
    </row>
    <row r="427" spans="18:18" x14ac:dyDescent="0.3">
      <c r="R427" s="702"/>
    </row>
    <row r="428" spans="18:18" x14ac:dyDescent="0.3">
      <c r="R428" s="702"/>
    </row>
    <row r="429" spans="18:18" x14ac:dyDescent="0.3">
      <c r="R429" s="702"/>
    </row>
    <row r="430" spans="18:18" x14ac:dyDescent="0.3">
      <c r="R430" s="702"/>
    </row>
    <row r="431" spans="18:18" x14ac:dyDescent="0.3">
      <c r="R431" s="702"/>
    </row>
    <row r="432" spans="18:18" x14ac:dyDescent="0.3">
      <c r="R432" s="702"/>
    </row>
    <row r="433" spans="18:18" x14ac:dyDescent="0.3">
      <c r="R433" s="702"/>
    </row>
    <row r="434" spans="18:18" x14ac:dyDescent="0.3">
      <c r="R434" s="702"/>
    </row>
    <row r="435" spans="18:18" x14ac:dyDescent="0.3">
      <c r="R435" s="702"/>
    </row>
    <row r="436" spans="18:18" x14ac:dyDescent="0.3">
      <c r="R436" s="702"/>
    </row>
    <row r="437" spans="18:18" x14ac:dyDescent="0.3">
      <c r="R437" s="702"/>
    </row>
    <row r="438" spans="18:18" x14ac:dyDescent="0.3">
      <c r="R438" s="702"/>
    </row>
    <row r="439" spans="18:18" x14ac:dyDescent="0.3">
      <c r="R439" s="702"/>
    </row>
    <row r="440" spans="18:18" x14ac:dyDescent="0.3">
      <c r="R440" s="702"/>
    </row>
    <row r="441" spans="18:18" x14ac:dyDescent="0.3">
      <c r="R441" s="702"/>
    </row>
    <row r="442" spans="18:18" x14ac:dyDescent="0.3">
      <c r="R442" s="702"/>
    </row>
    <row r="443" spans="18:18" x14ac:dyDescent="0.3">
      <c r="R443" s="702"/>
    </row>
    <row r="444" spans="18:18" x14ac:dyDescent="0.3">
      <c r="R444" s="702"/>
    </row>
    <row r="445" spans="18:18" x14ac:dyDescent="0.3">
      <c r="R445" s="702"/>
    </row>
    <row r="446" spans="18:18" x14ac:dyDescent="0.3">
      <c r="R446" s="702"/>
    </row>
    <row r="447" spans="18:18" x14ac:dyDescent="0.3">
      <c r="R447" s="702"/>
    </row>
    <row r="448" spans="18:18" x14ac:dyDescent="0.3">
      <c r="R448" s="702"/>
    </row>
    <row r="449" spans="18:18" x14ac:dyDescent="0.3">
      <c r="R449" s="702"/>
    </row>
    <row r="450" spans="18:18" x14ac:dyDescent="0.3">
      <c r="R450" s="702"/>
    </row>
    <row r="451" spans="18:18" x14ac:dyDescent="0.3">
      <c r="R451" s="702"/>
    </row>
    <row r="452" spans="18:18" x14ac:dyDescent="0.3">
      <c r="R452" s="702"/>
    </row>
    <row r="453" spans="18:18" x14ac:dyDescent="0.3">
      <c r="R453" s="702"/>
    </row>
  </sheetData>
  <sheetProtection selectLockedCells="1"/>
  <mergeCells count="2">
    <mergeCell ref="A1:Q1"/>
    <mergeCell ref="O3:P3"/>
  </mergeCells>
  <conditionalFormatting sqref="A5:Q5 A19:Q81 Q6:Q18">
    <cfRule type="expression" dxfId="7" priority="14">
      <formula>MODE=2</formula>
    </cfRule>
  </conditionalFormatting>
  <hyperlinks>
    <hyperlink ref="O2" r:id="rId1" xr:uid="{00000000-0004-0000-0100-000000000000}"/>
    <hyperlink ref="C3" r:id="rId2" xr:uid="{00000000-0004-0000-0100-000001000000}"/>
  </hyperlinks>
  <pageMargins left="0.7" right="0.7" top="0.75" bottom="0.75" header="0.3" footer="0.3"/>
  <pageSetup orientation="portrait" r:id="rId3"/>
  <drawing r:id="rId4"/>
  <legacyDrawing r:id="rId5"/>
  <oleObjects>
    <mc:AlternateContent xmlns:mc="http://schemas.openxmlformats.org/markup-compatibility/2006">
      <mc:Choice Requires="x14">
        <oleObject progId="Visio.Drawing.11" shapeId="797704" r:id="rId6">
          <objectPr defaultSize="0" autoPict="0" r:id="rId7">
            <anchor moveWithCells="1" sizeWithCells="1">
              <from>
                <xdr:col>0</xdr:col>
                <xdr:colOff>533400</xdr:colOff>
                <xdr:row>18</xdr:row>
                <xdr:rowOff>38100</xdr:rowOff>
              </from>
              <to>
                <xdr:col>6</xdr:col>
                <xdr:colOff>342900</xdr:colOff>
                <xdr:row>35</xdr:row>
                <xdr:rowOff>101600</xdr:rowOff>
              </to>
            </anchor>
          </objectPr>
        </oleObject>
      </mc:Choice>
      <mc:Fallback>
        <oleObject progId="Visio.Drawing.11" shapeId="797704" r:id="rId6"/>
      </mc:Fallback>
    </mc:AlternateContent>
    <mc:AlternateContent xmlns:mc="http://schemas.openxmlformats.org/markup-compatibility/2006">
      <mc:Choice Requires="x14">
        <oleObject progId="Visio.Drawing.15" shapeId="797852" r:id="rId8">
          <objectPr defaultSize="0" autoPict="0" r:id="rId9">
            <anchor moveWithCells="1">
              <from>
                <xdr:col>8</xdr:col>
                <xdr:colOff>419100</xdr:colOff>
                <xdr:row>19</xdr:row>
                <xdr:rowOff>38100</xdr:rowOff>
              </from>
              <to>
                <xdr:col>14</xdr:col>
                <xdr:colOff>25400</xdr:colOff>
                <xdr:row>32</xdr:row>
                <xdr:rowOff>139700</xdr:rowOff>
              </to>
            </anchor>
          </objectPr>
        </oleObject>
      </mc:Choice>
      <mc:Fallback>
        <oleObject progId="Visio.Drawing.15" shapeId="797852"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R452"/>
  <sheetViews>
    <sheetView topLeftCell="C1" zoomScale="115" zoomScaleNormal="115" workbookViewId="0">
      <selection activeCell="G34" sqref="G34"/>
    </sheetView>
  </sheetViews>
  <sheetFormatPr defaultRowHeight="13" x14ac:dyDescent="0.3"/>
  <cols>
    <col min="4" max="4" width="4.36328125" customWidth="1"/>
    <col min="16" max="16" width="20.36328125" customWidth="1"/>
    <col min="17" max="17" width="71.54296875" customWidth="1"/>
    <col min="18" max="18" width="30.453125" style="79" customWidth="1"/>
  </cols>
  <sheetData>
    <row r="1" spans="1:18" ht="39.5" x14ac:dyDescent="0.3">
      <c r="A1" s="796" t="s">
        <v>805</v>
      </c>
      <c r="B1" s="797"/>
      <c r="C1" s="797"/>
      <c r="D1" s="797"/>
      <c r="E1" s="797"/>
      <c r="F1" s="797"/>
      <c r="G1" s="797"/>
      <c r="H1" s="797"/>
      <c r="I1" s="797"/>
      <c r="J1" s="797"/>
      <c r="K1" s="797"/>
      <c r="L1" s="797"/>
      <c r="M1" s="797"/>
      <c r="N1" s="797"/>
      <c r="O1" s="797"/>
      <c r="P1" s="797"/>
      <c r="Q1" s="797"/>
      <c r="R1" s="484"/>
    </row>
    <row r="2" spans="1:18" ht="17.75" customHeight="1" x14ac:dyDescent="0.65">
      <c r="A2" s="487"/>
      <c r="B2" s="488"/>
      <c r="C2" s="488"/>
      <c r="D2" s="488"/>
      <c r="E2" s="488"/>
      <c r="F2" s="488"/>
      <c r="G2" s="488"/>
      <c r="H2" s="488"/>
      <c r="I2" s="488"/>
      <c r="J2" s="488"/>
      <c r="K2" s="488"/>
      <c r="L2" s="488"/>
      <c r="M2" s="488"/>
      <c r="N2" s="488"/>
      <c r="O2" s="502" t="s">
        <v>585</v>
      </c>
      <c r="P2" s="488"/>
      <c r="Q2" s="488"/>
      <c r="R2" s="484"/>
    </row>
    <row r="3" spans="1:18" ht="16.25" customHeight="1" x14ac:dyDescent="0.65">
      <c r="A3" s="489" t="s">
        <v>232</v>
      </c>
      <c r="B3" s="490"/>
      <c r="C3" s="501" t="s">
        <v>233</v>
      </c>
      <c r="D3" s="491"/>
      <c r="E3" s="119"/>
      <c r="F3" s="495" t="s">
        <v>145</v>
      </c>
      <c r="G3" s="496"/>
      <c r="H3" s="488"/>
      <c r="I3" s="488"/>
      <c r="J3" s="496"/>
      <c r="K3" s="497"/>
      <c r="L3" s="498"/>
      <c r="M3" s="484"/>
      <c r="N3" s="484"/>
      <c r="O3" s="786" t="s">
        <v>51</v>
      </c>
      <c r="P3" s="786"/>
      <c r="Q3" s="484" t="s">
        <v>165</v>
      </c>
      <c r="R3" s="484"/>
    </row>
    <row r="4" spans="1:18" ht="14.75" customHeight="1" thickBot="1" x14ac:dyDescent="0.5">
      <c r="A4" s="492"/>
      <c r="B4" s="493"/>
      <c r="C4" s="494"/>
      <c r="D4" s="494"/>
      <c r="E4" s="494"/>
      <c r="F4" s="494"/>
      <c r="G4" s="494"/>
      <c r="H4" s="494"/>
      <c r="I4" s="494"/>
      <c r="J4" s="494"/>
      <c r="K4" s="494"/>
      <c r="L4" s="494"/>
      <c r="M4" s="499"/>
      <c r="N4" s="499"/>
      <c r="O4" s="499"/>
      <c r="P4" s="499"/>
      <c r="Q4" s="500"/>
      <c r="R4" s="484"/>
    </row>
    <row r="5" spans="1:18" x14ac:dyDescent="0.3">
      <c r="A5" s="134"/>
      <c r="B5" s="134"/>
      <c r="C5" s="134"/>
      <c r="D5" s="134"/>
      <c r="E5" s="134"/>
      <c r="F5" s="134"/>
      <c r="G5" s="134"/>
      <c r="H5" s="134"/>
      <c r="I5" s="134"/>
      <c r="J5" s="134"/>
      <c r="K5" s="134"/>
      <c r="L5" s="134"/>
      <c r="M5" s="134"/>
      <c r="N5" s="134"/>
      <c r="O5" s="134"/>
      <c r="P5" s="134"/>
      <c r="Q5" s="134"/>
      <c r="R5" s="484"/>
    </row>
    <row r="6" spans="1:18" x14ac:dyDescent="0.3">
      <c r="A6" s="134"/>
      <c r="B6" s="134"/>
      <c r="C6" s="134"/>
      <c r="D6" s="134"/>
      <c r="E6" s="134"/>
      <c r="F6" s="134"/>
      <c r="G6" s="134"/>
      <c r="H6" s="134"/>
      <c r="I6" s="134"/>
      <c r="J6" s="134"/>
      <c r="K6" s="134"/>
      <c r="L6" s="134"/>
      <c r="M6" s="134"/>
      <c r="N6" s="134"/>
      <c r="O6" s="134"/>
      <c r="P6" s="134"/>
      <c r="Q6" s="134"/>
      <c r="R6" s="484"/>
    </row>
    <row r="7" spans="1:18" ht="13.5" thickBot="1" x14ac:dyDescent="0.35">
      <c r="A7" s="644"/>
      <c r="B7" s="607" t="s">
        <v>813</v>
      </c>
      <c r="C7" s="134"/>
      <c r="D7" s="134"/>
      <c r="E7" s="134"/>
      <c r="F7" s="134"/>
      <c r="G7" s="134"/>
      <c r="H7" s="134"/>
      <c r="I7" s="134"/>
      <c r="J7" s="134"/>
      <c r="K7" s="134"/>
      <c r="L7" s="134"/>
      <c r="M7" s="134"/>
      <c r="N7" s="134"/>
      <c r="O7" s="134"/>
      <c r="P7" s="134"/>
      <c r="Q7" s="134"/>
      <c r="R7" s="484"/>
    </row>
    <row r="8" spans="1:18" x14ac:dyDescent="0.3">
      <c r="A8" s="134"/>
      <c r="B8" s="654" t="s">
        <v>812</v>
      </c>
      <c r="C8" s="658" t="str">
        <f>CHOOSE(INFILTER_TYPE,"","0.01-1","0.1-10")</f>
        <v/>
      </c>
      <c r="D8" s="161" t="s">
        <v>214</v>
      </c>
      <c r="E8" s="655"/>
      <c r="F8" s="654" t="s">
        <v>809</v>
      </c>
      <c r="G8" s="293">
        <v>1</v>
      </c>
      <c r="H8" s="161" t="s">
        <v>214</v>
      </c>
      <c r="I8" s="134"/>
      <c r="J8" s="134"/>
      <c r="K8" s="134"/>
      <c r="L8" s="134"/>
      <c r="M8" s="134"/>
      <c r="N8" s="134"/>
      <c r="O8" s="134"/>
      <c r="P8" s="134"/>
      <c r="Q8" s="134"/>
      <c r="R8" s="484"/>
    </row>
    <row r="9" spans="1:18" x14ac:dyDescent="0.3">
      <c r="A9" s="134"/>
      <c r="B9" s="124" t="str">
        <f>CHOOSE(INFILTER_TYPE,"","Suggested Cinj","Suggested Cf")</f>
        <v/>
      </c>
      <c r="C9" s="127" t="str">
        <f>CHOOSE(INFILTER_TYPE,"",'Standard Value Calculator'!S24,'Standard Value Calculator'!S23)</f>
        <v/>
      </c>
      <c r="D9" s="162" t="s">
        <v>215</v>
      </c>
      <c r="E9" s="134"/>
      <c r="F9" s="607" t="str">
        <f>CHOOSE(INFILTER_TYPE,"","Chosen Cinj","Chosen Cf")</f>
        <v/>
      </c>
      <c r="G9" s="128">
        <v>6.8000000000000005E-2</v>
      </c>
      <c r="H9" s="162" t="s">
        <v>215</v>
      </c>
      <c r="I9" s="134"/>
      <c r="J9" s="134"/>
      <c r="K9" s="134"/>
      <c r="L9" s="134"/>
      <c r="M9" s="134"/>
      <c r="N9" s="134"/>
      <c r="O9" s="134"/>
      <c r="P9" s="134"/>
      <c r="Q9" s="134"/>
      <c r="R9" s="484"/>
    </row>
    <row r="10" spans="1:18" x14ac:dyDescent="0.3">
      <c r="A10" s="134"/>
      <c r="B10" s="124" t="s">
        <v>807</v>
      </c>
      <c r="C10" s="124" t="str">
        <f>CHOOSE(INFILTER_TYPE,"",CHOOSE(OSC,"DNP",'Standard Value Calculator'!S25),'Standard Value Calculator'!S28)</f>
        <v/>
      </c>
      <c r="D10" s="162" t="s">
        <v>215</v>
      </c>
      <c r="E10" s="134"/>
      <c r="F10" s="607" t="s">
        <v>810</v>
      </c>
      <c r="G10" s="128">
        <v>3.3000000000000002E-2</v>
      </c>
      <c r="H10" s="162" t="s">
        <v>215</v>
      </c>
      <c r="I10" s="134"/>
      <c r="J10" s="134"/>
      <c r="K10" s="134"/>
      <c r="L10" s="134"/>
      <c r="M10" s="134"/>
      <c r="N10" s="134"/>
      <c r="O10" s="134"/>
      <c r="P10" s="134"/>
      <c r="Q10" s="134"/>
      <c r="R10" s="484"/>
    </row>
    <row r="11" spans="1:18" ht="13.5" thickBot="1" x14ac:dyDescent="0.35">
      <c r="A11" s="657"/>
      <c r="B11" s="648" t="s">
        <v>808</v>
      </c>
      <c r="C11" s="554" t="str">
        <f>CHOOSE(INFILTER_TYPE,"",'Standard Value Calculator'!S26,Rdamp_PassiveStd)</f>
        <v/>
      </c>
      <c r="D11" s="260" t="s">
        <v>138</v>
      </c>
      <c r="E11" s="643"/>
      <c r="F11" s="656" t="s">
        <v>811</v>
      </c>
      <c r="G11" s="246">
        <v>43.2</v>
      </c>
      <c r="H11" s="260" t="s">
        <v>138</v>
      </c>
      <c r="I11" s="134"/>
      <c r="J11" s="134"/>
      <c r="K11" s="134"/>
      <c r="L11" s="134"/>
      <c r="M11" s="134"/>
      <c r="N11" s="134"/>
      <c r="O11" s="134"/>
      <c r="P11" s="134"/>
      <c r="Q11" s="134"/>
      <c r="R11" s="484"/>
    </row>
    <row r="12" spans="1:18" x14ac:dyDescent="0.3">
      <c r="A12" s="134"/>
      <c r="B12" s="134"/>
      <c r="C12" s="134"/>
      <c r="D12" s="134"/>
      <c r="E12" s="655"/>
      <c r="F12" s="124" t="s">
        <v>784</v>
      </c>
      <c r="G12" s="127">
        <f>-'Variable Management'!B303</f>
        <v>0</v>
      </c>
      <c r="H12" s="162" t="s">
        <v>804</v>
      </c>
      <c r="I12" s="134"/>
      <c r="J12" s="134"/>
      <c r="K12" s="134"/>
      <c r="L12" s="134"/>
      <c r="M12" s="134"/>
      <c r="N12" s="134"/>
      <c r="O12" s="134"/>
      <c r="P12" s="134"/>
      <c r="Q12" s="134"/>
      <c r="R12" s="484"/>
    </row>
    <row r="13" spans="1:18" x14ac:dyDescent="0.3">
      <c r="A13" s="134"/>
      <c r="B13" s="134"/>
      <c r="C13" s="134"/>
      <c r="D13" s="134"/>
      <c r="E13" s="582"/>
      <c r="F13" s="124" t="s">
        <v>787</v>
      </c>
      <c r="G13" s="127">
        <f>VinRipple_dBuV</f>
        <v>107.44749014444535</v>
      </c>
      <c r="H13" s="162" t="s">
        <v>786</v>
      </c>
      <c r="I13" s="134"/>
      <c r="J13" s="134"/>
      <c r="K13" s="134"/>
      <c r="L13" s="134"/>
      <c r="M13" s="134"/>
      <c r="N13" s="134"/>
      <c r="O13" s="134"/>
      <c r="P13" s="134"/>
      <c r="Q13" s="134"/>
      <c r="R13" s="484"/>
    </row>
    <row r="14" spans="1:18" ht="13.5" thickBot="1" x14ac:dyDescent="0.35">
      <c r="A14" s="134"/>
      <c r="B14" s="134"/>
      <c r="C14" s="134"/>
      <c r="D14" s="134"/>
      <c r="E14" s="659"/>
      <c r="F14" s="648" t="s">
        <v>803</v>
      </c>
      <c r="G14" s="554">
        <f>'Variable Management'!B304</f>
        <v>107.44749014444535</v>
      </c>
      <c r="H14" s="260" t="s">
        <v>786</v>
      </c>
      <c r="I14" s="134"/>
      <c r="J14" s="134"/>
      <c r="K14" s="134"/>
      <c r="L14" s="134"/>
      <c r="M14" s="134"/>
      <c r="N14" s="134"/>
      <c r="O14" s="134"/>
      <c r="P14" s="134"/>
      <c r="Q14" s="134"/>
      <c r="R14" s="484"/>
    </row>
    <row r="15" spans="1:18" x14ac:dyDescent="0.3">
      <c r="A15" s="134"/>
      <c r="B15" s="134"/>
      <c r="C15" s="134"/>
      <c r="D15" s="134"/>
      <c r="E15" s="134"/>
      <c r="F15" s="134"/>
      <c r="G15" s="134"/>
      <c r="H15" s="134"/>
      <c r="I15" s="134"/>
      <c r="J15" s="134"/>
      <c r="K15" s="134"/>
      <c r="L15" s="134"/>
      <c r="M15" s="134"/>
      <c r="N15" s="134"/>
      <c r="O15" s="134"/>
      <c r="P15" s="134"/>
      <c r="Q15" s="134"/>
      <c r="R15" s="484"/>
    </row>
    <row r="16" spans="1:18" x14ac:dyDescent="0.3">
      <c r="A16" s="134"/>
      <c r="B16" s="134"/>
      <c r="C16" s="134"/>
      <c r="D16" s="134"/>
      <c r="E16" s="134"/>
      <c r="F16" s="134"/>
      <c r="G16" s="134"/>
      <c r="H16" s="134"/>
      <c r="I16" s="134"/>
      <c r="J16" s="134"/>
      <c r="K16" s="134"/>
      <c r="L16" s="134"/>
      <c r="M16" s="134"/>
      <c r="N16" s="134"/>
      <c r="O16" s="134"/>
      <c r="P16" s="134"/>
      <c r="Q16" s="134"/>
      <c r="R16" s="484"/>
    </row>
    <row r="17" spans="1:18" x14ac:dyDescent="0.3">
      <c r="A17" s="134"/>
      <c r="B17" s="134"/>
      <c r="C17" s="134"/>
      <c r="D17" s="134"/>
      <c r="E17" s="134"/>
      <c r="F17" s="134"/>
      <c r="G17" s="134"/>
      <c r="H17" s="134"/>
      <c r="I17" s="134"/>
      <c r="J17" s="134"/>
      <c r="K17" s="134"/>
      <c r="L17" s="134"/>
      <c r="M17" s="134"/>
      <c r="N17" s="134"/>
      <c r="O17" s="134"/>
      <c r="P17" s="134"/>
      <c r="Q17" s="134"/>
      <c r="R17" s="484"/>
    </row>
    <row r="18" spans="1:18" x14ac:dyDescent="0.3">
      <c r="A18" s="134"/>
      <c r="B18" s="134"/>
      <c r="C18" s="134"/>
      <c r="D18" s="134"/>
      <c r="E18" s="134"/>
      <c r="F18" s="134"/>
      <c r="G18" s="134"/>
      <c r="H18" s="134"/>
      <c r="I18" s="134"/>
      <c r="J18" s="134"/>
      <c r="K18" s="134"/>
      <c r="L18" s="134"/>
      <c r="M18" s="134"/>
      <c r="N18" s="134"/>
      <c r="O18" s="134"/>
      <c r="P18" s="134"/>
      <c r="Q18" s="134"/>
      <c r="R18" s="484"/>
    </row>
    <row r="19" spans="1:18" x14ac:dyDescent="0.3">
      <c r="A19" s="134"/>
      <c r="B19" s="134"/>
      <c r="C19" s="134"/>
      <c r="D19" s="134"/>
      <c r="E19" s="134"/>
      <c r="F19" s="134"/>
      <c r="G19" s="134"/>
      <c r="H19" s="134"/>
      <c r="I19" s="134"/>
      <c r="J19" s="134"/>
      <c r="K19" s="134"/>
      <c r="L19" s="134"/>
      <c r="M19" s="134"/>
      <c r="N19" s="134"/>
      <c r="O19" s="134"/>
      <c r="P19" s="134"/>
      <c r="Q19" s="134"/>
      <c r="R19" s="484"/>
    </row>
    <row r="20" spans="1:18" x14ac:dyDescent="0.3">
      <c r="A20" s="134"/>
      <c r="B20" s="134"/>
      <c r="C20" s="134"/>
      <c r="D20" s="134"/>
      <c r="E20" s="134"/>
      <c r="F20" s="134"/>
      <c r="G20" s="134"/>
      <c r="H20" s="134"/>
      <c r="I20" s="134"/>
      <c r="J20" s="134"/>
      <c r="K20" s="134"/>
      <c r="L20" s="134"/>
      <c r="M20" s="134"/>
      <c r="N20" s="134"/>
      <c r="O20" s="134"/>
      <c r="P20" s="134"/>
      <c r="Q20" s="134"/>
      <c r="R20" s="484"/>
    </row>
    <row r="21" spans="1:18" x14ac:dyDescent="0.3">
      <c r="A21" s="134"/>
      <c r="B21" s="134"/>
      <c r="C21" s="134"/>
      <c r="D21" s="134"/>
      <c r="E21" s="134"/>
      <c r="F21" s="134"/>
      <c r="G21" s="134"/>
      <c r="H21" s="134"/>
      <c r="I21" s="134"/>
      <c r="J21" s="134"/>
      <c r="K21" s="134"/>
      <c r="L21" s="134"/>
      <c r="M21" s="134"/>
      <c r="N21" s="134"/>
      <c r="O21" s="134"/>
      <c r="P21" s="134"/>
      <c r="Q21" s="134"/>
      <c r="R21" s="484"/>
    </row>
    <row r="22" spans="1:18" x14ac:dyDescent="0.3">
      <c r="A22" s="134"/>
      <c r="B22" s="134"/>
      <c r="C22" s="134"/>
      <c r="D22" s="134"/>
      <c r="E22" s="134"/>
      <c r="F22" s="134"/>
      <c r="G22" s="134"/>
      <c r="H22" s="134"/>
      <c r="I22" s="134"/>
      <c r="J22" s="134"/>
      <c r="K22" s="134"/>
      <c r="L22" s="134"/>
      <c r="M22" s="134"/>
      <c r="N22" s="134"/>
      <c r="O22" s="134"/>
      <c r="P22" s="134"/>
      <c r="Q22" s="134"/>
      <c r="R22" s="484"/>
    </row>
    <row r="23" spans="1:18" x14ac:dyDescent="0.3">
      <c r="A23" s="134"/>
      <c r="B23" s="134"/>
      <c r="C23" s="134"/>
      <c r="D23" s="134"/>
      <c r="E23" s="134"/>
      <c r="F23" s="134"/>
      <c r="G23" s="134"/>
      <c r="H23" s="134"/>
      <c r="I23" s="134"/>
      <c r="J23" s="134"/>
      <c r="K23" s="134"/>
      <c r="L23" s="134"/>
      <c r="M23" s="134"/>
      <c r="N23" s="134"/>
      <c r="O23" s="134"/>
      <c r="P23" s="134"/>
      <c r="Q23" s="134"/>
      <c r="R23" s="484"/>
    </row>
    <row r="24" spans="1:18" x14ac:dyDescent="0.3">
      <c r="A24" s="134"/>
      <c r="B24" s="134"/>
      <c r="C24" s="134"/>
      <c r="D24" s="134"/>
      <c r="E24" s="134"/>
      <c r="F24" s="134"/>
      <c r="G24" s="134"/>
      <c r="H24" s="134"/>
      <c r="I24" s="134"/>
      <c r="J24" s="134"/>
      <c r="K24" s="134"/>
      <c r="L24" s="134"/>
      <c r="M24" s="134"/>
      <c r="N24" s="134"/>
      <c r="O24" s="134"/>
      <c r="P24" s="134"/>
      <c r="Q24" s="134"/>
      <c r="R24" s="484"/>
    </row>
    <row r="25" spans="1:18" x14ac:dyDescent="0.3">
      <c r="A25" s="134"/>
      <c r="B25" s="134"/>
      <c r="C25" s="134"/>
      <c r="D25" s="134"/>
      <c r="E25" s="134"/>
      <c r="F25" s="134"/>
      <c r="G25" s="134"/>
      <c r="H25" s="134"/>
      <c r="I25" s="134"/>
      <c r="J25" s="134"/>
      <c r="K25" s="134"/>
      <c r="L25" s="134"/>
      <c r="M25" s="134"/>
      <c r="N25" s="134"/>
      <c r="O25" s="134"/>
      <c r="P25" s="134"/>
      <c r="Q25" s="134"/>
      <c r="R25" s="484"/>
    </row>
    <row r="26" spans="1:18" x14ac:dyDescent="0.3">
      <c r="A26" s="134"/>
      <c r="B26" s="134"/>
      <c r="C26" s="134"/>
      <c r="D26" s="134"/>
      <c r="E26" s="134"/>
      <c r="F26" s="134"/>
      <c r="G26" s="134"/>
      <c r="H26" s="134"/>
      <c r="I26" s="134"/>
      <c r="J26" s="134"/>
      <c r="K26" s="134"/>
      <c r="L26" s="134"/>
      <c r="M26" s="134"/>
      <c r="N26" s="134"/>
      <c r="O26" s="134"/>
      <c r="P26" s="134"/>
      <c r="Q26" s="134"/>
      <c r="R26" s="484"/>
    </row>
    <row r="27" spans="1:18" x14ac:dyDescent="0.3">
      <c r="A27" s="134"/>
      <c r="B27" s="134"/>
      <c r="C27" s="134"/>
      <c r="D27" s="134"/>
      <c r="E27" s="134"/>
      <c r="F27" s="134"/>
      <c r="G27" s="134"/>
      <c r="H27" s="134"/>
      <c r="I27" s="134"/>
      <c r="J27" s="134"/>
      <c r="K27" s="134"/>
      <c r="L27" s="134"/>
      <c r="M27" s="134"/>
      <c r="N27" s="134"/>
      <c r="O27" s="134"/>
      <c r="P27" s="134"/>
      <c r="Q27" s="134"/>
      <c r="R27" s="484"/>
    </row>
    <row r="28" spans="1:18" x14ac:dyDescent="0.3">
      <c r="A28" s="134"/>
      <c r="B28" s="134"/>
      <c r="C28" s="134"/>
      <c r="D28" s="134"/>
      <c r="E28" s="134"/>
      <c r="F28" s="134"/>
      <c r="G28" s="134"/>
      <c r="H28" s="134"/>
      <c r="I28" s="134"/>
      <c r="J28" s="134"/>
      <c r="K28" s="134"/>
      <c r="L28" s="134"/>
      <c r="M28" s="134"/>
      <c r="N28" s="134"/>
      <c r="O28" s="134"/>
      <c r="P28" s="134"/>
      <c r="Q28" s="134"/>
      <c r="R28" s="484"/>
    </row>
    <row r="29" spans="1:18" x14ac:dyDescent="0.3">
      <c r="A29" s="134"/>
      <c r="B29" s="134"/>
      <c r="C29" s="134"/>
      <c r="D29" s="134"/>
      <c r="E29" s="134"/>
      <c r="F29" s="134"/>
      <c r="G29" s="134"/>
      <c r="H29" s="134"/>
      <c r="I29" s="134"/>
      <c r="J29" s="134"/>
      <c r="K29" s="134"/>
      <c r="L29" s="134"/>
      <c r="M29" s="134"/>
      <c r="N29" s="134"/>
      <c r="O29" s="134"/>
      <c r="P29" s="134"/>
      <c r="Q29" s="134"/>
      <c r="R29" s="484"/>
    </row>
    <row r="30" spans="1:18" x14ac:dyDescent="0.3">
      <c r="A30" s="134"/>
      <c r="B30" s="134"/>
      <c r="C30" s="134"/>
      <c r="D30" s="134"/>
      <c r="E30" s="134"/>
      <c r="F30" s="134"/>
      <c r="G30" s="134"/>
      <c r="H30" s="134"/>
      <c r="I30" s="134"/>
      <c r="J30" s="134"/>
      <c r="K30" s="134"/>
      <c r="L30" s="134"/>
      <c r="M30" s="134"/>
      <c r="N30" s="134"/>
      <c r="O30" s="134"/>
      <c r="P30" s="134"/>
      <c r="Q30" s="134"/>
      <c r="R30" s="484"/>
    </row>
    <row r="31" spans="1:18" x14ac:dyDescent="0.3">
      <c r="A31" s="134"/>
      <c r="B31" s="134"/>
      <c r="C31" s="134"/>
      <c r="D31" s="134"/>
      <c r="E31" s="134"/>
      <c r="F31" s="134"/>
      <c r="G31" s="134"/>
      <c r="H31" s="134"/>
      <c r="I31" s="134"/>
      <c r="J31" s="134"/>
      <c r="K31" s="134"/>
      <c r="L31" s="134"/>
      <c r="M31" s="134"/>
      <c r="N31" s="134"/>
      <c r="O31" s="134"/>
      <c r="P31" s="134"/>
      <c r="Q31" s="134"/>
      <c r="R31" s="484"/>
    </row>
    <row r="32" spans="1:18" x14ac:dyDescent="0.3">
      <c r="A32" s="134"/>
      <c r="B32" s="134"/>
      <c r="C32" s="134"/>
      <c r="D32" s="134"/>
      <c r="E32" s="134"/>
      <c r="F32" s="134"/>
      <c r="G32" s="134"/>
      <c r="H32" s="134"/>
      <c r="I32" s="134"/>
      <c r="J32" s="134"/>
      <c r="K32" s="134"/>
      <c r="L32" s="134"/>
      <c r="M32" s="134"/>
      <c r="N32" s="134"/>
      <c r="O32" s="134"/>
      <c r="P32" s="134"/>
      <c r="Q32" s="134"/>
      <c r="R32" s="484"/>
    </row>
    <row r="33" spans="1:18" x14ac:dyDescent="0.3">
      <c r="A33" s="134"/>
      <c r="B33" s="134"/>
      <c r="C33" s="134"/>
      <c r="D33" s="134"/>
      <c r="E33" s="134"/>
      <c r="F33" s="134"/>
      <c r="G33" s="134"/>
      <c r="H33" s="134"/>
      <c r="I33" s="134"/>
      <c r="J33" s="134"/>
      <c r="K33" s="134"/>
      <c r="L33" s="134"/>
      <c r="M33" s="134"/>
      <c r="N33" s="134"/>
      <c r="O33" s="134"/>
      <c r="P33" s="134"/>
      <c r="Q33" s="134"/>
      <c r="R33" s="484"/>
    </row>
    <row r="34" spans="1:18" x14ac:dyDescent="0.3">
      <c r="A34" s="134"/>
      <c r="B34" s="134"/>
      <c r="C34" s="134"/>
      <c r="D34" s="134"/>
      <c r="E34" s="134"/>
      <c r="F34" s="134"/>
      <c r="G34" s="134"/>
      <c r="H34" s="134"/>
      <c r="I34" s="134"/>
      <c r="J34" s="134"/>
      <c r="K34" s="134"/>
      <c r="L34" s="134"/>
      <c r="M34" s="134"/>
      <c r="N34" s="134"/>
      <c r="O34" s="134"/>
      <c r="P34" s="134"/>
      <c r="Q34" s="134"/>
      <c r="R34" s="484"/>
    </row>
    <row r="35" spans="1:18" x14ac:dyDescent="0.3">
      <c r="A35" s="134"/>
      <c r="B35" s="134"/>
      <c r="C35" s="134"/>
      <c r="D35" s="134"/>
      <c r="E35" s="134"/>
      <c r="F35" s="134"/>
      <c r="G35" s="134"/>
      <c r="H35" s="134"/>
      <c r="I35" s="134"/>
      <c r="J35" s="134"/>
      <c r="K35" s="134"/>
      <c r="L35" s="134"/>
      <c r="M35" s="134"/>
      <c r="N35" s="134"/>
      <c r="O35" s="134"/>
      <c r="P35" s="134"/>
      <c r="Q35" s="134"/>
      <c r="R35" s="484"/>
    </row>
    <row r="36" spans="1:18" x14ac:dyDescent="0.3">
      <c r="A36" s="134"/>
      <c r="B36" s="134"/>
      <c r="C36" s="134"/>
      <c r="D36" s="134"/>
      <c r="E36" s="134"/>
      <c r="F36" s="134"/>
      <c r="G36" s="134"/>
      <c r="H36" s="134"/>
      <c r="I36" s="134"/>
      <c r="J36" s="134"/>
      <c r="K36" s="134"/>
      <c r="L36" s="134"/>
      <c r="M36" s="134"/>
      <c r="N36" s="134"/>
      <c r="O36" s="134"/>
      <c r="P36" s="134"/>
      <c r="Q36" s="134"/>
      <c r="R36" s="484"/>
    </row>
    <row r="37" spans="1:18" x14ac:dyDescent="0.3">
      <c r="A37" s="134"/>
      <c r="B37" s="134"/>
      <c r="C37" s="134"/>
      <c r="D37" s="134"/>
      <c r="E37" s="134"/>
      <c r="F37" s="134"/>
      <c r="G37" s="134"/>
      <c r="H37" s="134"/>
      <c r="I37" s="134"/>
      <c r="J37" s="134"/>
      <c r="K37" s="134"/>
      <c r="L37" s="134"/>
      <c r="M37" s="134"/>
      <c r="N37" s="134"/>
      <c r="O37" s="134"/>
      <c r="P37" s="134"/>
      <c r="Q37" s="134"/>
      <c r="R37" s="484"/>
    </row>
    <row r="38" spans="1:18" x14ac:dyDescent="0.3">
      <c r="A38" s="134"/>
      <c r="B38" s="134"/>
      <c r="C38" s="134"/>
      <c r="D38" s="134"/>
      <c r="E38" s="134"/>
      <c r="F38" s="134"/>
      <c r="G38" s="134"/>
      <c r="H38" s="134"/>
      <c r="I38" s="134"/>
      <c r="J38" s="134"/>
      <c r="K38" s="134"/>
      <c r="L38" s="134"/>
      <c r="M38" s="134"/>
      <c r="N38" s="134"/>
      <c r="O38" s="134"/>
      <c r="P38" s="134"/>
      <c r="Q38" s="134"/>
      <c r="R38" s="484"/>
    </row>
    <row r="39" spans="1:18" x14ac:dyDescent="0.3">
      <c r="A39" s="134"/>
      <c r="B39" s="134"/>
      <c r="C39" s="134"/>
      <c r="D39" s="134"/>
      <c r="E39" s="134"/>
      <c r="F39" s="134"/>
      <c r="G39" s="134"/>
      <c r="H39" s="134"/>
      <c r="I39" s="134"/>
      <c r="J39" s="134"/>
      <c r="K39" s="134"/>
      <c r="L39" s="134"/>
      <c r="M39" s="134"/>
      <c r="N39" s="134"/>
      <c r="O39" s="134"/>
      <c r="P39" s="134"/>
      <c r="Q39" s="134"/>
      <c r="R39" s="484"/>
    </row>
    <row r="40" spans="1:18" x14ac:dyDescent="0.3">
      <c r="A40" s="134"/>
      <c r="B40" s="134"/>
      <c r="C40" s="134"/>
      <c r="D40" s="134"/>
      <c r="E40" s="134"/>
      <c r="F40" s="134"/>
      <c r="G40" s="134"/>
      <c r="H40" s="134"/>
      <c r="I40" s="134"/>
      <c r="J40" s="134"/>
      <c r="K40" s="134"/>
      <c r="L40" s="134"/>
      <c r="M40" s="134"/>
      <c r="N40" s="134"/>
      <c r="O40" s="134"/>
      <c r="P40" s="134"/>
      <c r="Q40" s="134"/>
      <c r="R40" s="484"/>
    </row>
    <row r="41" spans="1:18" x14ac:dyDescent="0.3">
      <c r="A41" s="134"/>
      <c r="B41" s="134"/>
      <c r="C41" s="134"/>
      <c r="D41" s="134"/>
      <c r="E41" s="134"/>
      <c r="F41" s="134"/>
      <c r="G41" s="134"/>
      <c r="H41" s="134"/>
      <c r="I41" s="134"/>
      <c r="J41" s="134"/>
      <c r="K41" s="134"/>
      <c r="L41" s="134"/>
      <c r="M41" s="134"/>
      <c r="N41" s="134"/>
      <c r="O41" s="134"/>
      <c r="P41" s="134"/>
      <c r="Q41" s="134"/>
      <c r="R41" s="484"/>
    </row>
    <row r="42" spans="1:18" x14ac:dyDescent="0.3">
      <c r="A42" s="134"/>
      <c r="B42" s="134"/>
      <c r="C42" s="134"/>
      <c r="D42" s="134"/>
      <c r="E42" s="134"/>
      <c r="F42" s="134"/>
      <c r="G42" s="134"/>
      <c r="H42" s="134"/>
      <c r="I42" s="134"/>
      <c r="J42" s="134"/>
      <c r="K42" s="134"/>
      <c r="L42" s="134"/>
      <c r="M42" s="134"/>
      <c r="N42" s="134"/>
      <c r="O42" s="134"/>
      <c r="P42" s="134"/>
      <c r="Q42" s="134"/>
      <c r="R42" s="484"/>
    </row>
    <row r="43" spans="1:18" x14ac:dyDescent="0.3">
      <c r="A43" s="134"/>
      <c r="B43" s="134"/>
      <c r="C43" s="134"/>
      <c r="D43" s="134"/>
      <c r="E43" s="134"/>
      <c r="F43" s="134"/>
      <c r="G43" s="134"/>
      <c r="H43" s="134"/>
      <c r="I43" s="134"/>
      <c r="J43" s="134"/>
      <c r="K43" s="134"/>
      <c r="L43" s="134"/>
      <c r="M43" s="134"/>
      <c r="N43" s="134"/>
      <c r="O43" s="134"/>
      <c r="P43" s="134"/>
      <c r="Q43" s="134"/>
      <c r="R43" s="484"/>
    </row>
    <row r="44" spans="1:18" x14ac:dyDescent="0.3">
      <c r="A44" s="134"/>
      <c r="B44" s="134"/>
      <c r="C44" s="134"/>
      <c r="D44" s="134"/>
      <c r="E44" s="134"/>
      <c r="F44" s="134"/>
      <c r="G44" s="134"/>
      <c r="H44" s="134"/>
      <c r="I44" s="134"/>
      <c r="J44" s="134"/>
      <c r="K44" s="134"/>
      <c r="L44" s="134"/>
      <c r="M44" s="134"/>
      <c r="N44" s="134"/>
      <c r="O44" s="134"/>
      <c r="P44" s="134"/>
      <c r="Q44" s="134"/>
      <c r="R44" s="484"/>
    </row>
    <row r="45" spans="1:18" x14ac:dyDescent="0.3">
      <c r="A45" s="134"/>
      <c r="B45" s="134"/>
      <c r="C45" s="134"/>
      <c r="D45" s="134"/>
      <c r="E45" s="134"/>
      <c r="F45" s="134"/>
      <c r="G45" s="134"/>
      <c r="H45" s="134"/>
      <c r="I45" s="134"/>
      <c r="J45" s="134"/>
      <c r="K45" s="134"/>
      <c r="L45" s="134"/>
      <c r="M45" s="134"/>
      <c r="N45" s="134"/>
      <c r="O45" s="134"/>
      <c r="P45" s="134"/>
      <c r="Q45" s="134"/>
      <c r="R45" s="484"/>
    </row>
    <row r="46" spans="1:18" x14ac:dyDescent="0.3">
      <c r="A46" s="134"/>
      <c r="B46" s="134"/>
      <c r="C46" s="134"/>
      <c r="D46" s="134"/>
      <c r="E46" s="134"/>
      <c r="F46" s="134"/>
      <c r="G46" s="134"/>
      <c r="H46" s="134"/>
      <c r="I46" s="134"/>
      <c r="J46" s="134"/>
      <c r="K46" s="134"/>
      <c r="L46" s="134"/>
      <c r="M46" s="134"/>
      <c r="N46" s="134"/>
      <c r="O46" s="134"/>
      <c r="P46" s="134"/>
      <c r="Q46" s="134"/>
      <c r="R46" s="484"/>
    </row>
    <row r="47" spans="1:18" x14ac:dyDescent="0.3">
      <c r="A47" s="134"/>
      <c r="B47" s="134"/>
      <c r="C47" s="134"/>
      <c r="D47" s="134"/>
      <c r="E47" s="134"/>
      <c r="F47" s="134"/>
      <c r="G47" s="134"/>
      <c r="H47" s="134"/>
      <c r="I47" s="134"/>
      <c r="J47" s="134"/>
      <c r="K47" s="134"/>
      <c r="L47" s="134"/>
      <c r="M47" s="134"/>
      <c r="N47" s="134"/>
      <c r="O47" s="134"/>
      <c r="P47" s="134"/>
      <c r="Q47" s="134"/>
      <c r="R47" s="484"/>
    </row>
    <row r="48" spans="1:18" x14ac:dyDescent="0.3">
      <c r="A48" s="134"/>
      <c r="B48" s="134"/>
      <c r="C48" s="134"/>
      <c r="D48" s="134"/>
      <c r="E48" s="134"/>
      <c r="F48" s="134"/>
      <c r="G48" s="134"/>
      <c r="H48" s="134"/>
      <c r="I48" s="134"/>
      <c r="J48" s="134"/>
      <c r="K48" s="134"/>
      <c r="L48" s="134"/>
      <c r="M48" s="134"/>
      <c r="N48" s="134"/>
      <c r="O48" s="134"/>
      <c r="P48" s="134"/>
      <c r="Q48" s="134"/>
      <c r="R48" s="484"/>
    </row>
    <row r="49" spans="1:18" x14ac:dyDescent="0.3">
      <c r="A49" s="134"/>
      <c r="B49" s="134"/>
      <c r="C49" s="134"/>
      <c r="D49" s="134"/>
      <c r="E49" s="134"/>
      <c r="F49" s="134"/>
      <c r="G49" s="134"/>
      <c r="H49" s="134"/>
      <c r="I49" s="134"/>
      <c r="J49" s="134"/>
      <c r="K49" s="134"/>
      <c r="L49" s="134"/>
      <c r="M49" s="134"/>
      <c r="N49" s="134"/>
      <c r="O49" s="134"/>
      <c r="P49" s="134"/>
      <c r="Q49" s="134"/>
      <c r="R49" s="484"/>
    </row>
    <row r="50" spans="1:18" x14ac:dyDescent="0.3">
      <c r="A50" s="134"/>
      <c r="B50" s="134"/>
      <c r="C50" s="134"/>
      <c r="D50" s="134"/>
      <c r="E50" s="134"/>
      <c r="F50" s="134"/>
      <c r="G50" s="134"/>
      <c r="H50" s="134"/>
      <c r="I50" s="134"/>
      <c r="J50" s="134"/>
      <c r="K50" s="134"/>
      <c r="L50" s="134"/>
      <c r="M50" s="134"/>
      <c r="N50" s="134"/>
      <c r="O50" s="134"/>
      <c r="P50" s="134"/>
      <c r="Q50" s="134"/>
      <c r="R50" s="484"/>
    </row>
    <row r="51" spans="1:18" x14ac:dyDescent="0.3">
      <c r="A51" s="134"/>
      <c r="B51" s="134"/>
      <c r="C51" s="134"/>
      <c r="D51" s="134"/>
      <c r="E51" s="134"/>
      <c r="F51" s="134"/>
      <c r="G51" s="134"/>
      <c r="H51" s="134"/>
      <c r="I51" s="134"/>
      <c r="J51" s="134"/>
      <c r="K51" s="134"/>
      <c r="L51" s="134"/>
      <c r="M51" s="134"/>
      <c r="N51" s="134"/>
      <c r="O51" s="134"/>
      <c r="P51" s="134"/>
      <c r="Q51" s="134"/>
      <c r="R51" s="484"/>
    </row>
    <row r="52" spans="1:18" x14ac:dyDescent="0.3">
      <c r="A52" s="134"/>
      <c r="B52" s="134"/>
      <c r="C52" s="134"/>
      <c r="D52" s="134"/>
      <c r="E52" s="134"/>
      <c r="F52" s="134"/>
      <c r="G52" s="134"/>
      <c r="H52" s="134"/>
      <c r="I52" s="134"/>
      <c r="J52" s="134"/>
      <c r="K52" s="134"/>
      <c r="L52" s="134"/>
      <c r="M52" s="134"/>
      <c r="N52" s="134"/>
      <c r="O52" s="134"/>
      <c r="P52" s="134"/>
      <c r="Q52" s="134"/>
      <c r="R52" s="484"/>
    </row>
    <row r="53" spans="1:18" x14ac:dyDescent="0.3">
      <c r="A53" s="134"/>
      <c r="B53" s="134"/>
      <c r="C53" s="134"/>
      <c r="D53" s="134"/>
      <c r="E53" s="134"/>
      <c r="F53" s="134"/>
      <c r="G53" s="134"/>
      <c r="H53" s="134"/>
      <c r="I53" s="134"/>
      <c r="J53" s="134"/>
      <c r="K53" s="134"/>
      <c r="L53" s="134"/>
      <c r="M53" s="134"/>
      <c r="N53" s="134"/>
      <c r="O53" s="134"/>
      <c r="P53" s="134"/>
      <c r="Q53" s="134"/>
      <c r="R53" s="484"/>
    </row>
    <row r="54" spans="1:18" x14ac:dyDescent="0.3">
      <c r="A54" s="134"/>
      <c r="B54" s="134"/>
      <c r="C54" s="134"/>
      <c r="D54" s="134"/>
      <c r="E54" s="134"/>
      <c r="F54" s="134"/>
      <c r="G54" s="134"/>
      <c r="H54" s="134"/>
      <c r="I54" s="134"/>
      <c r="J54" s="134"/>
      <c r="K54" s="134"/>
      <c r="L54" s="134"/>
      <c r="M54" s="134"/>
      <c r="N54" s="134"/>
      <c r="O54" s="134"/>
      <c r="P54" s="134"/>
      <c r="Q54" s="134"/>
      <c r="R54" s="484"/>
    </row>
    <row r="55" spans="1:18" x14ac:dyDescent="0.3">
      <c r="A55" s="134"/>
      <c r="B55" s="134"/>
      <c r="C55" s="134"/>
      <c r="D55" s="134"/>
      <c r="E55" s="134"/>
      <c r="F55" s="134"/>
      <c r="G55" s="134"/>
      <c r="H55" s="134"/>
      <c r="I55" s="134"/>
      <c r="J55" s="134"/>
      <c r="K55" s="134"/>
      <c r="L55" s="134"/>
      <c r="M55" s="134"/>
      <c r="N55" s="134"/>
      <c r="O55" s="134"/>
      <c r="P55" s="134"/>
      <c r="Q55" s="134"/>
      <c r="R55" s="484"/>
    </row>
    <row r="56" spans="1:18" x14ac:dyDescent="0.3">
      <c r="A56" s="134"/>
      <c r="B56" s="134"/>
      <c r="C56" s="134"/>
      <c r="D56" s="134"/>
      <c r="E56" s="134"/>
      <c r="F56" s="134"/>
      <c r="G56" s="134"/>
      <c r="H56" s="134"/>
      <c r="I56" s="134"/>
      <c r="J56" s="134"/>
      <c r="K56" s="134"/>
      <c r="L56" s="134"/>
      <c r="M56" s="134"/>
      <c r="N56" s="134"/>
      <c r="O56" s="134"/>
      <c r="P56" s="134"/>
      <c r="Q56" s="134"/>
      <c r="R56" s="484"/>
    </row>
    <row r="57" spans="1:18" x14ac:dyDescent="0.3">
      <c r="A57" s="134"/>
      <c r="B57" s="134"/>
      <c r="C57" s="134"/>
      <c r="D57" s="134"/>
      <c r="E57" s="134"/>
      <c r="F57" s="134"/>
      <c r="G57" s="134"/>
      <c r="H57" s="134"/>
      <c r="I57" s="134"/>
      <c r="J57" s="134"/>
      <c r="K57" s="134"/>
      <c r="L57" s="134"/>
      <c r="M57" s="134"/>
      <c r="N57" s="134"/>
      <c r="O57" s="134"/>
      <c r="P57" s="134"/>
      <c r="Q57" s="134"/>
      <c r="R57" s="484"/>
    </row>
    <row r="58" spans="1:18" x14ac:dyDescent="0.3">
      <c r="A58" s="134"/>
      <c r="B58" s="134"/>
      <c r="C58" s="134"/>
      <c r="D58" s="134"/>
      <c r="E58" s="134"/>
      <c r="F58" s="134"/>
      <c r="G58" s="134"/>
      <c r="H58" s="134"/>
      <c r="I58" s="134"/>
      <c r="J58" s="134"/>
      <c r="K58" s="134"/>
      <c r="L58" s="134"/>
      <c r="M58" s="134"/>
      <c r="N58" s="134"/>
      <c r="O58" s="134"/>
      <c r="P58" s="134"/>
      <c r="Q58" s="134"/>
      <c r="R58" s="484"/>
    </row>
    <row r="59" spans="1:18" x14ac:dyDescent="0.3">
      <c r="A59" s="134"/>
      <c r="B59" s="134"/>
      <c r="C59" s="134"/>
      <c r="D59" s="134"/>
      <c r="E59" s="134"/>
      <c r="F59" s="134"/>
      <c r="G59" s="134"/>
      <c r="H59" s="134"/>
      <c r="I59" s="134"/>
      <c r="J59" s="134"/>
      <c r="K59" s="134"/>
      <c r="L59" s="134"/>
      <c r="M59" s="134"/>
      <c r="N59" s="134"/>
      <c r="O59" s="134"/>
      <c r="P59" s="134"/>
      <c r="Q59" s="134"/>
      <c r="R59" s="484"/>
    </row>
    <row r="60" spans="1:18" x14ac:dyDescent="0.3">
      <c r="A60" s="134"/>
      <c r="B60" s="134"/>
      <c r="C60" s="134"/>
      <c r="D60" s="134"/>
      <c r="E60" s="134"/>
      <c r="F60" s="134"/>
      <c r="G60" s="134"/>
      <c r="H60" s="134"/>
      <c r="I60" s="134"/>
      <c r="J60" s="134"/>
      <c r="K60" s="134"/>
      <c r="L60" s="134"/>
      <c r="M60" s="134"/>
      <c r="N60" s="134"/>
      <c r="O60" s="134"/>
      <c r="P60" s="134"/>
      <c r="Q60" s="134"/>
      <c r="R60" s="483"/>
    </row>
    <row r="61" spans="1:18" x14ac:dyDescent="0.3">
      <c r="A61" s="134"/>
      <c r="B61" s="134"/>
      <c r="C61" s="134"/>
      <c r="D61" s="134"/>
      <c r="E61" s="134"/>
      <c r="F61" s="134"/>
      <c r="G61" s="134"/>
      <c r="H61" s="134"/>
      <c r="I61" s="134"/>
      <c r="J61" s="134"/>
      <c r="K61" s="134"/>
      <c r="L61" s="134"/>
      <c r="M61" s="134"/>
      <c r="N61" s="134"/>
      <c r="O61" s="134"/>
      <c r="P61" s="134"/>
      <c r="Q61" s="134"/>
      <c r="R61" s="483"/>
    </row>
    <row r="62" spans="1:18" x14ac:dyDescent="0.3">
      <c r="A62" s="134"/>
      <c r="B62" s="134"/>
      <c r="C62" s="134"/>
      <c r="D62" s="134"/>
      <c r="E62" s="134"/>
      <c r="F62" s="134"/>
      <c r="G62" s="134"/>
      <c r="H62" s="134"/>
      <c r="I62" s="134"/>
      <c r="J62" s="134"/>
      <c r="K62" s="134"/>
      <c r="L62" s="134"/>
      <c r="M62" s="134"/>
      <c r="N62" s="134"/>
      <c r="O62" s="134"/>
      <c r="P62" s="134"/>
      <c r="Q62" s="134"/>
      <c r="R62" s="483"/>
    </row>
    <row r="63" spans="1:18" x14ac:dyDescent="0.3">
      <c r="A63" s="134"/>
      <c r="B63" s="134"/>
      <c r="C63" s="134"/>
      <c r="D63" s="134"/>
      <c r="E63" s="134"/>
      <c r="F63" s="134"/>
      <c r="G63" s="134"/>
      <c r="H63" s="134"/>
      <c r="I63" s="134"/>
      <c r="J63" s="134"/>
      <c r="K63" s="134"/>
      <c r="L63" s="134"/>
      <c r="M63" s="134"/>
      <c r="N63" s="134"/>
      <c r="O63" s="134"/>
      <c r="P63" s="134"/>
      <c r="Q63" s="134"/>
      <c r="R63" s="483"/>
    </row>
    <row r="64" spans="1:18" x14ac:dyDescent="0.3">
      <c r="A64" s="134"/>
      <c r="B64" s="134"/>
      <c r="C64" s="134"/>
      <c r="D64" s="134"/>
      <c r="E64" s="134"/>
      <c r="F64" s="134"/>
      <c r="G64" s="134"/>
      <c r="H64" s="134"/>
      <c r="I64" s="134"/>
      <c r="J64" s="134"/>
      <c r="K64" s="134"/>
      <c r="L64" s="134"/>
      <c r="M64" s="134"/>
      <c r="N64" s="134"/>
      <c r="O64" s="134"/>
      <c r="P64" s="134"/>
      <c r="Q64" s="134"/>
      <c r="R64" s="483"/>
    </row>
    <row r="65" spans="1:18" x14ac:dyDescent="0.3">
      <c r="A65" s="134"/>
      <c r="B65" s="134"/>
      <c r="C65" s="134"/>
      <c r="D65" s="134"/>
      <c r="E65" s="134"/>
      <c r="F65" s="134"/>
      <c r="G65" s="134"/>
      <c r="H65" s="134"/>
      <c r="I65" s="134"/>
      <c r="J65" s="134"/>
      <c r="K65" s="134"/>
      <c r="L65" s="134"/>
      <c r="M65" s="134"/>
      <c r="N65" s="134"/>
      <c r="O65" s="134"/>
      <c r="P65" s="134"/>
      <c r="Q65" s="134"/>
      <c r="R65" s="483"/>
    </row>
    <row r="66" spans="1:18" x14ac:dyDescent="0.3">
      <c r="A66" s="134"/>
      <c r="B66" s="134"/>
      <c r="C66" s="134"/>
      <c r="D66" s="134"/>
      <c r="E66" s="134"/>
      <c r="F66" s="134"/>
      <c r="G66" s="134"/>
      <c r="H66" s="134"/>
      <c r="I66" s="134"/>
      <c r="J66" s="134"/>
      <c r="K66" s="134"/>
      <c r="L66" s="134"/>
      <c r="M66" s="134"/>
      <c r="N66" s="134"/>
      <c r="O66" s="134"/>
      <c r="P66" s="134"/>
      <c r="Q66" s="134"/>
      <c r="R66" s="483"/>
    </row>
    <row r="67" spans="1:18" x14ac:dyDescent="0.3">
      <c r="A67" s="134"/>
      <c r="B67" s="134"/>
      <c r="C67" s="134"/>
      <c r="D67" s="134"/>
      <c r="E67" s="134"/>
      <c r="F67" s="134"/>
      <c r="G67" s="134"/>
      <c r="H67" s="134"/>
      <c r="I67" s="134"/>
      <c r="J67" s="134"/>
      <c r="K67" s="134"/>
      <c r="L67" s="134"/>
      <c r="M67" s="134"/>
      <c r="N67" s="134"/>
      <c r="O67" s="134"/>
      <c r="P67" s="134"/>
      <c r="Q67" s="134"/>
      <c r="R67" s="483"/>
    </row>
    <row r="68" spans="1:18" x14ac:dyDescent="0.3">
      <c r="A68" s="134"/>
      <c r="B68" s="134"/>
      <c r="C68" s="134"/>
      <c r="D68" s="134"/>
      <c r="E68" s="134"/>
      <c r="F68" s="134"/>
      <c r="G68" s="134"/>
      <c r="H68" s="134"/>
      <c r="I68" s="134"/>
      <c r="J68" s="134"/>
      <c r="K68" s="134"/>
      <c r="L68" s="134"/>
      <c r="M68" s="134"/>
      <c r="N68" s="134"/>
      <c r="O68" s="134"/>
      <c r="P68" s="134"/>
      <c r="Q68" s="134"/>
      <c r="R68" s="483"/>
    </row>
    <row r="69" spans="1:18" x14ac:dyDescent="0.3">
      <c r="A69" s="134"/>
      <c r="B69" s="134"/>
      <c r="C69" s="134"/>
      <c r="D69" s="134"/>
      <c r="E69" s="134"/>
      <c r="F69" s="134"/>
      <c r="G69" s="134"/>
      <c r="H69" s="134"/>
      <c r="I69" s="134"/>
      <c r="J69" s="134"/>
      <c r="K69" s="134"/>
      <c r="L69" s="134"/>
      <c r="M69" s="134"/>
      <c r="N69" s="134"/>
      <c r="O69" s="134"/>
      <c r="P69" s="134"/>
      <c r="Q69" s="134"/>
      <c r="R69" s="485"/>
    </row>
    <row r="70" spans="1:18" x14ac:dyDescent="0.3">
      <c r="A70" s="134"/>
      <c r="B70" s="134"/>
      <c r="C70" s="134"/>
      <c r="D70" s="134"/>
      <c r="E70" s="134"/>
      <c r="F70" s="134"/>
      <c r="G70" s="134"/>
      <c r="H70" s="134"/>
      <c r="I70" s="134"/>
      <c r="J70" s="134"/>
      <c r="K70" s="134"/>
      <c r="L70" s="134"/>
      <c r="M70" s="134"/>
      <c r="N70" s="134"/>
      <c r="O70" s="134"/>
      <c r="P70" s="134"/>
      <c r="Q70" s="134"/>
      <c r="R70" s="483"/>
    </row>
    <row r="71" spans="1:18" x14ac:dyDescent="0.3">
      <c r="A71" s="134"/>
      <c r="B71" s="134"/>
      <c r="C71" s="134"/>
      <c r="D71" s="134"/>
      <c r="E71" s="134"/>
      <c r="F71" s="134"/>
      <c r="G71" s="134"/>
      <c r="H71" s="134"/>
      <c r="I71" s="134"/>
      <c r="J71" s="134"/>
      <c r="K71" s="134"/>
      <c r="L71" s="134"/>
      <c r="M71" s="134"/>
      <c r="N71" s="134"/>
      <c r="O71" s="134"/>
      <c r="P71" s="134"/>
      <c r="Q71" s="134"/>
      <c r="R71" s="483"/>
    </row>
    <row r="72" spans="1:18" x14ac:dyDescent="0.3">
      <c r="A72" s="134"/>
      <c r="B72" s="134"/>
      <c r="C72" s="134"/>
      <c r="D72" s="134"/>
      <c r="E72" s="134"/>
      <c r="F72" s="134"/>
      <c r="G72" s="134"/>
      <c r="H72" s="134"/>
      <c r="I72" s="134"/>
      <c r="J72" s="134"/>
      <c r="K72" s="134"/>
      <c r="L72" s="134"/>
      <c r="M72" s="134"/>
      <c r="N72" s="134"/>
      <c r="O72" s="134"/>
      <c r="P72" s="134"/>
      <c r="Q72" s="134"/>
      <c r="R72" s="483"/>
    </row>
    <row r="73" spans="1:18" x14ac:dyDescent="0.3">
      <c r="A73" s="134"/>
      <c r="B73" s="134"/>
      <c r="C73" s="134"/>
      <c r="D73" s="134"/>
      <c r="E73" s="134"/>
      <c r="F73" s="134"/>
      <c r="G73" s="134"/>
      <c r="H73" s="134"/>
      <c r="I73" s="134"/>
      <c r="J73" s="134"/>
      <c r="K73" s="134"/>
      <c r="L73" s="134"/>
      <c r="M73" s="134"/>
      <c r="N73" s="134"/>
      <c r="O73" s="134"/>
      <c r="P73" s="134"/>
      <c r="Q73" s="134"/>
      <c r="R73" s="483"/>
    </row>
    <row r="74" spans="1:18" x14ac:dyDescent="0.3">
      <c r="A74" s="134"/>
      <c r="B74" s="134"/>
      <c r="C74" s="134"/>
      <c r="D74" s="134"/>
      <c r="E74" s="134"/>
      <c r="F74" s="134"/>
      <c r="G74" s="134"/>
      <c r="H74" s="134"/>
      <c r="I74" s="134"/>
      <c r="J74" s="134"/>
      <c r="K74" s="134"/>
      <c r="L74" s="134"/>
      <c r="M74" s="134"/>
      <c r="N74" s="134"/>
      <c r="O74" s="134"/>
      <c r="P74" s="134"/>
      <c r="Q74" s="134"/>
      <c r="R74" s="483"/>
    </row>
    <row r="75" spans="1:18" ht="15.5" x14ac:dyDescent="0.35">
      <c r="A75" s="134"/>
      <c r="B75" s="134"/>
      <c r="C75" s="134"/>
      <c r="D75" s="134"/>
      <c r="E75" s="134"/>
      <c r="F75" s="134"/>
      <c r="G75" s="134"/>
      <c r="H75" s="134"/>
      <c r="I75" s="134"/>
      <c r="J75" s="134"/>
      <c r="K75" s="134"/>
      <c r="L75" s="134"/>
      <c r="M75" s="134"/>
      <c r="N75" s="134"/>
      <c r="O75" s="134"/>
      <c r="P75" s="134"/>
      <c r="Q75" s="134"/>
      <c r="R75" s="486"/>
    </row>
    <row r="76" spans="1:18" x14ac:dyDescent="0.3">
      <c r="A76" s="134"/>
      <c r="B76" s="134"/>
      <c r="C76" s="134"/>
      <c r="D76" s="134"/>
      <c r="E76" s="134"/>
      <c r="F76" s="134"/>
      <c r="G76" s="134"/>
      <c r="H76" s="134"/>
      <c r="I76" s="134"/>
      <c r="J76" s="134"/>
      <c r="K76" s="134"/>
      <c r="L76" s="134"/>
      <c r="M76" s="134"/>
      <c r="N76" s="134"/>
      <c r="O76" s="134"/>
      <c r="P76" s="134"/>
      <c r="Q76" s="134"/>
      <c r="R76" s="483"/>
    </row>
    <row r="77" spans="1:18" x14ac:dyDescent="0.3">
      <c r="A77" s="134"/>
      <c r="B77" s="134"/>
      <c r="C77" s="134"/>
      <c r="D77" s="134"/>
      <c r="E77" s="134"/>
      <c r="F77" s="134"/>
      <c r="G77" s="134"/>
      <c r="H77" s="134"/>
      <c r="I77" s="134"/>
      <c r="J77" s="134"/>
      <c r="K77" s="134"/>
      <c r="L77" s="134"/>
      <c r="M77" s="134"/>
      <c r="N77" s="134"/>
      <c r="O77" s="134"/>
      <c r="P77" s="134"/>
      <c r="Q77" s="134"/>
      <c r="R77" s="483"/>
    </row>
    <row r="78" spans="1:18" x14ac:dyDescent="0.3">
      <c r="A78" s="134"/>
      <c r="B78" s="134"/>
      <c r="C78" s="134"/>
      <c r="D78" s="134"/>
      <c r="E78" s="134"/>
      <c r="F78" s="134"/>
      <c r="G78" s="134"/>
      <c r="H78" s="134"/>
      <c r="I78" s="134"/>
      <c r="J78" s="134"/>
      <c r="K78" s="134"/>
      <c r="L78" s="134"/>
      <c r="M78" s="134"/>
      <c r="N78" s="134"/>
      <c r="O78" s="134"/>
      <c r="P78" s="134"/>
      <c r="Q78" s="134"/>
      <c r="R78" s="483"/>
    </row>
    <row r="79" spans="1:18" x14ac:dyDescent="0.3">
      <c r="A79" s="134"/>
      <c r="B79" s="134"/>
      <c r="C79" s="134"/>
      <c r="D79" s="134"/>
      <c r="E79" s="134"/>
      <c r="F79" s="134"/>
      <c r="G79" s="134"/>
      <c r="H79" s="134"/>
      <c r="I79" s="134"/>
      <c r="J79" s="134"/>
      <c r="K79" s="134"/>
      <c r="L79" s="134"/>
      <c r="M79" s="134"/>
      <c r="N79" s="134"/>
      <c r="O79" s="134"/>
      <c r="P79" s="134"/>
      <c r="Q79" s="134"/>
      <c r="R79" s="483"/>
    </row>
    <row r="80" spans="1:18" x14ac:dyDescent="0.3">
      <c r="A80" s="134"/>
      <c r="B80" s="134"/>
      <c r="C80" s="134"/>
      <c r="D80" s="134"/>
      <c r="E80" s="134"/>
      <c r="F80" s="134"/>
      <c r="G80" s="134"/>
      <c r="H80" s="134"/>
      <c r="I80" s="134"/>
      <c r="J80" s="134"/>
      <c r="K80" s="134"/>
      <c r="L80" s="134"/>
      <c r="M80" s="134"/>
      <c r="N80" s="134"/>
      <c r="O80" s="134"/>
      <c r="P80" s="134"/>
      <c r="Q80" s="134"/>
      <c r="R80" s="483"/>
    </row>
    <row r="81" spans="18:18" x14ac:dyDescent="0.3">
      <c r="R81" s="483"/>
    </row>
    <row r="82" spans="18:18" x14ac:dyDescent="0.3">
      <c r="R82" s="483"/>
    </row>
    <row r="83" spans="18:18" x14ac:dyDescent="0.3">
      <c r="R83" s="483"/>
    </row>
    <row r="84" spans="18:18" x14ac:dyDescent="0.3">
      <c r="R84" s="483"/>
    </row>
    <row r="85" spans="18:18" x14ac:dyDescent="0.3">
      <c r="R85" s="483"/>
    </row>
    <row r="86" spans="18:18" x14ac:dyDescent="0.3">
      <c r="R86" s="483"/>
    </row>
    <row r="87" spans="18:18" x14ac:dyDescent="0.3">
      <c r="R87" s="483"/>
    </row>
    <row r="88" spans="18:18" x14ac:dyDescent="0.3">
      <c r="R88" s="483"/>
    </row>
    <row r="89" spans="18:18" x14ac:dyDescent="0.3">
      <c r="R89" s="483"/>
    </row>
    <row r="90" spans="18:18" x14ac:dyDescent="0.3">
      <c r="R90" s="483"/>
    </row>
    <row r="91" spans="18:18" x14ac:dyDescent="0.3">
      <c r="R91" s="483"/>
    </row>
    <row r="92" spans="18:18" x14ac:dyDescent="0.3">
      <c r="R92" s="483"/>
    </row>
    <row r="93" spans="18:18" x14ac:dyDescent="0.3">
      <c r="R93" s="483"/>
    </row>
    <row r="94" spans="18:18" x14ac:dyDescent="0.3">
      <c r="R94" s="483"/>
    </row>
    <row r="95" spans="18:18" x14ac:dyDescent="0.3">
      <c r="R95" s="483"/>
    </row>
    <row r="96" spans="18:18" x14ac:dyDescent="0.3">
      <c r="R96" s="483"/>
    </row>
    <row r="97" spans="18:18" x14ac:dyDescent="0.3">
      <c r="R97" s="483"/>
    </row>
    <row r="98" spans="18:18" x14ac:dyDescent="0.3">
      <c r="R98" s="483"/>
    </row>
    <row r="99" spans="18:18" x14ac:dyDescent="0.3">
      <c r="R99" s="483"/>
    </row>
    <row r="100" spans="18:18" x14ac:dyDescent="0.3">
      <c r="R100" s="483"/>
    </row>
    <row r="101" spans="18:18" x14ac:dyDescent="0.3">
      <c r="R101" s="483"/>
    </row>
    <row r="102" spans="18:18" x14ac:dyDescent="0.3">
      <c r="R102" s="483"/>
    </row>
    <row r="103" spans="18:18" x14ac:dyDescent="0.3">
      <c r="R103" s="483"/>
    </row>
    <row r="104" spans="18:18" x14ac:dyDescent="0.3">
      <c r="R104" s="483"/>
    </row>
    <row r="105" spans="18:18" x14ac:dyDescent="0.3">
      <c r="R105" s="483"/>
    </row>
    <row r="106" spans="18:18" x14ac:dyDescent="0.3">
      <c r="R106" s="483"/>
    </row>
    <row r="107" spans="18:18" x14ac:dyDescent="0.3">
      <c r="R107" s="54"/>
    </row>
    <row r="108" spans="18:18" x14ac:dyDescent="0.3">
      <c r="R108" s="54"/>
    </row>
    <row r="109" spans="18:18" x14ac:dyDescent="0.3">
      <c r="R109" s="54"/>
    </row>
    <row r="110" spans="18:18" x14ac:dyDescent="0.3">
      <c r="R110" s="54"/>
    </row>
    <row r="111" spans="18:18" x14ac:dyDescent="0.3">
      <c r="R111" s="54"/>
    </row>
    <row r="112" spans="18:18" x14ac:dyDescent="0.3">
      <c r="R112" s="54"/>
    </row>
    <row r="113" spans="18:18" x14ac:dyDescent="0.3">
      <c r="R113" s="54"/>
    </row>
    <row r="114" spans="18:18" x14ac:dyDescent="0.3">
      <c r="R114" s="54"/>
    </row>
    <row r="115" spans="18:18" x14ac:dyDescent="0.3">
      <c r="R115" s="54"/>
    </row>
    <row r="116" spans="18:18" x14ac:dyDescent="0.3">
      <c r="R116" s="54"/>
    </row>
    <row r="117" spans="18:18" x14ac:dyDescent="0.3">
      <c r="R117" s="54"/>
    </row>
    <row r="118" spans="18:18" x14ac:dyDescent="0.3">
      <c r="R118" s="54"/>
    </row>
    <row r="119" spans="18:18" x14ac:dyDescent="0.3">
      <c r="R119" s="54"/>
    </row>
    <row r="120" spans="18:18" x14ac:dyDescent="0.3">
      <c r="R120" s="54"/>
    </row>
    <row r="121" spans="18:18" x14ac:dyDescent="0.3">
      <c r="R121" s="54"/>
    </row>
    <row r="122" spans="18:18" x14ac:dyDescent="0.3">
      <c r="R122" s="54"/>
    </row>
    <row r="123" spans="18:18" x14ac:dyDescent="0.3">
      <c r="R123" s="54"/>
    </row>
    <row r="124" spans="18:18" x14ac:dyDescent="0.3">
      <c r="R124" s="54"/>
    </row>
    <row r="125" spans="18:18" x14ac:dyDescent="0.3">
      <c r="R125" s="54"/>
    </row>
    <row r="126" spans="18:18" x14ac:dyDescent="0.3">
      <c r="R126" s="54"/>
    </row>
    <row r="127" spans="18:18" x14ac:dyDescent="0.3">
      <c r="R127" s="54"/>
    </row>
    <row r="128" spans="18:18" x14ac:dyDescent="0.3">
      <c r="R128" s="54"/>
    </row>
    <row r="129" spans="18:18" x14ac:dyDescent="0.3">
      <c r="R129" s="54"/>
    </row>
    <row r="130" spans="18:18" x14ac:dyDescent="0.3">
      <c r="R130" s="54"/>
    </row>
    <row r="131" spans="18:18" x14ac:dyDescent="0.3">
      <c r="R131" s="54"/>
    </row>
    <row r="132" spans="18:18" x14ac:dyDescent="0.3">
      <c r="R132" s="54"/>
    </row>
    <row r="133" spans="18:18" x14ac:dyDescent="0.3">
      <c r="R133" s="54"/>
    </row>
    <row r="134" spans="18:18" x14ac:dyDescent="0.3">
      <c r="R134" s="54"/>
    </row>
    <row r="135" spans="18:18" x14ac:dyDescent="0.3">
      <c r="R135" s="54"/>
    </row>
    <row r="136" spans="18:18" x14ac:dyDescent="0.3">
      <c r="R136" s="54"/>
    </row>
    <row r="137" spans="18:18" x14ac:dyDescent="0.3">
      <c r="R137" s="54"/>
    </row>
    <row r="138" spans="18:18" x14ac:dyDescent="0.3">
      <c r="R138" s="54"/>
    </row>
    <row r="139" spans="18:18" x14ac:dyDescent="0.3">
      <c r="R139" s="54"/>
    </row>
    <row r="140" spans="18:18" x14ac:dyDescent="0.3">
      <c r="R140" s="54"/>
    </row>
    <row r="141" spans="18:18" x14ac:dyDescent="0.3">
      <c r="R141" s="54"/>
    </row>
    <row r="142" spans="18:18" x14ac:dyDescent="0.3">
      <c r="R142" s="54"/>
    </row>
    <row r="143" spans="18:18" x14ac:dyDescent="0.3">
      <c r="R143" s="54"/>
    </row>
    <row r="144" spans="18:18" x14ac:dyDescent="0.3">
      <c r="R144" s="54"/>
    </row>
    <row r="145" spans="18:18" x14ac:dyDescent="0.3">
      <c r="R145" s="54"/>
    </row>
    <row r="146" spans="18:18" x14ac:dyDescent="0.3">
      <c r="R146" s="54"/>
    </row>
    <row r="147" spans="18:18" x14ac:dyDescent="0.3">
      <c r="R147" s="54"/>
    </row>
    <row r="148" spans="18:18" x14ac:dyDescent="0.3">
      <c r="R148" s="54"/>
    </row>
    <row r="149" spans="18:18" x14ac:dyDescent="0.3">
      <c r="R149" s="54"/>
    </row>
    <row r="150" spans="18:18" x14ac:dyDescent="0.3">
      <c r="R150" s="54"/>
    </row>
    <row r="151" spans="18:18" x14ac:dyDescent="0.3">
      <c r="R151" s="54"/>
    </row>
    <row r="152" spans="18:18" x14ac:dyDescent="0.3">
      <c r="R152" s="54"/>
    </row>
    <row r="153" spans="18:18" x14ac:dyDescent="0.3">
      <c r="R153" s="54"/>
    </row>
    <row r="154" spans="18:18" x14ac:dyDescent="0.3">
      <c r="R154" s="54"/>
    </row>
    <row r="155" spans="18:18" x14ac:dyDescent="0.3">
      <c r="R155" s="54"/>
    </row>
    <row r="156" spans="18:18" x14ac:dyDescent="0.3">
      <c r="R156" s="54"/>
    </row>
    <row r="157" spans="18:18" x14ac:dyDescent="0.3">
      <c r="R157" s="54"/>
    </row>
    <row r="158" spans="18:18" x14ac:dyDescent="0.3">
      <c r="R158" s="54"/>
    </row>
    <row r="159" spans="18:18" x14ac:dyDescent="0.3">
      <c r="R159" s="54"/>
    </row>
    <row r="160" spans="18:18" x14ac:dyDescent="0.3">
      <c r="R160" s="54"/>
    </row>
    <row r="161" spans="18:18" x14ac:dyDescent="0.3">
      <c r="R161" s="54"/>
    </row>
    <row r="162" spans="18:18" x14ac:dyDescent="0.3">
      <c r="R162" s="54"/>
    </row>
    <row r="163" spans="18:18" x14ac:dyDescent="0.3">
      <c r="R163" s="54"/>
    </row>
    <row r="164" spans="18:18" x14ac:dyDescent="0.3">
      <c r="R164" s="54"/>
    </row>
    <row r="165" spans="18:18" x14ac:dyDescent="0.3">
      <c r="R165" s="54"/>
    </row>
    <row r="166" spans="18:18" x14ac:dyDescent="0.3">
      <c r="R166" s="54"/>
    </row>
    <row r="167" spans="18:18" x14ac:dyDescent="0.3">
      <c r="R167" s="54"/>
    </row>
    <row r="168" spans="18:18" x14ac:dyDescent="0.3">
      <c r="R168" s="54"/>
    </row>
    <row r="169" spans="18:18" x14ac:dyDescent="0.3">
      <c r="R169" s="54"/>
    </row>
    <row r="170" spans="18:18" x14ac:dyDescent="0.3">
      <c r="R170" s="54"/>
    </row>
    <row r="171" spans="18:18" x14ac:dyDescent="0.3">
      <c r="R171" s="54"/>
    </row>
    <row r="172" spans="18:18" x14ac:dyDescent="0.3">
      <c r="R172" s="54"/>
    </row>
    <row r="173" spans="18:18" x14ac:dyDescent="0.3">
      <c r="R173" s="54"/>
    </row>
    <row r="174" spans="18:18" x14ac:dyDescent="0.3">
      <c r="R174" s="54"/>
    </row>
    <row r="175" spans="18:18" x14ac:dyDescent="0.3">
      <c r="R175" s="54"/>
    </row>
    <row r="176" spans="18:18" x14ac:dyDescent="0.3">
      <c r="R176" s="54"/>
    </row>
    <row r="177" spans="18:18" x14ac:dyDescent="0.3">
      <c r="R177" s="54"/>
    </row>
    <row r="178" spans="18:18" x14ac:dyDescent="0.3">
      <c r="R178" s="54"/>
    </row>
    <row r="179" spans="18:18" x14ac:dyDescent="0.3">
      <c r="R179" s="54"/>
    </row>
    <row r="180" spans="18:18" x14ac:dyDescent="0.3">
      <c r="R180" s="54"/>
    </row>
    <row r="181" spans="18:18" x14ac:dyDescent="0.3">
      <c r="R181" s="54"/>
    </row>
    <row r="182" spans="18:18" x14ac:dyDescent="0.3">
      <c r="R182" s="54"/>
    </row>
    <row r="183" spans="18:18" x14ac:dyDescent="0.3">
      <c r="R183" s="54"/>
    </row>
    <row r="184" spans="18:18" x14ac:dyDescent="0.3">
      <c r="R184" s="54"/>
    </row>
    <row r="185" spans="18:18" x14ac:dyDescent="0.3">
      <c r="R185" s="54"/>
    </row>
    <row r="186" spans="18:18" x14ac:dyDescent="0.3">
      <c r="R186" s="54"/>
    </row>
    <row r="187" spans="18:18" x14ac:dyDescent="0.3">
      <c r="R187" s="54"/>
    </row>
    <row r="188" spans="18:18" x14ac:dyDescent="0.3">
      <c r="R188" s="54"/>
    </row>
    <row r="189" spans="18:18" x14ac:dyDescent="0.3">
      <c r="R189" s="54"/>
    </row>
    <row r="190" spans="18:18" x14ac:dyDescent="0.3">
      <c r="R190" s="54"/>
    </row>
    <row r="191" spans="18:18" x14ac:dyDescent="0.3">
      <c r="R191" s="54"/>
    </row>
    <row r="192" spans="18:18" x14ac:dyDescent="0.3">
      <c r="R192" s="54"/>
    </row>
    <row r="193" spans="18:18" x14ac:dyDescent="0.3">
      <c r="R193" s="54"/>
    </row>
    <row r="194" spans="18:18" x14ac:dyDescent="0.3">
      <c r="R194" s="54"/>
    </row>
    <row r="195" spans="18:18" x14ac:dyDescent="0.3">
      <c r="R195" s="54"/>
    </row>
    <row r="196" spans="18:18" x14ac:dyDescent="0.3">
      <c r="R196" s="54"/>
    </row>
    <row r="197" spans="18:18" x14ac:dyDescent="0.3">
      <c r="R197" s="54"/>
    </row>
    <row r="198" spans="18:18" x14ac:dyDescent="0.3">
      <c r="R198" s="54"/>
    </row>
    <row r="199" spans="18:18" x14ac:dyDescent="0.3">
      <c r="R199" s="54"/>
    </row>
    <row r="200" spans="18:18" x14ac:dyDescent="0.3">
      <c r="R200" s="54"/>
    </row>
    <row r="201" spans="18:18" x14ac:dyDescent="0.3">
      <c r="R201" s="54"/>
    </row>
    <row r="202" spans="18:18" x14ac:dyDescent="0.3">
      <c r="R202" s="54"/>
    </row>
    <row r="203" spans="18:18" x14ac:dyDescent="0.3">
      <c r="R203" s="54"/>
    </row>
    <row r="204" spans="18:18" x14ac:dyDescent="0.3">
      <c r="R204" s="54"/>
    </row>
    <row r="205" spans="18:18" x14ac:dyDescent="0.3">
      <c r="R205" s="54"/>
    </row>
    <row r="206" spans="18:18" x14ac:dyDescent="0.3">
      <c r="R206" s="54"/>
    </row>
    <row r="207" spans="18:18" x14ac:dyDescent="0.3">
      <c r="R207" s="54"/>
    </row>
    <row r="208" spans="18:18" x14ac:dyDescent="0.3">
      <c r="R208" s="54"/>
    </row>
    <row r="209" spans="18:18" x14ac:dyDescent="0.3">
      <c r="R209" s="54"/>
    </row>
    <row r="210" spans="18:18" x14ac:dyDescent="0.3">
      <c r="R210" s="54"/>
    </row>
    <row r="211" spans="18:18" x14ac:dyDescent="0.3">
      <c r="R211" s="54"/>
    </row>
    <row r="212" spans="18:18" x14ac:dyDescent="0.3">
      <c r="R212" s="54"/>
    </row>
    <row r="213" spans="18:18" x14ac:dyDescent="0.3">
      <c r="R213" s="54"/>
    </row>
    <row r="214" spans="18:18" x14ac:dyDescent="0.3">
      <c r="R214" s="54"/>
    </row>
    <row r="215" spans="18:18" x14ac:dyDescent="0.3">
      <c r="R215" s="54"/>
    </row>
    <row r="216" spans="18:18" x14ac:dyDescent="0.3">
      <c r="R216" s="54"/>
    </row>
    <row r="217" spans="18:18" x14ac:dyDescent="0.3">
      <c r="R217" s="54"/>
    </row>
    <row r="218" spans="18:18" x14ac:dyDescent="0.3">
      <c r="R218" s="54"/>
    </row>
    <row r="219" spans="18:18" x14ac:dyDescent="0.3">
      <c r="R219" s="54"/>
    </row>
    <row r="220" spans="18:18" x14ac:dyDescent="0.3">
      <c r="R220" s="54"/>
    </row>
    <row r="221" spans="18:18" x14ac:dyDescent="0.3">
      <c r="R221" s="54"/>
    </row>
    <row r="222" spans="18:18" x14ac:dyDescent="0.3">
      <c r="R222" s="54"/>
    </row>
    <row r="223" spans="18:18" x14ac:dyDescent="0.3">
      <c r="R223" s="54"/>
    </row>
    <row r="224" spans="18:18" x14ac:dyDescent="0.3">
      <c r="R224" s="54"/>
    </row>
    <row r="225" spans="18:18" x14ac:dyDescent="0.3">
      <c r="R225" s="54"/>
    </row>
    <row r="226" spans="18:18" x14ac:dyDescent="0.3">
      <c r="R226" s="54"/>
    </row>
    <row r="227" spans="18:18" x14ac:dyDescent="0.3">
      <c r="R227" s="54"/>
    </row>
    <row r="228" spans="18:18" x14ac:dyDescent="0.3">
      <c r="R228" s="54"/>
    </row>
    <row r="229" spans="18:18" x14ac:dyDescent="0.3">
      <c r="R229" s="54"/>
    </row>
    <row r="230" spans="18:18" x14ac:dyDescent="0.3">
      <c r="R230" s="54"/>
    </row>
    <row r="231" spans="18:18" x14ac:dyDescent="0.3">
      <c r="R231" s="54"/>
    </row>
    <row r="232" spans="18:18" x14ac:dyDescent="0.3">
      <c r="R232" s="54"/>
    </row>
    <row r="233" spans="18:18" x14ac:dyDescent="0.3">
      <c r="R233" s="54"/>
    </row>
    <row r="234" spans="18:18" x14ac:dyDescent="0.3">
      <c r="R234" s="54"/>
    </row>
    <row r="235" spans="18:18" x14ac:dyDescent="0.3">
      <c r="R235" s="54"/>
    </row>
    <row r="236" spans="18:18" x14ac:dyDescent="0.3">
      <c r="R236" s="54"/>
    </row>
    <row r="237" spans="18:18" x14ac:dyDescent="0.3">
      <c r="R237" s="54"/>
    </row>
    <row r="238" spans="18:18" x14ac:dyDescent="0.3">
      <c r="R238" s="54"/>
    </row>
    <row r="239" spans="18:18" x14ac:dyDescent="0.3">
      <c r="R239" s="54"/>
    </row>
    <row r="240" spans="18:18" x14ac:dyDescent="0.3">
      <c r="R240" s="54"/>
    </row>
    <row r="241" spans="18:18" x14ac:dyDescent="0.3">
      <c r="R241" s="54"/>
    </row>
    <row r="242" spans="18:18" x14ac:dyDescent="0.3">
      <c r="R242" s="54"/>
    </row>
    <row r="243" spans="18:18" x14ac:dyDescent="0.3">
      <c r="R243" s="54"/>
    </row>
    <row r="244" spans="18:18" x14ac:dyDescent="0.3">
      <c r="R244" s="54"/>
    </row>
    <row r="245" spans="18:18" x14ac:dyDescent="0.3">
      <c r="R245" s="54"/>
    </row>
    <row r="246" spans="18:18" x14ac:dyDescent="0.3">
      <c r="R246" s="54"/>
    </row>
    <row r="247" spans="18:18" x14ac:dyDescent="0.3">
      <c r="R247" s="54"/>
    </row>
    <row r="248" spans="18:18" x14ac:dyDescent="0.3">
      <c r="R248" s="54"/>
    </row>
    <row r="249" spans="18:18" x14ac:dyDescent="0.3">
      <c r="R249" s="54"/>
    </row>
    <row r="250" spans="18:18" x14ac:dyDescent="0.3">
      <c r="R250" s="54"/>
    </row>
    <row r="251" spans="18:18" x14ac:dyDescent="0.3">
      <c r="R251" s="54"/>
    </row>
    <row r="252" spans="18:18" x14ac:dyDescent="0.3">
      <c r="R252" s="54"/>
    </row>
    <row r="253" spans="18:18" x14ac:dyDescent="0.3">
      <c r="R253" s="54"/>
    </row>
    <row r="254" spans="18:18" x14ac:dyDescent="0.3">
      <c r="R254" s="54"/>
    </row>
    <row r="255" spans="18:18" x14ac:dyDescent="0.3">
      <c r="R255" s="54"/>
    </row>
    <row r="256" spans="18:18" x14ac:dyDescent="0.3">
      <c r="R256" s="54"/>
    </row>
    <row r="257" spans="18:18" x14ac:dyDescent="0.3">
      <c r="R257" s="54"/>
    </row>
    <row r="258" spans="18:18" x14ac:dyDescent="0.3">
      <c r="R258" s="54"/>
    </row>
    <row r="259" spans="18:18" x14ac:dyDescent="0.3">
      <c r="R259" s="54"/>
    </row>
    <row r="260" spans="18:18" x14ac:dyDescent="0.3">
      <c r="R260" s="54"/>
    </row>
    <row r="261" spans="18:18" x14ac:dyDescent="0.3">
      <c r="R261" s="54"/>
    </row>
    <row r="262" spans="18:18" x14ac:dyDescent="0.3">
      <c r="R262" s="54"/>
    </row>
    <row r="263" spans="18:18" x14ac:dyDescent="0.3">
      <c r="R263" s="54"/>
    </row>
    <row r="264" spans="18:18" x14ac:dyDescent="0.3">
      <c r="R264" s="54"/>
    </row>
    <row r="265" spans="18:18" x14ac:dyDescent="0.3">
      <c r="R265" s="54"/>
    </row>
    <row r="266" spans="18:18" x14ac:dyDescent="0.3">
      <c r="R266" s="54"/>
    </row>
    <row r="267" spans="18:18" x14ac:dyDescent="0.3">
      <c r="R267" s="54"/>
    </row>
    <row r="268" spans="18:18" x14ac:dyDescent="0.3">
      <c r="R268" s="54"/>
    </row>
    <row r="269" spans="18:18" x14ac:dyDescent="0.3">
      <c r="R269" s="54"/>
    </row>
    <row r="270" spans="18:18" x14ac:dyDescent="0.3">
      <c r="R270" s="54"/>
    </row>
    <row r="271" spans="18:18" x14ac:dyDescent="0.3">
      <c r="R271" s="54"/>
    </row>
    <row r="272" spans="18:18" x14ac:dyDescent="0.3">
      <c r="R272" s="54"/>
    </row>
    <row r="273" spans="18:18" x14ac:dyDescent="0.3">
      <c r="R273" s="54"/>
    </row>
    <row r="274" spans="18:18" x14ac:dyDescent="0.3">
      <c r="R274" s="54"/>
    </row>
    <row r="275" spans="18:18" x14ac:dyDescent="0.3">
      <c r="R275" s="54"/>
    </row>
    <row r="276" spans="18:18" x14ac:dyDescent="0.3">
      <c r="R276" s="54"/>
    </row>
    <row r="277" spans="18:18" x14ac:dyDescent="0.3">
      <c r="R277" s="54"/>
    </row>
    <row r="278" spans="18:18" x14ac:dyDescent="0.3">
      <c r="R278" s="54"/>
    </row>
    <row r="279" spans="18:18" x14ac:dyDescent="0.3">
      <c r="R279" s="54"/>
    </row>
    <row r="280" spans="18:18" x14ac:dyDescent="0.3">
      <c r="R280" s="54"/>
    </row>
    <row r="281" spans="18:18" x14ac:dyDescent="0.3">
      <c r="R281" s="54"/>
    </row>
    <row r="282" spans="18:18" x14ac:dyDescent="0.3">
      <c r="R282" s="54"/>
    </row>
    <row r="283" spans="18:18" x14ac:dyDescent="0.3">
      <c r="R283" s="54"/>
    </row>
    <row r="284" spans="18:18" x14ac:dyDescent="0.3">
      <c r="R284" s="54"/>
    </row>
    <row r="285" spans="18:18" x14ac:dyDescent="0.3">
      <c r="R285" s="54"/>
    </row>
    <row r="286" spans="18:18" x14ac:dyDescent="0.3">
      <c r="R286" s="54"/>
    </row>
    <row r="287" spans="18:18" x14ac:dyDescent="0.3">
      <c r="R287" s="54"/>
    </row>
    <row r="288" spans="18:18" x14ac:dyDescent="0.3">
      <c r="R288" s="54"/>
    </row>
    <row r="289" spans="18:18" x14ac:dyDescent="0.3">
      <c r="R289" s="54"/>
    </row>
    <row r="290" spans="18:18" x14ac:dyDescent="0.3">
      <c r="R290" s="54"/>
    </row>
    <row r="291" spans="18:18" x14ac:dyDescent="0.3">
      <c r="R291" s="54"/>
    </row>
    <row r="292" spans="18:18" x14ac:dyDescent="0.3">
      <c r="R292" s="54"/>
    </row>
    <row r="293" spans="18:18" x14ac:dyDescent="0.3">
      <c r="R293" s="54"/>
    </row>
    <row r="294" spans="18:18" x14ac:dyDescent="0.3">
      <c r="R294" s="54"/>
    </row>
    <row r="295" spans="18:18" x14ac:dyDescent="0.3">
      <c r="R295" s="54"/>
    </row>
    <row r="296" spans="18:18" x14ac:dyDescent="0.3">
      <c r="R296" s="54"/>
    </row>
    <row r="297" spans="18:18" x14ac:dyDescent="0.3">
      <c r="R297" s="54"/>
    </row>
    <row r="298" spans="18:18" x14ac:dyDescent="0.3">
      <c r="R298" s="54"/>
    </row>
    <row r="299" spans="18:18" x14ac:dyDescent="0.3">
      <c r="R299" s="54"/>
    </row>
    <row r="300" spans="18:18" x14ac:dyDescent="0.3">
      <c r="R300" s="54"/>
    </row>
    <row r="301" spans="18:18" x14ac:dyDescent="0.3">
      <c r="R301" s="54"/>
    </row>
    <row r="302" spans="18:18" x14ac:dyDescent="0.3">
      <c r="R302" s="54"/>
    </row>
    <row r="303" spans="18:18" x14ac:dyDescent="0.3">
      <c r="R303" s="54"/>
    </row>
    <row r="304" spans="18:18" x14ac:dyDescent="0.3">
      <c r="R304" s="54"/>
    </row>
    <row r="305" spans="18:18" x14ac:dyDescent="0.3">
      <c r="R305" s="54"/>
    </row>
    <row r="306" spans="18:18" x14ac:dyDescent="0.3">
      <c r="R306" s="54"/>
    </row>
    <row r="307" spans="18:18" x14ac:dyDescent="0.3">
      <c r="R307" s="54"/>
    </row>
    <row r="308" spans="18:18" x14ac:dyDescent="0.3">
      <c r="R308" s="54"/>
    </row>
    <row r="309" spans="18:18" x14ac:dyDescent="0.3">
      <c r="R309" s="54"/>
    </row>
    <row r="310" spans="18:18" x14ac:dyDescent="0.3">
      <c r="R310" s="54"/>
    </row>
    <row r="311" spans="18:18" x14ac:dyDescent="0.3">
      <c r="R311" s="54"/>
    </row>
    <row r="312" spans="18:18" x14ac:dyDescent="0.3">
      <c r="R312" s="54"/>
    </row>
    <row r="313" spans="18:18" x14ac:dyDescent="0.3">
      <c r="R313" s="54"/>
    </row>
    <row r="314" spans="18:18" x14ac:dyDescent="0.3">
      <c r="R314" s="54"/>
    </row>
    <row r="315" spans="18:18" x14ac:dyDescent="0.3">
      <c r="R315" s="54"/>
    </row>
    <row r="316" spans="18:18" x14ac:dyDescent="0.3">
      <c r="R316" s="54"/>
    </row>
    <row r="317" spans="18:18" x14ac:dyDescent="0.3">
      <c r="R317" s="54"/>
    </row>
    <row r="318" spans="18:18" x14ac:dyDescent="0.3">
      <c r="R318" s="54"/>
    </row>
    <row r="319" spans="18:18" x14ac:dyDescent="0.3">
      <c r="R319" s="54"/>
    </row>
    <row r="320" spans="18:18" x14ac:dyDescent="0.3">
      <c r="R320" s="54"/>
    </row>
    <row r="321" spans="18:18" x14ac:dyDescent="0.3">
      <c r="R321" s="54"/>
    </row>
    <row r="322" spans="18:18" x14ac:dyDescent="0.3">
      <c r="R322" s="54"/>
    </row>
    <row r="323" spans="18:18" x14ac:dyDescent="0.3">
      <c r="R323" s="54"/>
    </row>
    <row r="324" spans="18:18" x14ac:dyDescent="0.3">
      <c r="R324" s="54"/>
    </row>
    <row r="325" spans="18:18" x14ac:dyDescent="0.3">
      <c r="R325" s="54"/>
    </row>
    <row r="326" spans="18:18" x14ac:dyDescent="0.3">
      <c r="R326" s="54"/>
    </row>
    <row r="327" spans="18:18" x14ac:dyDescent="0.3">
      <c r="R327" s="54"/>
    </row>
    <row r="328" spans="18:18" x14ac:dyDescent="0.3">
      <c r="R328" s="54"/>
    </row>
    <row r="329" spans="18:18" x14ac:dyDescent="0.3">
      <c r="R329" s="54"/>
    </row>
    <row r="330" spans="18:18" x14ac:dyDescent="0.3">
      <c r="R330" s="54"/>
    </row>
    <row r="331" spans="18:18" x14ac:dyDescent="0.3">
      <c r="R331" s="54"/>
    </row>
    <row r="332" spans="18:18" x14ac:dyDescent="0.3">
      <c r="R332" s="54"/>
    </row>
    <row r="333" spans="18:18" x14ac:dyDescent="0.3">
      <c r="R333" s="54"/>
    </row>
    <row r="334" spans="18:18" x14ac:dyDescent="0.3">
      <c r="R334" s="54"/>
    </row>
    <row r="335" spans="18:18" x14ac:dyDescent="0.3">
      <c r="R335" s="54"/>
    </row>
    <row r="336" spans="18:18" x14ac:dyDescent="0.3">
      <c r="R336" s="54"/>
    </row>
    <row r="337" spans="18:18" x14ac:dyDescent="0.3">
      <c r="R337" s="54"/>
    </row>
    <row r="338" spans="18:18" x14ac:dyDescent="0.3">
      <c r="R338" s="54"/>
    </row>
    <row r="339" spans="18:18" x14ac:dyDescent="0.3">
      <c r="R339" s="54"/>
    </row>
    <row r="340" spans="18:18" x14ac:dyDescent="0.3">
      <c r="R340" s="54"/>
    </row>
    <row r="341" spans="18:18" x14ac:dyDescent="0.3">
      <c r="R341" s="54"/>
    </row>
    <row r="342" spans="18:18" x14ac:dyDescent="0.3">
      <c r="R342" s="54"/>
    </row>
    <row r="343" spans="18:18" x14ac:dyDescent="0.3">
      <c r="R343" s="54"/>
    </row>
    <row r="344" spans="18:18" x14ac:dyDescent="0.3">
      <c r="R344" s="54"/>
    </row>
    <row r="345" spans="18:18" x14ac:dyDescent="0.3">
      <c r="R345" s="54"/>
    </row>
    <row r="346" spans="18:18" x14ac:dyDescent="0.3">
      <c r="R346" s="54"/>
    </row>
    <row r="347" spans="18:18" x14ac:dyDescent="0.3">
      <c r="R347" s="54"/>
    </row>
    <row r="348" spans="18:18" x14ac:dyDescent="0.3">
      <c r="R348" s="54"/>
    </row>
    <row r="349" spans="18:18" x14ac:dyDescent="0.3">
      <c r="R349" s="54"/>
    </row>
    <row r="350" spans="18:18" x14ac:dyDescent="0.3">
      <c r="R350" s="54"/>
    </row>
    <row r="351" spans="18:18" x14ac:dyDescent="0.3">
      <c r="R351" s="54"/>
    </row>
    <row r="352" spans="18:18" x14ac:dyDescent="0.3">
      <c r="R352" s="54"/>
    </row>
    <row r="353" spans="18:18" x14ac:dyDescent="0.3">
      <c r="R353" s="54"/>
    </row>
    <row r="354" spans="18:18" x14ac:dyDescent="0.3">
      <c r="R354" s="54"/>
    </row>
    <row r="355" spans="18:18" x14ac:dyDescent="0.3">
      <c r="R355" s="54"/>
    </row>
    <row r="356" spans="18:18" x14ac:dyDescent="0.3">
      <c r="R356" s="54"/>
    </row>
    <row r="357" spans="18:18" x14ac:dyDescent="0.3">
      <c r="R357" s="54"/>
    </row>
    <row r="358" spans="18:18" x14ac:dyDescent="0.3">
      <c r="R358" s="54"/>
    </row>
    <row r="359" spans="18:18" x14ac:dyDescent="0.3">
      <c r="R359" s="54"/>
    </row>
    <row r="360" spans="18:18" x14ac:dyDescent="0.3">
      <c r="R360" s="54"/>
    </row>
    <row r="361" spans="18:18" x14ac:dyDescent="0.3">
      <c r="R361" s="54"/>
    </row>
    <row r="362" spans="18:18" x14ac:dyDescent="0.3">
      <c r="R362" s="54"/>
    </row>
    <row r="363" spans="18:18" x14ac:dyDescent="0.3">
      <c r="R363" s="54"/>
    </row>
    <row r="364" spans="18:18" x14ac:dyDescent="0.3">
      <c r="R364" s="54"/>
    </row>
    <row r="365" spans="18:18" x14ac:dyDescent="0.3">
      <c r="R365" s="54"/>
    </row>
    <row r="366" spans="18:18" x14ac:dyDescent="0.3">
      <c r="R366" s="54"/>
    </row>
    <row r="367" spans="18:18" x14ac:dyDescent="0.3">
      <c r="R367" s="54"/>
    </row>
    <row r="368" spans="18:18" x14ac:dyDescent="0.3">
      <c r="R368" s="54"/>
    </row>
    <row r="369" spans="18:18" x14ac:dyDescent="0.3">
      <c r="R369" s="54"/>
    </row>
    <row r="370" spans="18:18" x14ac:dyDescent="0.3">
      <c r="R370" s="54"/>
    </row>
    <row r="371" spans="18:18" x14ac:dyDescent="0.3">
      <c r="R371" s="54"/>
    </row>
    <row r="372" spans="18:18" x14ac:dyDescent="0.3">
      <c r="R372" s="54"/>
    </row>
    <row r="373" spans="18:18" x14ac:dyDescent="0.3">
      <c r="R373" s="54"/>
    </row>
    <row r="374" spans="18:18" x14ac:dyDescent="0.3">
      <c r="R374" s="54"/>
    </row>
    <row r="375" spans="18:18" x14ac:dyDescent="0.3">
      <c r="R375" s="54"/>
    </row>
    <row r="376" spans="18:18" x14ac:dyDescent="0.3">
      <c r="R376" s="54"/>
    </row>
    <row r="377" spans="18:18" x14ac:dyDescent="0.3">
      <c r="R377" s="54"/>
    </row>
    <row r="378" spans="18:18" x14ac:dyDescent="0.3">
      <c r="R378" s="54"/>
    </row>
    <row r="379" spans="18:18" x14ac:dyDescent="0.3">
      <c r="R379" s="54"/>
    </row>
    <row r="380" spans="18:18" x14ac:dyDescent="0.3">
      <c r="R380" s="54"/>
    </row>
    <row r="381" spans="18:18" x14ac:dyDescent="0.3">
      <c r="R381" s="54"/>
    </row>
    <row r="382" spans="18:18" x14ac:dyDescent="0.3">
      <c r="R382" s="54"/>
    </row>
    <row r="383" spans="18:18" x14ac:dyDescent="0.3">
      <c r="R383" s="54"/>
    </row>
    <row r="384" spans="18:18" x14ac:dyDescent="0.3">
      <c r="R384" s="54"/>
    </row>
    <row r="385" spans="18:18" x14ac:dyDescent="0.3">
      <c r="R385" s="54"/>
    </row>
    <row r="386" spans="18:18" x14ac:dyDescent="0.3">
      <c r="R386" s="54"/>
    </row>
    <row r="387" spans="18:18" x14ac:dyDescent="0.3">
      <c r="R387" s="54"/>
    </row>
    <row r="388" spans="18:18" x14ac:dyDescent="0.3">
      <c r="R388" s="54"/>
    </row>
    <row r="389" spans="18:18" x14ac:dyDescent="0.3">
      <c r="R389" s="54"/>
    </row>
    <row r="390" spans="18:18" x14ac:dyDescent="0.3">
      <c r="R390" s="54"/>
    </row>
    <row r="391" spans="18:18" x14ac:dyDescent="0.3">
      <c r="R391" s="54"/>
    </row>
    <row r="392" spans="18:18" x14ac:dyDescent="0.3">
      <c r="R392" s="54"/>
    </row>
    <row r="393" spans="18:18" x14ac:dyDescent="0.3">
      <c r="R393" s="54"/>
    </row>
    <row r="394" spans="18:18" x14ac:dyDescent="0.3">
      <c r="R394" s="54"/>
    </row>
    <row r="395" spans="18:18" x14ac:dyDescent="0.3">
      <c r="R395" s="54"/>
    </row>
    <row r="396" spans="18:18" x14ac:dyDescent="0.3">
      <c r="R396" s="54"/>
    </row>
    <row r="397" spans="18:18" x14ac:dyDescent="0.3">
      <c r="R397" s="54"/>
    </row>
    <row r="398" spans="18:18" x14ac:dyDescent="0.3">
      <c r="R398" s="54"/>
    </row>
    <row r="399" spans="18:18" x14ac:dyDescent="0.3">
      <c r="R399" s="54"/>
    </row>
    <row r="400" spans="18:18" x14ac:dyDescent="0.3">
      <c r="R400" s="54"/>
    </row>
    <row r="401" spans="18:18" x14ac:dyDescent="0.3">
      <c r="R401" s="54"/>
    </row>
    <row r="402" spans="18:18" x14ac:dyDescent="0.3">
      <c r="R402" s="54"/>
    </row>
    <row r="403" spans="18:18" x14ac:dyDescent="0.3">
      <c r="R403" s="54"/>
    </row>
    <row r="404" spans="18:18" x14ac:dyDescent="0.3">
      <c r="R404" s="54"/>
    </row>
    <row r="405" spans="18:18" x14ac:dyDescent="0.3">
      <c r="R405" s="54"/>
    </row>
    <row r="406" spans="18:18" x14ac:dyDescent="0.3">
      <c r="R406" s="54"/>
    </row>
    <row r="407" spans="18:18" x14ac:dyDescent="0.3">
      <c r="R407" s="54"/>
    </row>
    <row r="408" spans="18:18" x14ac:dyDescent="0.3">
      <c r="R408" s="54"/>
    </row>
    <row r="409" spans="18:18" x14ac:dyDescent="0.3">
      <c r="R409" s="54"/>
    </row>
    <row r="410" spans="18:18" x14ac:dyDescent="0.3">
      <c r="R410" s="54"/>
    </row>
    <row r="411" spans="18:18" x14ac:dyDescent="0.3">
      <c r="R411" s="54"/>
    </row>
    <row r="412" spans="18:18" x14ac:dyDescent="0.3">
      <c r="R412" s="54"/>
    </row>
    <row r="413" spans="18:18" x14ac:dyDescent="0.3">
      <c r="R413" s="54"/>
    </row>
    <row r="414" spans="18:18" x14ac:dyDescent="0.3">
      <c r="R414" s="54"/>
    </row>
    <row r="415" spans="18:18" x14ac:dyDescent="0.3">
      <c r="R415" s="54"/>
    </row>
    <row r="416" spans="18:18" x14ac:dyDescent="0.3">
      <c r="R416" s="54"/>
    </row>
    <row r="417" spans="18:18" x14ac:dyDescent="0.3">
      <c r="R417" s="54"/>
    </row>
    <row r="418" spans="18:18" x14ac:dyDescent="0.3">
      <c r="R418" s="54"/>
    </row>
    <row r="419" spans="18:18" x14ac:dyDescent="0.3">
      <c r="R419" s="54"/>
    </row>
    <row r="420" spans="18:18" x14ac:dyDescent="0.3">
      <c r="R420" s="54"/>
    </row>
    <row r="421" spans="18:18" x14ac:dyDescent="0.3">
      <c r="R421" s="54"/>
    </row>
    <row r="422" spans="18:18" x14ac:dyDescent="0.3">
      <c r="R422" s="54"/>
    </row>
    <row r="423" spans="18:18" x14ac:dyDescent="0.3">
      <c r="R423" s="54"/>
    </row>
    <row r="424" spans="18:18" x14ac:dyDescent="0.3">
      <c r="R424" s="54"/>
    </row>
    <row r="425" spans="18:18" x14ac:dyDescent="0.3">
      <c r="R425" s="54"/>
    </row>
    <row r="426" spans="18:18" x14ac:dyDescent="0.3">
      <c r="R426" s="54"/>
    </row>
    <row r="427" spans="18:18" x14ac:dyDescent="0.3">
      <c r="R427" s="54"/>
    </row>
    <row r="428" spans="18:18" x14ac:dyDescent="0.3">
      <c r="R428" s="54"/>
    </row>
    <row r="429" spans="18:18" x14ac:dyDescent="0.3">
      <c r="R429" s="54"/>
    </row>
    <row r="430" spans="18:18" x14ac:dyDescent="0.3">
      <c r="R430" s="54"/>
    </row>
    <row r="431" spans="18:18" x14ac:dyDescent="0.3">
      <c r="R431" s="54"/>
    </row>
    <row r="432" spans="18:18" x14ac:dyDescent="0.3">
      <c r="R432" s="54"/>
    </row>
    <row r="433" spans="18:18" x14ac:dyDescent="0.3">
      <c r="R433" s="54"/>
    </row>
    <row r="434" spans="18:18" x14ac:dyDescent="0.3">
      <c r="R434" s="54"/>
    </row>
    <row r="435" spans="18:18" x14ac:dyDescent="0.3">
      <c r="R435" s="54"/>
    </row>
    <row r="436" spans="18:18" x14ac:dyDescent="0.3">
      <c r="R436" s="54"/>
    </row>
    <row r="437" spans="18:18" x14ac:dyDescent="0.3">
      <c r="R437" s="54"/>
    </row>
    <row r="438" spans="18:18" x14ac:dyDescent="0.3">
      <c r="R438" s="54"/>
    </row>
    <row r="439" spans="18:18" x14ac:dyDescent="0.3">
      <c r="R439" s="54"/>
    </row>
    <row r="440" spans="18:18" x14ac:dyDescent="0.3">
      <c r="R440" s="54"/>
    </row>
    <row r="441" spans="18:18" x14ac:dyDescent="0.3">
      <c r="R441" s="54"/>
    </row>
    <row r="442" spans="18:18" x14ac:dyDescent="0.3">
      <c r="R442" s="54"/>
    </row>
    <row r="443" spans="18:18" x14ac:dyDescent="0.3">
      <c r="R443" s="54"/>
    </row>
    <row r="444" spans="18:18" x14ac:dyDescent="0.3">
      <c r="R444" s="54"/>
    </row>
    <row r="445" spans="18:18" x14ac:dyDescent="0.3">
      <c r="R445" s="54"/>
    </row>
    <row r="446" spans="18:18" x14ac:dyDescent="0.3">
      <c r="R446" s="54"/>
    </row>
    <row r="447" spans="18:18" x14ac:dyDescent="0.3">
      <c r="R447" s="54"/>
    </row>
    <row r="448" spans="18:18" x14ac:dyDescent="0.3">
      <c r="R448" s="54"/>
    </row>
    <row r="449" spans="18:18" x14ac:dyDescent="0.3">
      <c r="R449" s="54"/>
    </row>
    <row r="450" spans="18:18" x14ac:dyDescent="0.3">
      <c r="R450" s="54"/>
    </row>
    <row r="451" spans="18:18" x14ac:dyDescent="0.3">
      <c r="R451" s="54"/>
    </row>
    <row r="452" spans="18:18" x14ac:dyDescent="0.3">
      <c r="R452" s="54"/>
    </row>
  </sheetData>
  <mergeCells count="2">
    <mergeCell ref="A1:Q1"/>
    <mergeCell ref="O3:P3"/>
  </mergeCells>
  <conditionalFormatting sqref="B8:D11 F12:H14">
    <cfRule type="expression" dxfId="6" priority="6" stopIfTrue="1">
      <formula>INFILTER_TYPE=1</formula>
    </cfRule>
  </conditionalFormatting>
  <conditionalFormatting sqref="A5:Q7 E9:F11 I8:Q14 A15:Q80 A8:A11 A12:E14">
    <cfRule type="expression" dxfId="5" priority="5">
      <formula>MODE=2</formula>
    </cfRule>
  </conditionalFormatting>
  <conditionalFormatting sqref="G8:G11">
    <cfRule type="expression" dxfId="4" priority="4" stopIfTrue="1">
      <formula>INFILTER_TYPE=1</formula>
    </cfRule>
  </conditionalFormatting>
  <conditionalFormatting sqref="F8">
    <cfRule type="expression" dxfId="3" priority="3" stopIfTrue="1">
      <formula>INFILTER_TYPE=1</formula>
    </cfRule>
  </conditionalFormatting>
  <conditionalFormatting sqref="E8">
    <cfRule type="expression" dxfId="2" priority="2">
      <formula>MODE=2</formula>
    </cfRule>
  </conditionalFormatting>
  <conditionalFormatting sqref="H8:H11">
    <cfRule type="expression" dxfId="1" priority="1" stopIfTrue="1">
      <formula>INFILTER_TYPE=1</formula>
    </cfRule>
  </conditionalFormatting>
  <hyperlinks>
    <hyperlink ref="O2" r:id="rId1" xr:uid="{00000000-0004-0000-0200-000000000000}"/>
    <hyperlink ref="C3" r:id="rId2" xr:uid="{00000000-0004-0000-0200-000001000000}"/>
  </hyperlinks>
  <pageMargins left="0.7" right="0.7" top="0.75" bottom="0.75" header="0.3" footer="0.3"/>
  <pageSetup orientation="portrait" r:id="rId3"/>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M61"/>
  <sheetViews>
    <sheetView zoomScaleNormal="100" workbookViewId="0">
      <selection activeCell="A37" sqref="A37"/>
    </sheetView>
  </sheetViews>
  <sheetFormatPr defaultRowHeight="12.5" x14ac:dyDescent="0.25"/>
  <cols>
    <col min="1" max="1" width="9.54296875" style="211" customWidth="1"/>
    <col min="2" max="2" width="20.36328125" style="211" customWidth="1"/>
    <col min="3" max="3" width="16.08984375" style="211" customWidth="1"/>
    <col min="4" max="4" width="20.08984375" style="211" customWidth="1"/>
    <col min="5" max="5" width="17.36328125" style="211" customWidth="1"/>
    <col min="6" max="6" width="20.54296875" style="211" bestFit="1" customWidth="1"/>
    <col min="7" max="7" width="9.6328125" style="211" customWidth="1"/>
    <col min="8" max="8" width="16.08984375" style="211" customWidth="1"/>
    <col min="9" max="9" width="17" style="211" customWidth="1"/>
    <col min="10" max="10" width="14.453125" style="211" customWidth="1"/>
    <col min="11" max="11" width="26.453125" style="211" customWidth="1"/>
    <col min="12" max="12" width="9.08984375" style="211"/>
    <col min="13" max="13" width="9.08984375" style="212"/>
    <col min="14" max="256" width="9.08984375" style="211"/>
    <col min="257" max="257" width="8.6328125" style="211" bestFit="1" customWidth="1"/>
    <col min="258" max="258" width="13.36328125" style="211" customWidth="1"/>
    <col min="259" max="259" width="16.08984375" style="211" bestFit="1" customWidth="1"/>
    <col min="260" max="260" width="23.54296875" style="211" customWidth="1"/>
    <col min="261" max="261" width="17.36328125" style="211" customWidth="1"/>
    <col min="262" max="262" width="20.54296875" style="211" bestFit="1" customWidth="1"/>
    <col min="263" max="263" width="17.08984375" style="211" customWidth="1"/>
    <col min="264" max="264" width="21.6328125" style="211" bestFit="1" customWidth="1"/>
    <col min="265" max="265" width="17.08984375" style="211" bestFit="1" customWidth="1"/>
    <col min="266" max="266" width="18.08984375" style="211" bestFit="1" customWidth="1"/>
    <col min="267" max="267" width="26.453125" style="211" customWidth="1"/>
    <col min="268" max="512" width="9.08984375" style="211"/>
    <col min="513" max="513" width="8.6328125" style="211" bestFit="1" customWidth="1"/>
    <col min="514" max="514" width="13.36328125" style="211" customWidth="1"/>
    <col min="515" max="515" width="16.08984375" style="211" bestFit="1" customWidth="1"/>
    <col min="516" max="516" width="23.54296875" style="211" customWidth="1"/>
    <col min="517" max="517" width="17.36328125" style="211" customWidth="1"/>
    <col min="518" max="518" width="20.54296875" style="211" bestFit="1" customWidth="1"/>
    <col min="519" max="519" width="17.08984375" style="211" customWidth="1"/>
    <col min="520" max="520" width="21.6328125" style="211" bestFit="1" customWidth="1"/>
    <col min="521" max="521" width="17.08984375" style="211" bestFit="1" customWidth="1"/>
    <col min="522" max="522" width="18.08984375" style="211" bestFit="1" customWidth="1"/>
    <col min="523" max="523" width="26.453125" style="211" customWidth="1"/>
    <col min="524" max="768" width="9.08984375" style="211"/>
    <col min="769" max="769" width="8.6328125" style="211" bestFit="1" customWidth="1"/>
    <col min="770" max="770" width="13.36328125" style="211" customWidth="1"/>
    <col min="771" max="771" width="16.08984375" style="211" bestFit="1" customWidth="1"/>
    <col min="772" max="772" width="23.54296875" style="211" customWidth="1"/>
    <col min="773" max="773" width="17.36328125" style="211" customWidth="1"/>
    <col min="774" max="774" width="20.54296875" style="211" bestFit="1" customWidth="1"/>
    <col min="775" max="775" width="17.08984375" style="211" customWidth="1"/>
    <col min="776" max="776" width="21.6328125" style="211" bestFit="1" customWidth="1"/>
    <col min="777" max="777" width="17.08984375" style="211" bestFit="1" customWidth="1"/>
    <col min="778" max="778" width="18.08984375" style="211" bestFit="1" customWidth="1"/>
    <col min="779" max="779" width="26.453125" style="211" customWidth="1"/>
    <col min="780" max="1024" width="9.08984375" style="211"/>
    <col min="1025" max="1025" width="8.6328125" style="211" bestFit="1" customWidth="1"/>
    <col min="1026" max="1026" width="13.36328125" style="211" customWidth="1"/>
    <col min="1027" max="1027" width="16.08984375" style="211" bestFit="1" customWidth="1"/>
    <col min="1028" max="1028" width="23.54296875" style="211" customWidth="1"/>
    <col min="1029" max="1029" width="17.36328125" style="211" customWidth="1"/>
    <col min="1030" max="1030" width="20.54296875" style="211" bestFit="1" customWidth="1"/>
    <col min="1031" max="1031" width="17.08984375" style="211" customWidth="1"/>
    <col min="1032" max="1032" width="21.6328125" style="211" bestFit="1" customWidth="1"/>
    <col min="1033" max="1033" width="17.08984375" style="211" bestFit="1" customWidth="1"/>
    <col min="1034" max="1034" width="18.08984375" style="211" bestFit="1" customWidth="1"/>
    <col min="1035" max="1035" width="26.453125" style="211" customWidth="1"/>
    <col min="1036" max="1280" width="9.08984375" style="211"/>
    <col min="1281" max="1281" width="8.6328125" style="211" bestFit="1" customWidth="1"/>
    <col min="1282" max="1282" width="13.36328125" style="211" customWidth="1"/>
    <col min="1283" max="1283" width="16.08984375" style="211" bestFit="1" customWidth="1"/>
    <col min="1284" max="1284" width="23.54296875" style="211" customWidth="1"/>
    <col min="1285" max="1285" width="17.36328125" style="211" customWidth="1"/>
    <col min="1286" max="1286" width="20.54296875" style="211" bestFit="1" customWidth="1"/>
    <col min="1287" max="1287" width="17.08984375" style="211" customWidth="1"/>
    <col min="1288" max="1288" width="21.6328125" style="211" bestFit="1" customWidth="1"/>
    <col min="1289" max="1289" width="17.08984375" style="211" bestFit="1" customWidth="1"/>
    <col min="1290" max="1290" width="18.08984375" style="211" bestFit="1" customWidth="1"/>
    <col min="1291" max="1291" width="26.453125" style="211" customWidth="1"/>
    <col min="1292" max="1536" width="9.08984375" style="211"/>
    <col min="1537" max="1537" width="8.6328125" style="211" bestFit="1" customWidth="1"/>
    <col min="1538" max="1538" width="13.36328125" style="211" customWidth="1"/>
    <col min="1539" max="1539" width="16.08984375" style="211" bestFit="1" customWidth="1"/>
    <col min="1540" max="1540" width="23.54296875" style="211" customWidth="1"/>
    <col min="1541" max="1541" width="17.36328125" style="211" customWidth="1"/>
    <col min="1542" max="1542" width="20.54296875" style="211" bestFit="1" customWidth="1"/>
    <col min="1543" max="1543" width="17.08984375" style="211" customWidth="1"/>
    <col min="1544" max="1544" width="21.6328125" style="211" bestFit="1" customWidth="1"/>
    <col min="1545" max="1545" width="17.08984375" style="211" bestFit="1" customWidth="1"/>
    <col min="1546" max="1546" width="18.08984375" style="211" bestFit="1" customWidth="1"/>
    <col min="1547" max="1547" width="26.453125" style="211" customWidth="1"/>
    <col min="1548" max="1792" width="9.08984375" style="211"/>
    <col min="1793" max="1793" width="8.6328125" style="211" bestFit="1" customWidth="1"/>
    <col min="1794" max="1794" width="13.36328125" style="211" customWidth="1"/>
    <col min="1795" max="1795" width="16.08984375" style="211" bestFit="1" customWidth="1"/>
    <col min="1796" max="1796" width="23.54296875" style="211" customWidth="1"/>
    <col min="1797" max="1797" width="17.36328125" style="211" customWidth="1"/>
    <col min="1798" max="1798" width="20.54296875" style="211" bestFit="1" customWidth="1"/>
    <col min="1799" max="1799" width="17.08984375" style="211" customWidth="1"/>
    <col min="1800" max="1800" width="21.6328125" style="211" bestFit="1" customWidth="1"/>
    <col min="1801" max="1801" width="17.08984375" style="211" bestFit="1" customWidth="1"/>
    <col min="1802" max="1802" width="18.08984375" style="211" bestFit="1" customWidth="1"/>
    <col min="1803" max="1803" width="26.453125" style="211" customWidth="1"/>
    <col min="1804" max="2048" width="9.08984375" style="211"/>
    <col min="2049" max="2049" width="8.6328125" style="211" bestFit="1" customWidth="1"/>
    <col min="2050" max="2050" width="13.36328125" style="211" customWidth="1"/>
    <col min="2051" max="2051" width="16.08984375" style="211" bestFit="1" customWidth="1"/>
    <col min="2052" max="2052" width="23.54296875" style="211" customWidth="1"/>
    <col min="2053" max="2053" width="17.36328125" style="211" customWidth="1"/>
    <col min="2054" max="2054" width="20.54296875" style="211" bestFit="1" customWidth="1"/>
    <col min="2055" max="2055" width="17.08984375" style="211" customWidth="1"/>
    <col min="2056" max="2056" width="21.6328125" style="211" bestFit="1" customWidth="1"/>
    <col min="2057" max="2057" width="17.08984375" style="211" bestFit="1" customWidth="1"/>
    <col min="2058" max="2058" width="18.08984375" style="211" bestFit="1" customWidth="1"/>
    <col min="2059" max="2059" width="26.453125" style="211" customWidth="1"/>
    <col min="2060" max="2304" width="9.08984375" style="211"/>
    <col min="2305" max="2305" width="8.6328125" style="211" bestFit="1" customWidth="1"/>
    <col min="2306" max="2306" width="13.36328125" style="211" customWidth="1"/>
    <col min="2307" max="2307" width="16.08984375" style="211" bestFit="1" customWidth="1"/>
    <col min="2308" max="2308" width="23.54296875" style="211" customWidth="1"/>
    <col min="2309" max="2309" width="17.36328125" style="211" customWidth="1"/>
    <col min="2310" max="2310" width="20.54296875" style="211" bestFit="1" customWidth="1"/>
    <col min="2311" max="2311" width="17.08984375" style="211" customWidth="1"/>
    <col min="2312" max="2312" width="21.6328125" style="211" bestFit="1" customWidth="1"/>
    <col min="2313" max="2313" width="17.08984375" style="211" bestFit="1" customWidth="1"/>
    <col min="2314" max="2314" width="18.08984375" style="211" bestFit="1" customWidth="1"/>
    <col min="2315" max="2315" width="26.453125" style="211" customWidth="1"/>
    <col min="2316" max="2560" width="9.08984375" style="211"/>
    <col min="2561" max="2561" width="8.6328125" style="211" bestFit="1" customWidth="1"/>
    <col min="2562" max="2562" width="13.36328125" style="211" customWidth="1"/>
    <col min="2563" max="2563" width="16.08984375" style="211" bestFit="1" customWidth="1"/>
    <col min="2564" max="2564" width="23.54296875" style="211" customWidth="1"/>
    <col min="2565" max="2565" width="17.36328125" style="211" customWidth="1"/>
    <col min="2566" max="2566" width="20.54296875" style="211" bestFit="1" customWidth="1"/>
    <col min="2567" max="2567" width="17.08984375" style="211" customWidth="1"/>
    <col min="2568" max="2568" width="21.6328125" style="211" bestFit="1" customWidth="1"/>
    <col min="2569" max="2569" width="17.08984375" style="211" bestFit="1" customWidth="1"/>
    <col min="2570" max="2570" width="18.08984375" style="211" bestFit="1" customWidth="1"/>
    <col min="2571" max="2571" width="26.453125" style="211" customWidth="1"/>
    <col min="2572" max="2816" width="9.08984375" style="211"/>
    <col min="2817" max="2817" width="8.6328125" style="211" bestFit="1" customWidth="1"/>
    <col min="2818" max="2818" width="13.36328125" style="211" customWidth="1"/>
    <col min="2819" max="2819" width="16.08984375" style="211" bestFit="1" customWidth="1"/>
    <col min="2820" max="2820" width="23.54296875" style="211" customWidth="1"/>
    <col min="2821" max="2821" width="17.36328125" style="211" customWidth="1"/>
    <col min="2822" max="2822" width="20.54296875" style="211" bestFit="1" customWidth="1"/>
    <col min="2823" max="2823" width="17.08984375" style="211" customWidth="1"/>
    <col min="2824" max="2824" width="21.6328125" style="211" bestFit="1" customWidth="1"/>
    <col min="2825" max="2825" width="17.08984375" style="211" bestFit="1" customWidth="1"/>
    <col min="2826" max="2826" width="18.08984375" style="211" bestFit="1" customWidth="1"/>
    <col min="2827" max="2827" width="26.453125" style="211" customWidth="1"/>
    <col min="2828" max="3072" width="9.08984375" style="211"/>
    <col min="3073" max="3073" width="8.6328125" style="211" bestFit="1" customWidth="1"/>
    <col min="3074" max="3074" width="13.36328125" style="211" customWidth="1"/>
    <col min="3075" max="3075" width="16.08984375" style="211" bestFit="1" customWidth="1"/>
    <col min="3076" max="3076" width="23.54296875" style="211" customWidth="1"/>
    <col min="3077" max="3077" width="17.36328125" style="211" customWidth="1"/>
    <col min="3078" max="3078" width="20.54296875" style="211" bestFit="1" customWidth="1"/>
    <col min="3079" max="3079" width="17.08984375" style="211" customWidth="1"/>
    <col min="3080" max="3080" width="21.6328125" style="211" bestFit="1" customWidth="1"/>
    <col min="3081" max="3081" width="17.08984375" style="211" bestFit="1" customWidth="1"/>
    <col min="3082" max="3082" width="18.08984375" style="211" bestFit="1" customWidth="1"/>
    <col min="3083" max="3083" width="26.453125" style="211" customWidth="1"/>
    <col min="3084" max="3328" width="9.08984375" style="211"/>
    <col min="3329" max="3329" width="8.6328125" style="211" bestFit="1" customWidth="1"/>
    <col min="3330" max="3330" width="13.36328125" style="211" customWidth="1"/>
    <col min="3331" max="3331" width="16.08984375" style="211" bestFit="1" customWidth="1"/>
    <col min="3332" max="3332" width="23.54296875" style="211" customWidth="1"/>
    <col min="3333" max="3333" width="17.36328125" style="211" customWidth="1"/>
    <col min="3334" max="3334" width="20.54296875" style="211" bestFit="1" customWidth="1"/>
    <col min="3335" max="3335" width="17.08984375" style="211" customWidth="1"/>
    <col min="3336" max="3336" width="21.6328125" style="211" bestFit="1" customWidth="1"/>
    <col min="3337" max="3337" width="17.08984375" style="211" bestFit="1" customWidth="1"/>
    <col min="3338" max="3338" width="18.08984375" style="211" bestFit="1" customWidth="1"/>
    <col min="3339" max="3339" width="26.453125" style="211" customWidth="1"/>
    <col min="3340" max="3584" width="9.08984375" style="211"/>
    <col min="3585" max="3585" width="8.6328125" style="211" bestFit="1" customWidth="1"/>
    <col min="3586" max="3586" width="13.36328125" style="211" customWidth="1"/>
    <col min="3587" max="3587" width="16.08984375" style="211" bestFit="1" customWidth="1"/>
    <col min="3588" max="3588" width="23.54296875" style="211" customWidth="1"/>
    <col min="3589" max="3589" width="17.36328125" style="211" customWidth="1"/>
    <col min="3590" max="3590" width="20.54296875" style="211" bestFit="1" customWidth="1"/>
    <col min="3591" max="3591" width="17.08984375" style="211" customWidth="1"/>
    <col min="3592" max="3592" width="21.6328125" style="211" bestFit="1" customWidth="1"/>
    <col min="3593" max="3593" width="17.08984375" style="211" bestFit="1" customWidth="1"/>
    <col min="3594" max="3594" width="18.08984375" style="211" bestFit="1" customWidth="1"/>
    <col min="3595" max="3595" width="26.453125" style="211" customWidth="1"/>
    <col min="3596" max="3840" width="9.08984375" style="211"/>
    <col min="3841" max="3841" width="8.6328125" style="211" bestFit="1" customWidth="1"/>
    <col min="3842" max="3842" width="13.36328125" style="211" customWidth="1"/>
    <col min="3843" max="3843" width="16.08984375" style="211" bestFit="1" customWidth="1"/>
    <col min="3844" max="3844" width="23.54296875" style="211" customWidth="1"/>
    <col min="3845" max="3845" width="17.36328125" style="211" customWidth="1"/>
    <col min="3846" max="3846" width="20.54296875" style="211" bestFit="1" customWidth="1"/>
    <col min="3847" max="3847" width="17.08984375" style="211" customWidth="1"/>
    <col min="3848" max="3848" width="21.6328125" style="211" bestFit="1" customWidth="1"/>
    <col min="3849" max="3849" width="17.08984375" style="211" bestFit="1" customWidth="1"/>
    <col min="3850" max="3850" width="18.08984375" style="211" bestFit="1" customWidth="1"/>
    <col min="3851" max="3851" width="26.453125" style="211" customWidth="1"/>
    <col min="3852" max="4096" width="9.08984375" style="211"/>
    <col min="4097" max="4097" width="8.6328125" style="211" bestFit="1" customWidth="1"/>
    <col min="4098" max="4098" width="13.36328125" style="211" customWidth="1"/>
    <col min="4099" max="4099" width="16.08984375" style="211" bestFit="1" customWidth="1"/>
    <col min="4100" max="4100" width="23.54296875" style="211" customWidth="1"/>
    <col min="4101" max="4101" width="17.36328125" style="211" customWidth="1"/>
    <col min="4102" max="4102" width="20.54296875" style="211" bestFit="1" customWidth="1"/>
    <col min="4103" max="4103" width="17.08984375" style="211" customWidth="1"/>
    <col min="4104" max="4104" width="21.6328125" style="211" bestFit="1" customWidth="1"/>
    <col min="4105" max="4105" width="17.08984375" style="211" bestFit="1" customWidth="1"/>
    <col min="4106" max="4106" width="18.08984375" style="211" bestFit="1" customWidth="1"/>
    <col min="4107" max="4107" width="26.453125" style="211" customWidth="1"/>
    <col min="4108" max="4352" width="9.08984375" style="211"/>
    <col min="4353" max="4353" width="8.6328125" style="211" bestFit="1" customWidth="1"/>
    <col min="4354" max="4354" width="13.36328125" style="211" customWidth="1"/>
    <col min="4355" max="4355" width="16.08984375" style="211" bestFit="1" customWidth="1"/>
    <col min="4356" max="4356" width="23.54296875" style="211" customWidth="1"/>
    <col min="4357" max="4357" width="17.36328125" style="211" customWidth="1"/>
    <col min="4358" max="4358" width="20.54296875" style="211" bestFit="1" customWidth="1"/>
    <col min="4359" max="4359" width="17.08984375" style="211" customWidth="1"/>
    <col min="4360" max="4360" width="21.6328125" style="211" bestFit="1" customWidth="1"/>
    <col min="4361" max="4361" width="17.08984375" style="211" bestFit="1" customWidth="1"/>
    <col min="4362" max="4362" width="18.08984375" style="211" bestFit="1" customWidth="1"/>
    <col min="4363" max="4363" width="26.453125" style="211" customWidth="1"/>
    <col min="4364" max="4608" width="9.08984375" style="211"/>
    <col min="4609" max="4609" width="8.6328125" style="211" bestFit="1" customWidth="1"/>
    <col min="4610" max="4610" width="13.36328125" style="211" customWidth="1"/>
    <col min="4611" max="4611" width="16.08984375" style="211" bestFit="1" customWidth="1"/>
    <col min="4612" max="4612" width="23.54296875" style="211" customWidth="1"/>
    <col min="4613" max="4613" width="17.36328125" style="211" customWidth="1"/>
    <col min="4614" max="4614" width="20.54296875" style="211" bestFit="1" customWidth="1"/>
    <col min="4615" max="4615" width="17.08984375" style="211" customWidth="1"/>
    <col min="4616" max="4616" width="21.6328125" style="211" bestFit="1" customWidth="1"/>
    <col min="4617" max="4617" width="17.08984375" style="211" bestFit="1" customWidth="1"/>
    <col min="4618" max="4618" width="18.08984375" style="211" bestFit="1" customWidth="1"/>
    <col min="4619" max="4619" width="26.453125" style="211" customWidth="1"/>
    <col min="4620" max="4864" width="9.08984375" style="211"/>
    <col min="4865" max="4865" width="8.6328125" style="211" bestFit="1" customWidth="1"/>
    <col min="4866" max="4866" width="13.36328125" style="211" customWidth="1"/>
    <col min="4867" max="4867" width="16.08984375" style="211" bestFit="1" customWidth="1"/>
    <col min="4868" max="4868" width="23.54296875" style="211" customWidth="1"/>
    <col min="4869" max="4869" width="17.36328125" style="211" customWidth="1"/>
    <col min="4870" max="4870" width="20.54296875" style="211" bestFit="1" customWidth="1"/>
    <col min="4871" max="4871" width="17.08984375" style="211" customWidth="1"/>
    <col min="4872" max="4872" width="21.6328125" style="211" bestFit="1" customWidth="1"/>
    <col min="4873" max="4873" width="17.08984375" style="211" bestFit="1" customWidth="1"/>
    <col min="4874" max="4874" width="18.08984375" style="211" bestFit="1" customWidth="1"/>
    <col min="4875" max="4875" width="26.453125" style="211" customWidth="1"/>
    <col min="4876" max="5120" width="9.08984375" style="211"/>
    <col min="5121" max="5121" width="8.6328125" style="211" bestFit="1" customWidth="1"/>
    <col min="5122" max="5122" width="13.36328125" style="211" customWidth="1"/>
    <col min="5123" max="5123" width="16.08984375" style="211" bestFit="1" customWidth="1"/>
    <col min="5124" max="5124" width="23.54296875" style="211" customWidth="1"/>
    <col min="5125" max="5125" width="17.36328125" style="211" customWidth="1"/>
    <col min="5126" max="5126" width="20.54296875" style="211" bestFit="1" customWidth="1"/>
    <col min="5127" max="5127" width="17.08984375" style="211" customWidth="1"/>
    <col min="5128" max="5128" width="21.6328125" style="211" bestFit="1" customWidth="1"/>
    <col min="5129" max="5129" width="17.08984375" style="211" bestFit="1" customWidth="1"/>
    <col min="5130" max="5130" width="18.08984375" style="211" bestFit="1" customWidth="1"/>
    <col min="5131" max="5131" width="26.453125" style="211" customWidth="1"/>
    <col min="5132" max="5376" width="9.08984375" style="211"/>
    <col min="5377" max="5377" width="8.6328125" style="211" bestFit="1" customWidth="1"/>
    <col min="5378" max="5378" width="13.36328125" style="211" customWidth="1"/>
    <col min="5379" max="5379" width="16.08984375" style="211" bestFit="1" customWidth="1"/>
    <col min="5380" max="5380" width="23.54296875" style="211" customWidth="1"/>
    <col min="5381" max="5381" width="17.36328125" style="211" customWidth="1"/>
    <col min="5382" max="5382" width="20.54296875" style="211" bestFit="1" customWidth="1"/>
    <col min="5383" max="5383" width="17.08984375" style="211" customWidth="1"/>
    <col min="5384" max="5384" width="21.6328125" style="211" bestFit="1" customWidth="1"/>
    <col min="5385" max="5385" width="17.08984375" style="211" bestFit="1" customWidth="1"/>
    <col min="5386" max="5386" width="18.08984375" style="211" bestFit="1" customWidth="1"/>
    <col min="5387" max="5387" width="26.453125" style="211" customWidth="1"/>
    <col min="5388" max="5632" width="9.08984375" style="211"/>
    <col min="5633" max="5633" width="8.6328125" style="211" bestFit="1" customWidth="1"/>
    <col min="5634" max="5634" width="13.36328125" style="211" customWidth="1"/>
    <col min="5635" max="5635" width="16.08984375" style="211" bestFit="1" customWidth="1"/>
    <col min="5636" max="5636" width="23.54296875" style="211" customWidth="1"/>
    <col min="5637" max="5637" width="17.36328125" style="211" customWidth="1"/>
    <col min="5638" max="5638" width="20.54296875" style="211" bestFit="1" customWidth="1"/>
    <col min="5639" max="5639" width="17.08984375" style="211" customWidth="1"/>
    <col min="5640" max="5640" width="21.6328125" style="211" bestFit="1" customWidth="1"/>
    <col min="5641" max="5641" width="17.08984375" style="211" bestFit="1" customWidth="1"/>
    <col min="5642" max="5642" width="18.08984375" style="211" bestFit="1" customWidth="1"/>
    <col min="5643" max="5643" width="26.453125" style="211" customWidth="1"/>
    <col min="5644" max="5888" width="9.08984375" style="211"/>
    <col min="5889" max="5889" width="8.6328125" style="211" bestFit="1" customWidth="1"/>
    <col min="5890" max="5890" width="13.36328125" style="211" customWidth="1"/>
    <col min="5891" max="5891" width="16.08984375" style="211" bestFit="1" customWidth="1"/>
    <col min="5892" max="5892" width="23.54296875" style="211" customWidth="1"/>
    <col min="5893" max="5893" width="17.36328125" style="211" customWidth="1"/>
    <col min="5894" max="5894" width="20.54296875" style="211" bestFit="1" customWidth="1"/>
    <col min="5895" max="5895" width="17.08984375" style="211" customWidth="1"/>
    <col min="5896" max="5896" width="21.6328125" style="211" bestFit="1" customWidth="1"/>
    <col min="5897" max="5897" width="17.08984375" style="211" bestFit="1" customWidth="1"/>
    <col min="5898" max="5898" width="18.08984375" style="211" bestFit="1" customWidth="1"/>
    <col min="5899" max="5899" width="26.453125" style="211" customWidth="1"/>
    <col min="5900" max="6144" width="9.08984375" style="211"/>
    <col min="6145" max="6145" width="8.6328125" style="211" bestFit="1" customWidth="1"/>
    <col min="6146" max="6146" width="13.36328125" style="211" customWidth="1"/>
    <col min="6147" max="6147" width="16.08984375" style="211" bestFit="1" customWidth="1"/>
    <col min="6148" max="6148" width="23.54296875" style="211" customWidth="1"/>
    <col min="6149" max="6149" width="17.36328125" style="211" customWidth="1"/>
    <col min="6150" max="6150" width="20.54296875" style="211" bestFit="1" customWidth="1"/>
    <col min="6151" max="6151" width="17.08984375" style="211" customWidth="1"/>
    <col min="6152" max="6152" width="21.6328125" style="211" bestFit="1" customWidth="1"/>
    <col min="6153" max="6153" width="17.08984375" style="211" bestFit="1" customWidth="1"/>
    <col min="6154" max="6154" width="18.08984375" style="211" bestFit="1" customWidth="1"/>
    <col min="6155" max="6155" width="26.453125" style="211" customWidth="1"/>
    <col min="6156" max="6400" width="9.08984375" style="211"/>
    <col min="6401" max="6401" width="8.6328125" style="211" bestFit="1" customWidth="1"/>
    <col min="6402" max="6402" width="13.36328125" style="211" customWidth="1"/>
    <col min="6403" max="6403" width="16.08984375" style="211" bestFit="1" customWidth="1"/>
    <col min="6404" max="6404" width="23.54296875" style="211" customWidth="1"/>
    <col min="6405" max="6405" width="17.36328125" style="211" customWidth="1"/>
    <col min="6406" max="6406" width="20.54296875" style="211" bestFit="1" customWidth="1"/>
    <col min="6407" max="6407" width="17.08984375" style="211" customWidth="1"/>
    <col min="6408" max="6408" width="21.6328125" style="211" bestFit="1" customWidth="1"/>
    <col min="6409" max="6409" width="17.08984375" style="211" bestFit="1" customWidth="1"/>
    <col min="6410" max="6410" width="18.08984375" style="211" bestFit="1" customWidth="1"/>
    <col min="6411" max="6411" width="26.453125" style="211" customWidth="1"/>
    <col min="6412" max="6656" width="9.08984375" style="211"/>
    <col min="6657" max="6657" width="8.6328125" style="211" bestFit="1" customWidth="1"/>
    <col min="6658" max="6658" width="13.36328125" style="211" customWidth="1"/>
    <col min="6659" max="6659" width="16.08984375" style="211" bestFit="1" customWidth="1"/>
    <col min="6660" max="6660" width="23.54296875" style="211" customWidth="1"/>
    <col min="6661" max="6661" width="17.36328125" style="211" customWidth="1"/>
    <col min="6662" max="6662" width="20.54296875" style="211" bestFit="1" customWidth="1"/>
    <col min="6663" max="6663" width="17.08984375" style="211" customWidth="1"/>
    <col min="6664" max="6664" width="21.6328125" style="211" bestFit="1" customWidth="1"/>
    <col min="6665" max="6665" width="17.08984375" style="211" bestFit="1" customWidth="1"/>
    <col min="6666" max="6666" width="18.08984375" style="211" bestFit="1" customWidth="1"/>
    <col min="6667" max="6667" width="26.453125" style="211" customWidth="1"/>
    <col min="6668" max="6912" width="9.08984375" style="211"/>
    <col min="6913" max="6913" width="8.6328125" style="211" bestFit="1" customWidth="1"/>
    <col min="6914" max="6914" width="13.36328125" style="211" customWidth="1"/>
    <col min="6915" max="6915" width="16.08984375" style="211" bestFit="1" customWidth="1"/>
    <col min="6916" max="6916" width="23.54296875" style="211" customWidth="1"/>
    <col min="6917" max="6917" width="17.36328125" style="211" customWidth="1"/>
    <col min="6918" max="6918" width="20.54296875" style="211" bestFit="1" customWidth="1"/>
    <col min="6919" max="6919" width="17.08984375" style="211" customWidth="1"/>
    <col min="6920" max="6920" width="21.6328125" style="211" bestFit="1" customWidth="1"/>
    <col min="6921" max="6921" width="17.08984375" style="211" bestFit="1" customWidth="1"/>
    <col min="6922" max="6922" width="18.08984375" style="211" bestFit="1" customWidth="1"/>
    <col min="6923" max="6923" width="26.453125" style="211" customWidth="1"/>
    <col min="6924" max="7168" width="9.08984375" style="211"/>
    <col min="7169" max="7169" width="8.6328125" style="211" bestFit="1" customWidth="1"/>
    <col min="7170" max="7170" width="13.36328125" style="211" customWidth="1"/>
    <col min="7171" max="7171" width="16.08984375" style="211" bestFit="1" customWidth="1"/>
    <col min="7172" max="7172" width="23.54296875" style="211" customWidth="1"/>
    <col min="7173" max="7173" width="17.36328125" style="211" customWidth="1"/>
    <col min="7174" max="7174" width="20.54296875" style="211" bestFit="1" customWidth="1"/>
    <col min="7175" max="7175" width="17.08984375" style="211" customWidth="1"/>
    <col min="7176" max="7176" width="21.6328125" style="211" bestFit="1" customWidth="1"/>
    <col min="7177" max="7177" width="17.08984375" style="211" bestFit="1" customWidth="1"/>
    <col min="7178" max="7178" width="18.08984375" style="211" bestFit="1" customWidth="1"/>
    <col min="7179" max="7179" width="26.453125" style="211" customWidth="1"/>
    <col min="7180" max="7424" width="9.08984375" style="211"/>
    <col min="7425" max="7425" width="8.6328125" style="211" bestFit="1" customWidth="1"/>
    <col min="7426" max="7426" width="13.36328125" style="211" customWidth="1"/>
    <col min="7427" max="7427" width="16.08984375" style="211" bestFit="1" customWidth="1"/>
    <col min="7428" max="7428" width="23.54296875" style="211" customWidth="1"/>
    <col min="7429" max="7429" width="17.36328125" style="211" customWidth="1"/>
    <col min="7430" max="7430" width="20.54296875" style="211" bestFit="1" customWidth="1"/>
    <col min="7431" max="7431" width="17.08984375" style="211" customWidth="1"/>
    <col min="7432" max="7432" width="21.6328125" style="211" bestFit="1" customWidth="1"/>
    <col min="7433" max="7433" width="17.08984375" style="211" bestFit="1" customWidth="1"/>
    <col min="7434" max="7434" width="18.08984375" style="211" bestFit="1" customWidth="1"/>
    <col min="7435" max="7435" width="26.453125" style="211" customWidth="1"/>
    <col min="7436" max="7680" width="9.08984375" style="211"/>
    <col min="7681" max="7681" width="8.6328125" style="211" bestFit="1" customWidth="1"/>
    <col min="7682" max="7682" width="13.36328125" style="211" customWidth="1"/>
    <col min="7683" max="7683" width="16.08984375" style="211" bestFit="1" customWidth="1"/>
    <col min="7684" max="7684" width="23.54296875" style="211" customWidth="1"/>
    <col min="7685" max="7685" width="17.36328125" style="211" customWidth="1"/>
    <col min="7686" max="7686" width="20.54296875" style="211" bestFit="1" customWidth="1"/>
    <col min="7687" max="7687" width="17.08984375" style="211" customWidth="1"/>
    <col min="7688" max="7688" width="21.6328125" style="211" bestFit="1" customWidth="1"/>
    <col min="7689" max="7689" width="17.08984375" style="211" bestFit="1" customWidth="1"/>
    <col min="7690" max="7690" width="18.08984375" style="211" bestFit="1" customWidth="1"/>
    <col min="7691" max="7691" width="26.453125" style="211" customWidth="1"/>
    <col min="7692" max="7936" width="9.08984375" style="211"/>
    <col min="7937" max="7937" width="8.6328125" style="211" bestFit="1" customWidth="1"/>
    <col min="7938" max="7938" width="13.36328125" style="211" customWidth="1"/>
    <col min="7939" max="7939" width="16.08984375" style="211" bestFit="1" customWidth="1"/>
    <col min="7940" max="7940" width="23.54296875" style="211" customWidth="1"/>
    <col min="7941" max="7941" width="17.36328125" style="211" customWidth="1"/>
    <col min="7942" max="7942" width="20.54296875" style="211" bestFit="1" customWidth="1"/>
    <col min="7943" max="7943" width="17.08984375" style="211" customWidth="1"/>
    <col min="7944" max="7944" width="21.6328125" style="211" bestFit="1" customWidth="1"/>
    <col min="7945" max="7945" width="17.08984375" style="211" bestFit="1" customWidth="1"/>
    <col min="7946" max="7946" width="18.08984375" style="211" bestFit="1" customWidth="1"/>
    <col min="7947" max="7947" width="26.453125" style="211" customWidth="1"/>
    <col min="7948" max="8192" width="9.08984375" style="211"/>
    <col min="8193" max="8193" width="8.6328125" style="211" bestFit="1" customWidth="1"/>
    <col min="8194" max="8194" width="13.36328125" style="211" customWidth="1"/>
    <col min="8195" max="8195" width="16.08984375" style="211" bestFit="1" customWidth="1"/>
    <col min="8196" max="8196" width="23.54296875" style="211" customWidth="1"/>
    <col min="8197" max="8197" width="17.36328125" style="211" customWidth="1"/>
    <col min="8198" max="8198" width="20.54296875" style="211" bestFit="1" customWidth="1"/>
    <col min="8199" max="8199" width="17.08984375" style="211" customWidth="1"/>
    <col min="8200" max="8200" width="21.6328125" style="211" bestFit="1" customWidth="1"/>
    <col min="8201" max="8201" width="17.08984375" style="211" bestFit="1" customWidth="1"/>
    <col min="8202" max="8202" width="18.08984375" style="211" bestFit="1" customWidth="1"/>
    <col min="8203" max="8203" width="26.453125" style="211" customWidth="1"/>
    <col min="8204" max="8448" width="9.08984375" style="211"/>
    <col min="8449" max="8449" width="8.6328125" style="211" bestFit="1" customWidth="1"/>
    <col min="8450" max="8450" width="13.36328125" style="211" customWidth="1"/>
    <col min="8451" max="8451" width="16.08984375" style="211" bestFit="1" customWidth="1"/>
    <col min="8452" max="8452" width="23.54296875" style="211" customWidth="1"/>
    <col min="8453" max="8453" width="17.36328125" style="211" customWidth="1"/>
    <col min="8454" max="8454" width="20.54296875" style="211" bestFit="1" customWidth="1"/>
    <col min="8455" max="8455" width="17.08984375" style="211" customWidth="1"/>
    <col min="8456" max="8456" width="21.6328125" style="211" bestFit="1" customWidth="1"/>
    <col min="8457" max="8457" width="17.08984375" style="211" bestFit="1" customWidth="1"/>
    <col min="8458" max="8458" width="18.08984375" style="211" bestFit="1" customWidth="1"/>
    <col min="8459" max="8459" width="26.453125" style="211" customWidth="1"/>
    <col min="8460" max="8704" width="9.08984375" style="211"/>
    <col min="8705" max="8705" width="8.6328125" style="211" bestFit="1" customWidth="1"/>
    <col min="8706" max="8706" width="13.36328125" style="211" customWidth="1"/>
    <col min="8707" max="8707" width="16.08984375" style="211" bestFit="1" customWidth="1"/>
    <col min="8708" max="8708" width="23.54296875" style="211" customWidth="1"/>
    <col min="8709" max="8709" width="17.36328125" style="211" customWidth="1"/>
    <col min="8710" max="8710" width="20.54296875" style="211" bestFit="1" customWidth="1"/>
    <col min="8711" max="8711" width="17.08984375" style="211" customWidth="1"/>
    <col min="8712" max="8712" width="21.6328125" style="211" bestFit="1" customWidth="1"/>
    <col min="8713" max="8713" width="17.08984375" style="211" bestFit="1" customWidth="1"/>
    <col min="8714" max="8714" width="18.08984375" style="211" bestFit="1" customWidth="1"/>
    <col min="8715" max="8715" width="26.453125" style="211" customWidth="1"/>
    <col min="8716" max="8960" width="9.08984375" style="211"/>
    <col min="8961" max="8961" width="8.6328125" style="211" bestFit="1" customWidth="1"/>
    <col min="8962" max="8962" width="13.36328125" style="211" customWidth="1"/>
    <col min="8963" max="8963" width="16.08984375" style="211" bestFit="1" customWidth="1"/>
    <col min="8964" max="8964" width="23.54296875" style="211" customWidth="1"/>
    <col min="8965" max="8965" width="17.36328125" style="211" customWidth="1"/>
    <col min="8966" max="8966" width="20.54296875" style="211" bestFit="1" customWidth="1"/>
    <col min="8967" max="8967" width="17.08984375" style="211" customWidth="1"/>
    <col min="8968" max="8968" width="21.6328125" style="211" bestFit="1" customWidth="1"/>
    <col min="8969" max="8969" width="17.08984375" style="211" bestFit="1" customWidth="1"/>
    <col min="8970" max="8970" width="18.08984375" style="211" bestFit="1" customWidth="1"/>
    <col min="8971" max="8971" width="26.453125" style="211" customWidth="1"/>
    <col min="8972" max="9216" width="9.08984375" style="211"/>
    <col min="9217" max="9217" width="8.6328125" style="211" bestFit="1" customWidth="1"/>
    <col min="9218" max="9218" width="13.36328125" style="211" customWidth="1"/>
    <col min="9219" max="9219" width="16.08984375" style="211" bestFit="1" customWidth="1"/>
    <col min="9220" max="9220" width="23.54296875" style="211" customWidth="1"/>
    <col min="9221" max="9221" width="17.36328125" style="211" customWidth="1"/>
    <col min="9222" max="9222" width="20.54296875" style="211" bestFit="1" customWidth="1"/>
    <col min="9223" max="9223" width="17.08984375" style="211" customWidth="1"/>
    <col min="9224" max="9224" width="21.6328125" style="211" bestFit="1" customWidth="1"/>
    <col min="9225" max="9225" width="17.08984375" style="211" bestFit="1" customWidth="1"/>
    <col min="9226" max="9226" width="18.08984375" style="211" bestFit="1" customWidth="1"/>
    <col min="9227" max="9227" width="26.453125" style="211" customWidth="1"/>
    <col min="9228" max="9472" width="9.08984375" style="211"/>
    <col min="9473" max="9473" width="8.6328125" style="211" bestFit="1" customWidth="1"/>
    <col min="9474" max="9474" width="13.36328125" style="211" customWidth="1"/>
    <col min="9475" max="9475" width="16.08984375" style="211" bestFit="1" customWidth="1"/>
    <col min="9476" max="9476" width="23.54296875" style="211" customWidth="1"/>
    <col min="9477" max="9477" width="17.36328125" style="211" customWidth="1"/>
    <col min="9478" max="9478" width="20.54296875" style="211" bestFit="1" customWidth="1"/>
    <col min="9479" max="9479" width="17.08984375" style="211" customWidth="1"/>
    <col min="9480" max="9480" width="21.6328125" style="211" bestFit="1" customWidth="1"/>
    <col min="9481" max="9481" width="17.08984375" style="211" bestFit="1" customWidth="1"/>
    <col min="9482" max="9482" width="18.08984375" style="211" bestFit="1" customWidth="1"/>
    <col min="9483" max="9483" width="26.453125" style="211" customWidth="1"/>
    <col min="9484" max="9728" width="9.08984375" style="211"/>
    <col min="9729" max="9729" width="8.6328125" style="211" bestFit="1" customWidth="1"/>
    <col min="9730" max="9730" width="13.36328125" style="211" customWidth="1"/>
    <col min="9731" max="9731" width="16.08984375" style="211" bestFit="1" customWidth="1"/>
    <col min="9732" max="9732" width="23.54296875" style="211" customWidth="1"/>
    <col min="9733" max="9733" width="17.36328125" style="211" customWidth="1"/>
    <col min="9734" max="9734" width="20.54296875" style="211" bestFit="1" customWidth="1"/>
    <col min="9735" max="9735" width="17.08984375" style="211" customWidth="1"/>
    <col min="9736" max="9736" width="21.6328125" style="211" bestFit="1" customWidth="1"/>
    <col min="9737" max="9737" width="17.08984375" style="211" bestFit="1" customWidth="1"/>
    <col min="9738" max="9738" width="18.08984375" style="211" bestFit="1" customWidth="1"/>
    <col min="9739" max="9739" width="26.453125" style="211" customWidth="1"/>
    <col min="9740" max="9984" width="9.08984375" style="211"/>
    <col min="9985" max="9985" width="8.6328125" style="211" bestFit="1" customWidth="1"/>
    <col min="9986" max="9986" width="13.36328125" style="211" customWidth="1"/>
    <col min="9987" max="9987" width="16.08984375" style="211" bestFit="1" customWidth="1"/>
    <col min="9988" max="9988" width="23.54296875" style="211" customWidth="1"/>
    <col min="9989" max="9989" width="17.36328125" style="211" customWidth="1"/>
    <col min="9990" max="9990" width="20.54296875" style="211" bestFit="1" customWidth="1"/>
    <col min="9991" max="9991" width="17.08984375" style="211" customWidth="1"/>
    <col min="9992" max="9992" width="21.6328125" style="211" bestFit="1" customWidth="1"/>
    <col min="9993" max="9993" width="17.08984375" style="211" bestFit="1" customWidth="1"/>
    <col min="9994" max="9994" width="18.08984375" style="211" bestFit="1" customWidth="1"/>
    <col min="9995" max="9995" width="26.453125" style="211" customWidth="1"/>
    <col min="9996" max="10240" width="9.08984375" style="211"/>
    <col min="10241" max="10241" width="8.6328125" style="211" bestFit="1" customWidth="1"/>
    <col min="10242" max="10242" width="13.36328125" style="211" customWidth="1"/>
    <col min="10243" max="10243" width="16.08984375" style="211" bestFit="1" customWidth="1"/>
    <col min="10244" max="10244" width="23.54296875" style="211" customWidth="1"/>
    <col min="10245" max="10245" width="17.36328125" style="211" customWidth="1"/>
    <col min="10246" max="10246" width="20.54296875" style="211" bestFit="1" customWidth="1"/>
    <col min="10247" max="10247" width="17.08984375" style="211" customWidth="1"/>
    <col min="10248" max="10248" width="21.6328125" style="211" bestFit="1" customWidth="1"/>
    <col min="10249" max="10249" width="17.08984375" style="211" bestFit="1" customWidth="1"/>
    <col min="10250" max="10250" width="18.08984375" style="211" bestFit="1" customWidth="1"/>
    <col min="10251" max="10251" width="26.453125" style="211" customWidth="1"/>
    <col min="10252" max="10496" width="9.08984375" style="211"/>
    <col min="10497" max="10497" width="8.6328125" style="211" bestFit="1" customWidth="1"/>
    <col min="10498" max="10498" width="13.36328125" style="211" customWidth="1"/>
    <col min="10499" max="10499" width="16.08984375" style="211" bestFit="1" customWidth="1"/>
    <col min="10500" max="10500" width="23.54296875" style="211" customWidth="1"/>
    <col min="10501" max="10501" width="17.36328125" style="211" customWidth="1"/>
    <col min="10502" max="10502" width="20.54296875" style="211" bestFit="1" customWidth="1"/>
    <col min="10503" max="10503" width="17.08984375" style="211" customWidth="1"/>
    <col min="10504" max="10504" width="21.6328125" style="211" bestFit="1" customWidth="1"/>
    <col min="10505" max="10505" width="17.08984375" style="211" bestFit="1" customWidth="1"/>
    <col min="10506" max="10506" width="18.08984375" style="211" bestFit="1" customWidth="1"/>
    <col min="10507" max="10507" width="26.453125" style="211" customWidth="1"/>
    <col min="10508" max="10752" width="9.08984375" style="211"/>
    <col min="10753" max="10753" width="8.6328125" style="211" bestFit="1" customWidth="1"/>
    <col min="10754" max="10754" width="13.36328125" style="211" customWidth="1"/>
    <col min="10755" max="10755" width="16.08984375" style="211" bestFit="1" customWidth="1"/>
    <col min="10756" max="10756" width="23.54296875" style="211" customWidth="1"/>
    <col min="10757" max="10757" width="17.36328125" style="211" customWidth="1"/>
    <col min="10758" max="10758" width="20.54296875" style="211" bestFit="1" customWidth="1"/>
    <col min="10759" max="10759" width="17.08984375" style="211" customWidth="1"/>
    <col min="10760" max="10760" width="21.6328125" style="211" bestFit="1" customWidth="1"/>
    <col min="10761" max="10761" width="17.08984375" style="211" bestFit="1" customWidth="1"/>
    <col min="10762" max="10762" width="18.08984375" style="211" bestFit="1" customWidth="1"/>
    <col min="10763" max="10763" width="26.453125" style="211" customWidth="1"/>
    <col min="10764" max="11008" width="9.08984375" style="211"/>
    <col min="11009" max="11009" width="8.6328125" style="211" bestFit="1" customWidth="1"/>
    <col min="11010" max="11010" width="13.36328125" style="211" customWidth="1"/>
    <col min="11011" max="11011" width="16.08984375" style="211" bestFit="1" customWidth="1"/>
    <col min="11012" max="11012" width="23.54296875" style="211" customWidth="1"/>
    <col min="11013" max="11013" width="17.36328125" style="211" customWidth="1"/>
    <col min="11014" max="11014" width="20.54296875" style="211" bestFit="1" customWidth="1"/>
    <col min="11015" max="11015" width="17.08984375" style="211" customWidth="1"/>
    <col min="11016" max="11016" width="21.6328125" style="211" bestFit="1" customWidth="1"/>
    <col min="11017" max="11017" width="17.08984375" style="211" bestFit="1" customWidth="1"/>
    <col min="11018" max="11018" width="18.08984375" style="211" bestFit="1" customWidth="1"/>
    <col min="11019" max="11019" width="26.453125" style="211" customWidth="1"/>
    <col min="11020" max="11264" width="9.08984375" style="211"/>
    <col min="11265" max="11265" width="8.6328125" style="211" bestFit="1" customWidth="1"/>
    <col min="11266" max="11266" width="13.36328125" style="211" customWidth="1"/>
    <col min="11267" max="11267" width="16.08984375" style="211" bestFit="1" customWidth="1"/>
    <col min="11268" max="11268" width="23.54296875" style="211" customWidth="1"/>
    <col min="11269" max="11269" width="17.36328125" style="211" customWidth="1"/>
    <col min="11270" max="11270" width="20.54296875" style="211" bestFit="1" customWidth="1"/>
    <col min="11271" max="11271" width="17.08984375" style="211" customWidth="1"/>
    <col min="11272" max="11272" width="21.6328125" style="211" bestFit="1" customWidth="1"/>
    <col min="11273" max="11273" width="17.08984375" style="211" bestFit="1" customWidth="1"/>
    <col min="11274" max="11274" width="18.08984375" style="211" bestFit="1" customWidth="1"/>
    <col min="11275" max="11275" width="26.453125" style="211" customWidth="1"/>
    <col min="11276" max="11520" width="9.08984375" style="211"/>
    <col min="11521" max="11521" width="8.6328125" style="211" bestFit="1" customWidth="1"/>
    <col min="11522" max="11522" width="13.36328125" style="211" customWidth="1"/>
    <col min="11523" max="11523" width="16.08984375" style="211" bestFit="1" customWidth="1"/>
    <col min="11524" max="11524" width="23.54296875" style="211" customWidth="1"/>
    <col min="11525" max="11525" width="17.36328125" style="211" customWidth="1"/>
    <col min="11526" max="11526" width="20.54296875" style="211" bestFit="1" customWidth="1"/>
    <col min="11527" max="11527" width="17.08984375" style="211" customWidth="1"/>
    <col min="11528" max="11528" width="21.6328125" style="211" bestFit="1" customWidth="1"/>
    <col min="11529" max="11529" width="17.08984375" style="211" bestFit="1" customWidth="1"/>
    <col min="11530" max="11530" width="18.08984375" style="211" bestFit="1" customWidth="1"/>
    <col min="11531" max="11531" width="26.453125" style="211" customWidth="1"/>
    <col min="11532" max="11776" width="9.08984375" style="211"/>
    <col min="11777" max="11777" width="8.6328125" style="211" bestFit="1" customWidth="1"/>
    <col min="11778" max="11778" width="13.36328125" style="211" customWidth="1"/>
    <col min="11779" max="11779" width="16.08984375" style="211" bestFit="1" customWidth="1"/>
    <col min="11780" max="11780" width="23.54296875" style="211" customWidth="1"/>
    <col min="11781" max="11781" width="17.36328125" style="211" customWidth="1"/>
    <col min="11782" max="11782" width="20.54296875" style="211" bestFit="1" customWidth="1"/>
    <col min="11783" max="11783" width="17.08984375" style="211" customWidth="1"/>
    <col min="11784" max="11784" width="21.6328125" style="211" bestFit="1" customWidth="1"/>
    <col min="11785" max="11785" width="17.08984375" style="211" bestFit="1" customWidth="1"/>
    <col min="11786" max="11786" width="18.08984375" style="211" bestFit="1" customWidth="1"/>
    <col min="11787" max="11787" width="26.453125" style="211" customWidth="1"/>
    <col min="11788" max="12032" width="9.08984375" style="211"/>
    <col min="12033" max="12033" width="8.6328125" style="211" bestFit="1" customWidth="1"/>
    <col min="12034" max="12034" width="13.36328125" style="211" customWidth="1"/>
    <col min="12035" max="12035" width="16.08984375" style="211" bestFit="1" customWidth="1"/>
    <col min="12036" max="12036" width="23.54296875" style="211" customWidth="1"/>
    <col min="12037" max="12037" width="17.36328125" style="211" customWidth="1"/>
    <col min="12038" max="12038" width="20.54296875" style="211" bestFit="1" customWidth="1"/>
    <col min="12039" max="12039" width="17.08984375" style="211" customWidth="1"/>
    <col min="12040" max="12040" width="21.6328125" style="211" bestFit="1" customWidth="1"/>
    <col min="12041" max="12041" width="17.08984375" style="211" bestFit="1" customWidth="1"/>
    <col min="12042" max="12042" width="18.08984375" style="211" bestFit="1" customWidth="1"/>
    <col min="12043" max="12043" width="26.453125" style="211" customWidth="1"/>
    <col min="12044" max="12288" width="9.08984375" style="211"/>
    <col min="12289" max="12289" width="8.6328125" style="211" bestFit="1" customWidth="1"/>
    <col min="12290" max="12290" width="13.36328125" style="211" customWidth="1"/>
    <col min="12291" max="12291" width="16.08984375" style="211" bestFit="1" customWidth="1"/>
    <col min="12292" max="12292" width="23.54296875" style="211" customWidth="1"/>
    <col min="12293" max="12293" width="17.36328125" style="211" customWidth="1"/>
    <col min="12294" max="12294" width="20.54296875" style="211" bestFit="1" customWidth="1"/>
    <col min="12295" max="12295" width="17.08984375" style="211" customWidth="1"/>
    <col min="12296" max="12296" width="21.6328125" style="211" bestFit="1" customWidth="1"/>
    <col min="12297" max="12297" width="17.08984375" style="211" bestFit="1" customWidth="1"/>
    <col min="12298" max="12298" width="18.08984375" style="211" bestFit="1" customWidth="1"/>
    <col min="12299" max="12299" width="26.453125" style="211" customWidth="1"/>
    <col min="12300" max="12544" width="9.08984375" style="211"/>
    <col min="12545" max="12545" width="8.6328125" style="211" bestFit="1" customWidth="1"/>
    <col min="12546" max="12546" width="13.36328125" style="211" customWidth="1"/>
    <col min="12547" max="12547" width="16.08984375" style="211" bestFit="1" customWidth="1"/>
    <col min="12548" max="12548" width="23.54296875" style="211" customWidth="1"/>
    <col min="12549" max="12549" width="17.36328125" style="211" customWidth="1"/>
    <col min="12550" max="12550" width="20.54296875" style="211" bestFit="1" customWidth="1"/>
    <col min="12551" max="12551" width="17.08984375" style="211" customWidth="1"/>
    <col min="12552" max="12552" width="21.6328125" style="211" bestFit="1" customWidth="1"/>
    <col min="12553" max="12553" width="17.08984375" style="211" bestFit="1" customWidth="1"/>
    <col min="12554" max="12554" width="18.08984375" style="211" bestFit="1" customWidth="1"/>
    <col min="12555" max="12555" width="26.453125" style="211" customWidth="1"/>
    <col min="12556" max="12800" width="9.08984375" style="211"/>
    <col min="12801" max="12801" width="8.6328125" style="211" bestFit="1" customWidth="1"/>
    <col min="12802" max="12802" width="13.36328125" style="211" customWidth="1"/>
    <col min="12803" max="12803" width="16.08984375" style="211" bestFit="1" customWidth="1"/>
    <col min="12804" max="12804" width="23.54296875" style="211" customWidth="1"/>
    <col min="12805" max="12805" width="17.36328125" style="211" customWidth="1"/>
    <col min="12806" max="12806" width="20.54296875" style="211" bestFit="1" customWidth="1"/>
    <col min="12807" max="12807" width="17.08984375" style="211" customWidth="1"/>
    <col min="12808" max="12808" width="21.6328125" style="211" bestFit="1" customWidth="1"/>
    <col min="12809" max="12809" width="17.08984375" style="211" bestFit="1" customWidth="1"/>
    <col min="12810" max="12810" width="18.08984375" style="211" bestFit="1" customWidth="1"/>
    <col min="12811" max="12811" width="26.453125" style="211" customWidth="1"/>
    <col min="12812" max="13056" width="9.08984375" style="211"/>
    <col min="13057" max="13057" width="8.6328125" style="211" bestFit="1" customWidth="1"/>
    <col min="13058" max="13058" width="13.36328125" style="211" customWidth="1"/>
    <col min="13059" max="13059" width="16.08984375" style="211" bestFit="1" customWidth="1"/>
    <col min="13060" max="13060" width="23.54296875" style="211" customWidth="1"/>
    <col min="13061" max="13061" width="17.36328125" style="211" customWidth="1"/>
    <col min="13062" max="13062" width="20.54296875" style="211" bestFit="1" customWidth="1"/>
    <col min="13063" max="13063" width="17.08984375" style="211" customWidth="1"/>
    <col min="13064" max="13064" width="21.6328125" style="211" bestFit="1" customWidth="1"/>
    <col min="13065" max="13065" width="17.08984375" style="211" bestFit="1" customWidth="1"/>
    <col min="13066" max="13066" width="18.08984375" style="211" bestFit="1" customWidth="1"/>
    <col min="13067" max="13067" width="26.453125" style="211" customWidth="1"/>
    <col min="13068" max="13312" width="9.08984375" style="211"/>
    <col min="13313" max="13313" width="8.6328125" style="211" bestFit="1" customWidth="1"/>
    <col min="13314" max="13314" width="13.36328125" style="211" customWidth="1"/>
    <col min="13315" max="13315" width="16.08984375" style="211" bestFit="1" customWidth="1"/>
    <col min="13316" max="13316" width="23.54296875" style="211" customWidth="1"/>
    <col min="13317" max="13317" width="17.36328125" style="211" customWidth="1"/>
    <col min="13318" max="13318" width="20.54296875" style="211" bestFit="1" customWidth="1"/>
    <col min="13319" max="13319" width="17.08984375" style="211" customWidth="1"/>
    <col min="13320" max="13320" width="21.6328125" style="211" bestFit="1" customWidth="1"/>
    <col min="13321" max="13321" width="17.08984375" style="211" bestFit="1" customWidth="1"/>
    <col min="13322" max="13322" width="18.08984375" style="211" bestFit="1" customWidth="1"/>
    <col min="13323" max="13323" width="26.453125" style="211" customWidth="1"/>
    <col min="13324" max="13568" width="9.08984375" style="211"/>
    <col min="13569" max="13569" width="8.6328125" style="211" bestFit="1" customWidth="1"/>
    <col min="13570" max="13570" width="13.36328125" style="211" customWidth="1"/>
    <col min="13571" max="13571" width="16.08984375" style="211" bestFit="1" customWidth="1"/>
    <col min="13572" max="13572" width="23.54296875" style="211" customWidth="1"/>
    <col min="13573" max="13573" width="17.36328125" style="211" customWidth="1"/>
    <col min="13574" max="13574" width="20.54296875" style="211" bestFit="1" customWidth="1"/>
    <col min="13575" max="13575" width="17.08984375" style="211" customWidth="1"/>
    <col min="13576" max="13576" width="21.6328125" style="211" bestFit="1" customWidth="1"/>
    <col min="13577" max="13577" width="17.08984375" style="211" bestFit="1" customWidth="1"/>
    <col min="13578" max="13578" width="18.08984375" style="211" bestFit="1" customWidth="1"/>
    <col min="13579" max="13579" width="26.453125" style="211" customWidth="1"/>
    <col min="13580" max="13824" width="9.08984375" style="211"/>
    <col min="13825" max="13825" width="8.6328125" style="211" bestFit="1" customWidth="1"/>
    <col min="13826" max="13826" width="13.36328125" style="211" customWidth="1"/>
    <col min="13827" max="13827" width="16.08984375" style="211" bestFit="1" customWidth="1"/>
    <col min="13828" max="13828" width="23.54296875" style="211" customWidth="1"/>
    <col min="13829" max="13829" width="17.36328125" style="211" customWidth="1"/>
    <col min="13830" max="13830" width="20.54296875" style="211" bestFit="1" customWidth="1"/>
    <col min="13831" max="13831" width="17.08984375" style="211" customWidth="1"/>
    <col min="13832" max="13832" width="21.6328125" style="211" bestFit="1" customWidth="1"/>
    <col min="13833" max="13833" width="17.08984375" style="211" bestFit="1" customWidth="1"/>
    <col min="13834" max="13834" width="18.08984375" style="211" bestFit="1" customWidth="1"/>
    <col min="13835" max="13835" width="26.453125" style="211" customWidth="1"/>
    <col min="13836" max="14080" width="9.08984375" style="211"/>
    <col min="14081" max="14081" width="8.6328125" style="211" bestFit="1" customWidth="1"/>
    <col min="14082" max="14082" width="13.36328125" style="211" customWidth="1"/>
    <col min="14083" max="14083" width="16.08984375" style="211" bestFit="1" customWidth="1"/>
    <col min="14084" max="14084" width="23.54296875" style="211" customWidth="1"/>
    <col min="14085" max="14085" width="17.36328125" style="211" customWidth="1"/>
    <col min="14086" max="14086" width="20.54296875" style="211" bestFit="1" customWidth="1"/>
    <col min="14087" max="14087" width="17.08984375" style="211" customWidth="1"/>
    <col min="14088" max="14088" width="21.6328125" style="211" bestFit="1" customWidth="1"/>
    <col min="14089" max="14089" width="17.08984375" style="211" bestFit="1" customWidth="1"/>
    <col min="14090" max="14090" width="18.08984375" style="211" bestFit="1" customWidth="1"/>
    <col min="14091" max="14091" width="26.453125" style="211" customWidth="1"/>
    <col min="14092" max="14336" width="9.08984375" style="211"/>
    <col min="14337" max="14337" width="8.6328125" style="211" bestFit="1" customWidth="1"/>
    <col min="14338" max="14338" width="13.36328125" style="211" customWidth="1"/>
    <col min="14339" max="14339" width="16.08984375" style="211" bestFit="1" customWidth="1"/>
    <col min="14340" max="14340" width="23.54296875" style="211" customWidth="1"/>
    <col min="14341" max="14341" width="17.36328125" style="211" customWidth="1"/>
    <col min="14342" max="14342" width="20.54296875" style="211" bestFit="1" customWidth="1"/>
    <col min="14343" max="14343" width="17.08984375" style="211" customWidth="1"/>
    <col min="14344" max="14344" width="21.6328125" style="211" bestFit="1" customWidth="1"/>
    <col min="14345" max="14345" width="17.08984375" style="211" bestFit="1" customWidth="1"/>
    <col min="14346" max="14346" width="18.08984375" style="211" bestFit="1" customWidth="1"/>
    <col min="14347" max="14347" width="26.453125" style="211" customWidth="1"/>
    <col min="14348" max="14592" width="9.08984375" style="211"/>
    <col min="14593" max="14593" width="8.6328125" style="211" bestFit="1" customWidth="1"/>
    <col min="14594" max="14594" width="13.36328125" style="211" customWidth="1"/>
    <col min="14595" max="14595" width="16.08984375" style="211" bestFit="1" customWidth="1"/>
    <col min="14596" max="14596" width="23.54296875" style="211" customWidth="1"/>
    <col min="14597" max="14597" width="17.36328125" style="211" customWidth="1"/>
    <col min="14598" max="14598" width="20.54296875" style="211" bestFit="1" customWidth="1"/>
    <col min="14599" max="14599" width="17.08984375" style="211" customWidth="1"/>
    <col min="14600" max="14600" width="21.6328125" style="211" bestFit="1" customWidth="1"/>
    <col min="14601" max="14601" width="17.08984375" style="211" bestFit="1" customWidth="1"/>
    <col min="14602" max="14602" width="18.08984375" style="211" bestFit="1" customWidth="1"/>
    <col min="14603" max="14603" width="26.453125" style="211" customWidth="1"/>
    <col min="14604" max="14848" width="9.08984375" style="211"/>
    <col min="14849" max="14849" width="8.6328125" style="211" bestFit="1" customWidth="1"/>
    <col min="14850" max="14850" width="13.36328125" style="211" customWidth="1"/>
    <col min="14851" max="14851" width="16.08984375" style="211" bestFit="1" customWidth="1"/>
    <col min="14852" max="14852" width="23.54296875" style="211" customWidth="1"/>
    <col min="14853" max="14853" width="17.36328125" style="211" customWidth="1"/>
    <col min="14854" max="14854" width="20.54296875" style="211" bestFit="1" customWidth="1"/>
    <col min="14855" max="14855" width="17.08984375" style="211" customWidth="1"/>
    <col min="14856" max="14856" width="21.6328125" style="211" bestFit="1" customWidth="1"/>
    <col min="14857" max="14857" width="17.08984375" style="211" bestFit="1" customWidth="1"/>
    <col min="14858" max="14858" width="18.08984375" style="211" bestFit="1" customWidth="1"/>
    <col min="14859" max="14859" width="26.453125" style="211" customWidth="1"/>
    <col min="14860" max="15104" width="9.08984375" style="211"/>
    <col min="15105" max="15105" width="8.6328125" style="211" bestFit="1" customWidth="1"/>
    <col min="15106" max="15106" width="13.36328125" style="211" customWidth="1"/>
    <col min="15107" max="15107" width="16.08984375" style="211" bestFit="1" customWidth="1"/>
    <col min="15108" max="15108" width="23.54296875" style="211" customWidth="1"/>
    <col min="15109" max="15109" width="17.36328125" style="211" customWidth="1"/>
    <col min="15110" max="15110" width="20.54296875" style="211" bestFit="1" customWidth="1"/>
    <col min="15111" max="15111" width="17.08984375" style="211" customWidth="1"/>
    <col min="15112" max="15112" width="21.6328125" style="211" bestFit="1" customWidth="1"/>
    <col min="15113" max="15113" width="17.08984375" style="211" bestFit="1" customWidth="1"/>
    <col min="15114" max="15114" width="18.08984375" style="211" bestFit="1" customWidth="1"/>
    <col min="15115" max="15115" width="26.453125" style="211" customWidth="1"/>
    <col min="15116" max="15360" width="9.08984375" style="211"/>
    <col min="15361" max="15361" width="8.6328125" style="211" bestFit="1" customWidth="1"/>
    <col min="15362" max="15362" width="13.36328125" style="211" customWidth="1"/>
    <col min="15363" max="15363" width="16.08984375" style="211" bestFit="1" customWidth="1"/>
    <col min="15364" max="15364" width="23.54296875" style="211" customWidth="1"/>
    <col min="15365" max="15365" width="17.36328125" style="211" customWidth="1"/>
    <col min="15366" max="15366" width="20.54296875" style="211" bestFit="1" customWidth="1"/>
    <col min="15367" max="15367" width="17.08984375" style="211" customWidth="1"/>
    <col min="15368" max="15368" width="21.6328125" style="211" bestFit="1" customWidth="1"/>
    <col min="15369" max="15369" width="17.08984375" style="211" bestFit="1" customWidth="1"/>
    <col min="15370" max="15370" width="18.08984375" style="211" bestFit="1" customWidth="1"/>
    <col min="15371" max="15371" width="26.453125" style="211" customWidth="1"/>
    <col min="15372" max="15616" width="9.08984375" style="211"/>
    <col min="15617" max="15617" width="8.6328125" style="211" bestFit="1" customWidth="1"/>
    <col min="15618" max="15618" width="13.36328125" style="211" customWidth="1"/>
    <col min="15619" max="15619" width="16.08984375" style="211" bestFit="1" customWidth="1"/>
    <col min="15620" max="15620" width="23.54296875" style="211" customWidth="1"/>
    <col min="15621" max="15621" width="17.36328125" style="211" customWidth="1"/>
    <col min="15622" max="15622" width="20.54296875" style="211" bestFit="1" customWidth="1"/>
    <col min="15623" max="15623" width="17.08984375" style="211" customWidth="1"/>
    <col min="15624" max="15624" width="21.6328125" style="211" bestFit="1" customWidth="1"/>
    <col min="15625" max="15625" width="17.08984375" style="211" bestFit="1" customWidth="1"/>
    <col min="15626" max="15626" width="18.08984375" style="211" bestFit="1" customWidth="1"/>
    <col min="15627" max="15627" width="26.453125" style="211" customWidth="1"/>
    <col min="15628" max="15872" width="9.08984375" style="211"/>
    <col min="15873" max="15873" width="8.6328125" style="211" bestFit="1" customWidth="1"/>
    <col min="15874" max="15874" width="13.36328125" style="211" customWidth="1"/>
    <col min="15875" max="15875" width="16.08984375" style="211" bestFit="1" customWidth="1"/>
    <col min="15876" max="15876" width="23.54296875" style="211" customWidth="1"/>
    <col min="15877" max="15877" width="17.36328125" style="211" customWidth="1"/>
    <col min="15878" max="15878" width="20.54296875" style="211" bestFit="1" customWidth="1"/>
    <col min="15879" max="15879" width="17.08984375" style="211" customWidth="1"/>
    <col min="15880" max="15880" width="21.6328125" style="211" bestFit="1" customWidth="1"/>
    <col min="15881" max="15881" width="17.08984375" style="211" bestFit="1" customWidth="1"/>
    <col min="15882" max="15882" width="18.08984375" style="211" bestFit="1" customWidth="1"/>
    <col min="15883" max="15883" width="26.453125" style="211" customWidth="1"/>
    <col min="15884" max="16128" width="9.08984375" style="211"/>
    <col min="16129" max="16129" width="8.6328125" style="211" bestFit="1" customWidth="1"/>
    <col min="16130" max="16130" width="13.36328125" style="211" customWidth="1"/>
    <col min="16131" max="16131" width="16.08984375" style="211" bestFit="1" customWidth="1"/>
    <col min="16132" max="16132" width="23.54296875" style="211" customWidth="1"/>
    <col min="16133" max="16133" width="17.36328125" style="211" customWidth="1"/>
    <col min="16134" max="16134" width="20.54296875" style="211" bestFit="1" customWidth="1"/>
    <col min="16135" max="16135" width="17.08984375" style="211" customWidth="1"/>
    <col min="16136" max="16136" width="21.6328125" style="211" bestFit="1" customWidth="1"/>
    <col min="16137" max="16137" width="17.08984375" style="211" bestFit="1" customWidth="1"/>
    <col min="16138" max="16138" width="18.08984375" style="211" bestFit="1" customWidth="1"/>
    <col min="16139" max="16139" width="26.453125" style="211" customWidth="1"/>
    <col min="16140" max="16384" width="9.08984375" style="211"/>
  </cols>
  <sheetData>
    <row r="1" spans="13:13" s="244" customFormat="1" x14ac:dyDescent="0.25">
      <c r="M1" s="245"/>
    </row>
    <row r="2" spans="13:13" s="244" customFormat="1" x14ac:dyDescent="0.25">
      <c r="M2" s="245"/>
    </row>
    <row r="3" spans="13:13" s="244" customFormat="1" x14ac:dyDescent="0.25">
      <c r="M3" s="245"/>
    </row>
    <row r="4" spans="13:13" s="244" customFormat="1" x14ac:dyDescent="0.25">
      <c r="M4" s="245"/>
    </row>
    <row r="5" spans="13:13" s="244" customFormat="1" x14ac:dyDescent="0.25">
      <c r="M5" s="245"/>
    </row>
    <row r="6" spans="13:13" s="244" customFormat="1" x14ac:dyDescent="0.25">
      <c r="M6" s="245"/>
    </row>
    <row r="7" spans="13:13" s="244" customFormat="1" x14ac:dyDescent="0.25">
      <c r="M7" s="245"/>
    </row>
    <row r="8" spans="13:13" s="244" customFormat="1" x14ac:dyDescent="0.25">
      <c r="M8" s="245"/>
    </row>
    <row r="9" spans="13:13" s="244" customFormat="1" x14ac:dyDescent="0.25">
      <c r="M9" s="245"/>
    </row>
    <row r="10" spans="13:13" s="244" customFormat="1" x14ac:dyDescent="0.25">
      <c r="M10" s="245"/>
    </row>
    <row r="11" spans="13:13" s="244" customFormat="1" x14ac:dyDescent="0.25">
      <c r="M11" s="245"/>
    </row>
    <row r="12" spans="13:13" s="244" customFormat="1" x14ac:dyDescent="0.25">
      <c r="M12" s="245"/>
    </row>
    <row r="13" spans="13:13" s="244" customFormat="1" x14ac:dyDescent="0.25">
      <c r="M13" s="245"/>
    </row>
    <row r="14" spans="13:13" s="244" customFormat="1" x14ac:dyDescent="0.25">
      <c r="M14" s="245"/>
    </row>
    <row r="15" spans="13:13" s="244" customFormat="1" x14ac:dyDescent="0.25">
      <c r="M15" s="245"/>
    </row>
    <row r="16" spans="13:13" s="244" customFormat="1" x14ac:dyDescent="0.25">
      <c r="M16" s="245"/>
    </row>
    <row r="17" spans="13:13" s="244" customFormat="1" x14ac:dyDescent="0.25">
      <c r="M17" s="245"/>
    </row>
    <row r="18" spans="13:13" s="244" customFormat="1" x14ac:dyDescent="0.25">
      <c r="M18" s="245"/>
    </row>
    <row r="19" spans="13:13" s="244" customFormat="1" x14ac:dyDescent="0.25">
      <c r="M19" s="245"/>
    </row>
    <row r="20" spans="13:13" s="244" customFormat="1" x14ac:dyDescent="0.25">
      <c r="M20" s="245"/>
    </row>
    <row r="21" spans="13:13" s="244" customFormat="1" x14ac:dyDescent="0.25">
      <c r="M21" s="245"/>
    </row>
    <row r="22" spans="13:13" s="244" customFormat="1" x14ac:dyDescent="0.25">
      <c r="M22" s="245"/>
    </row>
    <row r="23" spans="13:13" s="244" customFormat="1" x14ac:dyDescent="0.25">
      <c r="M23" s="245"/>
    </row>
    <row r="24" spans="13:13" s="244" customFormat="1" x14ac:dyDescent="0.25">
      <c r="M24" s="245"/>
    </row>
    <row r="25" spans="13:13" s="244" customFormat="1" x14ac:dyDescent="0.25">
      <c r="M25" s="245"/>
    </row>
    <row r="26" spans="13:13" s="244" customFormat="1" x14ac:dyDescent="0.25">
      <c r="M26" s="245"/>
    </row>
    <row r="27" spans="13:13" s="244" customFormat="1" x14ac:dyDescent="0.25">
      <c r="M27" s="245"/>
    </row>
    <row r="28" spans="13:13" s="244" customFormat="1" x14ac:dyDescent="0.25">
      <c r="M28" s="245"/>
    </row>
    <row r="29" spans="13:13" s="244" customFormat="1" x14ac:dyDescent="0.25">
      <c r="M29" s="245"/>
    </row>
    <row r="30" spans="13:13" s="244" customFormat="1" x14ac:dyDescent="0.25">
      <c r="M30" s="245"/>
    </row>
    <row r="31" spans="13:13" s="244" customFormat="1" x14ac:dyDescent="0.25">
      <c r="M31" s="245"/>
    </row>
    <row r="32" spans="13:13" s="244" customFormat="1" x14ac:dyDescent="0.25">
      <c r="M32" s="245"/>
    </row>
    <row r="33" spans="1:13" s="244" customFormat="1" ht="15.75" customHeight="1" x14ac:dyDescent="0.25">
      <c r="I33" s="270" t="str">
        <f>IF(OR(SCH_MODE=3, SCH_MODE=4),"** Tie VCCX to GND if not used **", "")</f>
        <v/>
      </c>
    </row>
    <row r="34" spans="1:13" s="244" customFormat="1" ht="15.75" customHeight="1" x14ac:dyDescent="0.25">
      <c r="A34" s="244" t="s">
        <v>938</v>
      </c>
    </row>
    <row r="35" spans="1:13" s="244" customFormat="1" ht="15.75" customHeight="1" x14ac:dyDescent="0.25">
      <c r="A35" s="244" t="s">
        <v>747</v>
      </c>
    </row>
    <row r="36" spans="1:13" s="244" customFormat="1" ht="24.75" customHeight="1" x14ac:dyDescent="0.35">
      <c r="A36" s="249" t="str">
        <f>"Vin = "&amp;VIN_min&amp;"V to "&amp;VIN_max&amp;"V, Vout = "&amp; Vout &amp;"V, Iout = " &amp;Iout &amp; "A, Fsw = " &amp; Fsw/1000 &amp;"kHz, Current Limit = "&amp;ROUNDUP(Ilimit_DC,0)&amp;"A"</f>
        <v>Vin = 5V to 7.4V, Vout = 3.3V, Iout = 1.75A, Fsw = 405.68kHz, Current Limit = 2A</v>
      </c>
    </row>
    <row r="37" spans="1:13" ht="24.75" customHeight="1" thickBot="1" x14ac:dyDescent="0.3">
      <c r="A37" s="213" t="s">
        <v>952</v>
      </c>
    </row>
    <row r="38" spans="1:13" ht="18" customHeight="1" x14ac:dyDescent="0.25">
      <c r="A38" s="473" t="s">
        <v>247</v>
      </c>
      <c r="B38" s="474" t="s">
        <v>246</v>
      </c>
      <c r="C38" s="474" t="s">
        <v>7</v>
      </c>
      <c r="D38" s="820" t="s">
        <v>107</v>
      </c>
      <c r="E38" s="821"/>
      <c r="F38" s="821"/>
      <c r="G38" s="822"/>
      <c r="H38" s="475" t="s">
        <v>238</v>
      </c>
      <c r="I38" s="475" t="s">
        <v>156</v>
      </c>
      <c r="J38" s="475" t="s">
        <v>239</v>
      </c>
      <c r="L38" s="212"/>
      <c r="M38" s="211"/>
    </row>
    <row r="39" spans="1:13" s="218" customFormat="1" ht="15.75" customHeight="1" x14ac:dyDescent="0.25">
      <c r="A39" s="215">
        <v>1</v>
      </c>
      <c r="B39" s="216" t="s">
        <v>743</v>
      </c>
      <c r="C39" s="230">
        <v>0.1</v>
      </c>
      <c r="D39" s="835">
        <f t="shared" ref="D39:D45" si="0">C39</f>
        <v>0.1</v>
      </c>
      <c r="E39" s="836"/>
      <c r="F39" s="836"/>
      <c r="G39" s="231"/>
      <c r="H39" s="232" t="s">
        <v>243</v>
      </c>
      <c r="I39" s="217" t="s">
        <v>240</v>
      </c>
      <c r="J39" s="217" t="s">
        <v>240</v>
      </c>
      <c r="L39" s="219"/>
    </row>
    <row r="40" spans="1:13" s="218" customFormat="1" ht="15.5" x14ac:dyDescent="0.25">
      <c r="A40" s="214">
        <v>1</v>
      </c>
      <c r="B40" s="233" t="s">
        <v>939</v>
      </c>
      <c r="C40" s="241">
        <f>'Design Regulator'!D72</f>
        <v>3.9</v>
      </c>
      <c r="D40" s="837">
        <f t="shared" si="0"/>
        <v>3.9</v>
      </c>
      <c r="E40" s="838"/>
      <c r="F40" s="838"/>
      <c r="G40" s="235"/>
      <c r="H40" s="236" t="s">
        <v>243</v>
      </c>
      <c r="I40" s="237" t="s">
        <v>240</v>
      </c>
      <c r="J40" s="237" t="s">
        <v>240</v>
      </c>
      <c r="L40" s="219"/>
    </row>
    <row r="41" spans="1:13" s="218" customFormat="1" ht="15.5" x14ac:dyDescent="0.25">
      <c r="A41" s="214">
        <v>1</v>
      </c>
      <c r="B41" s="233" t="s">
        <v>940</v>
      </c>
      <c r="C41" s="234">
        <f>'Design Regulator'!D73</f>
        <v>150</v>
      </c>
      <c r="D41" s="843">
        <f t="shared" si="0"/>
        <v>150</v>
      </c>
      <c r="E41" s="844"/>
      <c r="F41" s="844"/>
      <c r="G41" s="235"/>
      <c r="H41" s="236" t="s">
        <v>243</v>
      </c>
      <c r="I41" s="237" t="s">
        <v>240</v>
      </c>
      <c r="J41" s="237" t="s">
        <v>240</v>
      </c>
      <c r="L41" s="219"/>
    </row>
    <row r="42" spans="1:13" s="218" customFormat="1" ht="15.5" x14ac:dyDescent="0.25">
      <c r="A42" s="214">
        <f>ROUNDUP('Design Regulator'!E44/10,0)</f>
        <v>1</v>
      </c>
      <c r="B42" s="233" t="s">
        <v>244</v>
      </c>
      <c r="C42" s="240">
        <v>10</v>
      </c>
      <c r="D42" s="845">
        <f>C42</f>
        <v>10</v>
      </c>
      <c r="E42" s="846"/>
      <c r="F42" s="846"/>
      <c r="G42" s="235"/>
      <c r="H42" s="236">
        <v>1210</v>
      </c>
      <c r="I42" s="237" t="s">
        <v>240</v>
      </c>
      <c r="J42" s="237" t="s">
        <v>240</v>
      </c>
      <c r="L42" s="219"/>
    </row>
    <row r="43" spans="1:13" s="218" customFormat="1" ht="15.5" x14ac:dyDescent="0.25">
      <c r="A43" s="214">
        <f>ROUNDUP('Design Regulator'!E35/47,0)</f>
        <v>2</v>
      </c>
      <c r="B43" s="233" t="s">
        <v>245</v>
      </c>
      <c r="C43" s="240">
        <v>47</v>
      </c>
      <c r="D43" s="839">
        <f>C43</f>
        <v>47</v>
      </c>
      <c r="E43" s="840"/>
      <c r="F43" s="840"/>
      <c r="G43" s="235"/>
      <c r="H43" s="236">
        <v>1210</v>
      </c>
      <c r="I43" s="237" t="s">
        <v>240</v>
      </c>
      <c r="J43" s="237" t="s">
        <v>240</v>
      </c>
      <c r="L43" s="219"/>
    </row>
    <row r="44" spans="1:13" s="218" customFormat="1" ht="15.5" x14ac:dyDescent="0.25">
      <c r="A44" s="225">
        <v>2</v>
      </c>
      <c r="B44" s="226" t="s">
        <v>744</v>
      </c>
      <c r="C44" s="239">
        <v>2.2000000000000002</v>
      </c>
      <c r="D44" s="841">
        <f t="shared" si="0"/>
        <v>2.2000000000000002</v>
      </c>
      <c r="E44" s="842"/>
      <c r="F44" s="842"/>
      <c r="G44" s="238"/>
      <c r="H44" s="228" t="s">
        <v>243</v>
      </c>
      <c r="I44" s="229" t="s">
        <v>240</v>
      </c>
      <c r="J44" s="229" t="s">
        <v>240</v>
      </c>
      <c r="L44" s="219"/>
    </row>
    <row r="45" spans="1:13" s="218" customFormat="1" ht="15.5" x14ac:dyDescent="0.25">
      <c r="A45" s="225">
        <v>1</v>
      </c>
      <c r="B45" s="226" t="s">
        <v>678</v>
      </c>
      <c r="C45" s="239">
        <v>0.47</v>
      </c>
      <c r="D45" s="841">
        <f t="shared" si="0"/>
        <v>0.47</v>
      </c>
      <c r="E45" s="842"/>
      <c r="F45" s="842"/>
      <c r="G45" s="238"/>
      <c r="H45" s="228" t="s">
        <v>243</v>
      </c>
      <c r="I45" s="229" t="s">
        <v>240</v>
      </c>
      <c r="J45" s="229" t="s">
        <v>240</v>
      </c>
      <c r="L45" s="219"/>
    </row>
    <row r="46" spans="1:13" s="218" customFormat="1" ht="15.5" x14ac:dyDescent="0.25">
      <c r="A46" s="214">
        <v>1</v>
      </c>
      <c r="B46" s="233" t="s">
        <v>745</v>
      </c>
      <c r="C46" s="243">
        <f>'Design Regulator'!E27</f>
        <v>6.8</v>
      </c>
      <c r="D46" s="832" t="str">
        <f>"Inductor, "&amp;Lf*1000000&amp;"µH, "&amp;Rdcr*1000&amp;"mΩ, &gt;"&amp;ROUNDUP(Ilimit_DC*1.1,0)&amp;"A"</f>
        <v>Inductor, 6.8µH, 4.1mΩ, &gt;2A</v>
      </c>
      <c r="E46" s="833"/>
      <c r="F46" s="833"/>
      <c r="G46" s="834"/>
      <c r="H46" s="237" t="s">
        <v>249</v>
      </c>
      <c r="I46" s="237" t="s">
        <v>249</v>
      </c>
      <c r="J46" s="237" t="s">
        <v>248</v>
      </c>
      <c r="L46" s="219"/>
    </row>
    <row r="47" spans="1:13" s="218" customFormat="1" ht="15.5" x14ac:dyDescent="0.25">
      <c r="A47" s="225">
        <v>2</v>
      </c>
      <c r="B47" s="226" t="s">
        <v>507</v>
      </c>
      <c r="C47" s="242" t="s">
        <v>241</v>
      </c>
      <c r="D47" s="826">
        <f>'Design Regulator'!E82</f>
        <v>8</v>
      </c>
      <c r="E47" s="827"/>
      <c r="F47" s="827"/>
      <c r="G47" s="828"/>
      <c r="H47" s="229" t="s">
        <v>240</v>
      </c>
      <c r="I47" s="229" t="str">
        <f>'Design Regulator'!E80</f>
        <v>'852, '824</v>
      </c>
      <c r="J47" s="229" t="s">
        <v>249</v>
      </c>
      <c r="L47" s="219"/>
    </row>
    <row r="48" spans="1:13" s="218" customFormat="1" ht="15.5" x14ac:dyDescent="0.25">
      <c r="A48" s="220">
        <v>1</v>
      </c>
      <c r="B48" s="221" t="s">
        <v>941</v>
      </c>
      <c r="C48" s="222">
        <f>'Design Regulator'!D71</f>
        <v>5.1100000000000003</v>
      </c>
      <c r="D48" s="801">
        <f t="shared" ref="D48:D55" si="1">C48</f>
        <v>5.1100000000000003</v>
      </c>
      <c r="E48" s="802"/>
      <c r="F48" s="802"/>
      <c r="G48" s="803"/>
      <c r="H48" s="223" t="s">
        <v>243</v>
      </c>
      <c r="I48" s="224" t="s">
        <v>240</v>
      </c>
      <c r="J48" s="224" t="s">
        <v>240</v>
      </c>
      <c r="L48" s="219"/>
    </row>
    <row r="49" spans="1:12" s="218" customFormat="1" ht="15.5" x14ac:dyDescent="0.25">
      <c r="A49" s="220">
        <v>1</v>
      </c>
      <c r="B49" s="221" t="s">
        <v>746</v>
      </c>
      <c r="C49" s="426">
        <f>Rs*1000</f>
        <v>25</v>
      </c>
      <c r="D49" s="829">
        <f t="shared" si="1"/>
        <v>25</v>
      </c>
      <c r="E49" s="830"/>
      <c r="F49" s="830"/>
      <c r="G49" s="831"/>
      <c r="H49" s="223" t="s">
        <v>677</v>
      </c>
      <c r="I49" s="224" t="s">
        <v>240</v>
      </c>
      <c r="J49" s="224" t="s">
        <v>240</v>
      </c>
      <c r="L49" s="219"/>
    </row>
    <row r="50" spans="1:12" s="218" customFormat="1" ht="15.5" x14ac:dyDescent="0.25">
      <c r="A50" s="220">
        <v>1</v>
      </c>
      <c r="B50" s="221" t="s">
        <v>447</v>
      </c>
      <c r="C50" s="222">
        <f>'Design Regulator'!E12</f>
        <v>53.6</v>
      </c>
      <c r="D50" s="801">
        <f t="shared" si="1"/>
        <v>53.6</v>
      </c>
      <c r="E50" s="802"/>
      <c r="F50" s="802"/>
      <c r="G50" s="803"/>
      <c r="H50" s="223" t="s">
        <v>243</v>
      </c>
      <c r="I50" s="224" t="s">
        <v>240</v>
      </c>
      <c r="J50" s="224" t="s">
        <v>240</v>
      </c>
      <c r="L50" s="219"/>
    </row>
    <row r="51" spans="1:12" s="218" customFormat="1" ht="15.5" x14ac:dyDescent="0.25">
      <c r="A51" s="220">
        <v>1</v>
      </c>
      <c r="B51" s="221" t="s">
        <v>251</v>
      </c>
      <c r="C51" s="222">
        <f>'Design Regulator'!E65</f>
        <v>78.7</v>
      </c>
      <c r="D51" s="801">
        <f t="shared" ref="D51" si="2">C51</f>
        <v>78.7</v>
      </c>
      <c r="E51" s="802"/>
      <c r="F51" s="802"/>
      <c r="G51" s="803"/>
      <c r="H51" s="223" t="s">
        <v>243</v>
      </c>
      <c r="I51" s="224" t="s">
        <v>240</v>
      </c>
      <c r="J51" s="224" t="s">
        <v>240</v>
      </c>
      <c r="L51" s="219"/>
    </row>
    <row r="52" spans="1:12" s="218" customFormat="1" ht="15.5" x14ac:dyDescent="0.25">
      <c r="A52" s="220">
        <v>1</v>
      </c>
      <c r="B52" s="221" t="s">
        <v>252</v>
      </c>
      <c r="C52" s="222">
        <f>'Design Regulator'!E66</f>
        <v>792</v>
      </c>
      <c r="D52" s="801">
        <f t="shared" ref="D52" si="3">C52</f>
        <v>792</v>
      </c>
      <c r="E52" s="802"/>
      <c r="F52" s="802"/>
      <c r="G52" s="803"/>
      <c r="H52" s="223" t="s">
        <v>243</v>
      </c>
      <c r="I52" s="224" t="s">
        <v>240</v>
      </c>
      <c r="J52" s="224" t="s">
        <v>240</v>
      </c>
      <c r="L52" s="219"/>
    </row>
    <row r="53" spans="1:12" s="218" customFormat="1" ht="15.5" x14ac:dyDescent="0.25">
      <c r="A53" s="225">
        <v>1</v>
      </c>
      <c r="B53" s="226" t="s">
        <v>942</v>
      </c>
      <c r="C53" s="227">
        <v>100</v>
      </c>
      <c r="D53" s="823">
        <f t="shared" si="1"/>
        <v>100</v>
      </c>
      <c r="E53" s="824"/>
      <c r="F53" s="824"/>
      <c r="G53" s="825"/>
      <c r="H53" s="228" t="s">
        <v>243</v>
      </c>
      <c r="I53" s="229" t="s">
        <v>240</v>
      </c>
      <c r="J53" s="229" t="s">
        <v>240</v>
      </c>
      <c r="L53" s="219"/>
    </row>
    <row r="54" spans="1:12" s="424" customFormat="1" ht="15.5" x14ac:dyDescent="0.25">
      <c r="A54" s="225">
        <v>1</v>
      </c>
      <c r="B54" s="226" t="s">
        <v>756</v>
      </c>
      <c r="C54" s="242">
        <v>100</v>
      </c>
      <c r="D54" s="798">
        <f t="shared" si="1"/>
        <v>100</v>
      </c>
      <c r="E54" s="799"/>
      <c r="F54" s="799"/>
      <c r="G54" s="800"/>
      <c r="H54" s="228" t="s">
        <v>243</v>
      </c>
      <c r="I54" s="229" t="s">
        <v>240</v>
      </c>
      <c r="J54" s="229" t="s">
        <v>240</v>
      </c>
      <c r="L54" s="425"/>
    </row>
    <row r="55" spans="1:12" s="218" customFormat="1" ht="15.5" x14ac:dyDescent="0.25">
      <c r="A55" s="225">
        <v>1</v>
      </c>
      <c r="B55" s="226" t="s">
        <v>250</v>
      </c>
      <c r="C55" s="242">
        <v>2.2000000000000002</v>
      </c>
      <c r="D55" s="798">
        <f t="shared" si="1"/>
        <v>2.2000000000000002</v>
      </c>
      <c r="E55" s="799"/>
      <c r="F55" s="799"/>
      <c r="G55" s="800"/>
      <c r="H55" s="228" t="s">
        <v>243</v>
      </c>
      <c r="I55" s="229" t="s">
        <v>240</v>
      </c>
      <c r="J55" s="229" t="s">
        <v>240</v>
      </c>
      <c r="L55" s="219"/>
    </row>
    <row r="56" spans="1:12" s="218" customFormat="1" ht="14.25" customHeight="1" x14ac:dyDescent="0.25">
      <c r="A56" s="804">
        <v>1</v>
      </c>
      <c r="B56" s="816" t="s">
        <v>253</v>
      </c>
      <c r="C56" s="814" t="str">
        <f>'Variable Management'!P29</f>
        <v>LM25148-Q1</v>
      </c>
      <c r="D56" s="808" t="str">
        <f>CHOOSE(VARIANT, "IC, LM5148, Synchronous Buck PWM Controller, 3.5V–80V Input", "IC, LM5148-Q1, Synchronous Buck PWM Controller, 3.5V–80V Input", "IC, LM25148, Synchronous Buck PWM Controller, 3.5V–42V Input",  "IC, LM25148-Q1, Synchronous Buck PWM Controller, 3.5V–42V Input")</f>
        <v>IC, LM25148-Q1, Synchronous Buck PWM Controller, 3.5V–42V Input</v>
      </c>
      <c r="E56" s="809"/>
      <c r="F56" s="809"/>
      <c r="G56" s="810"/>
      <c r="H56" s="818" t="s">
        <v>757</v>
      </c>
      <c r="I56" s="814" t="str">
        <f>CHOOSE(VARIANT, "LM5148RGYR", "LM5148QRGYRQ1", "LM25148RGYR", "LM25148QRGYRQ1")</f>
        <v>LM25148QRGYRQ1</v>
      </c>
      <c r="J56" s="806" t="s">
        <v>242</v>
      </c>
      <c r="L56" s="219"/>
    </row>
    <row r="57" spans="1:12" x14ac:dyDescent="0.25">
      <c r="A57" s="805"/>
      <c r="B57" s="817"/>
      <c r="C57" s="815"/>
      <c r="D57" s="811"/>
      <c r="E57" s="812"/>
      <c r="F57" s="812"/>
      <c r="G57" s="813"/>
      <c r="H57" s="819"/>
      <c r="I57" s="815"/>
      <c r="J57" s="807"/>
    </row>
    <row r="59" spans="1:12" ht="13" x14ac:dyDescent="0.3">
      <c r="A59" s="251" t="s">
        <v>261</v>
      </c>
    </row>
    <row r="60" spans="1:12" ht="17.149999999999999" customHeight="1" x14ac:dyDescent="0.25">
      <c r="A60" s="211" t="s">
        <v>448</v>
      </c>
    </row>
    <row r="61" spans="1:12" ht="17.149999999999999" customHeight="1" x14ac:dyDescent="0.25">
      <c r="A61" s="211" t="s">
        <v>951</v>
      </c>
    </row>
  </sheetData>
  <sheetProtection algorithmName="SHA-512" hashValue="BzucQA+KWiQvL07lfQEK93VBOPFTS/R1HaMt60aHxK8pazY0cozuTZIJLoeWzg3Ri1oWcB3r8QJ+z+htLdVPEw==" saltValue="KXDqQqxHUhvDm5V30XJqdw==" spinCount="100000" sheet="1" objects="1" scenarios="1" selectLockedCells="1" selectUnlockedCells="1"/>
  <mergeCells count="25">
    <mergeCell ref="D38:G38"/>
    <mergeCell ref="D53:G53"/>
    <mergeCell ref="D51:G51"/>
    <mergeCell ref="D52:G52"/>
    <mergeCell ref="D47:G47"/>
    <mergeCell ref="D50:G50"/>
    <mergeCell ref="D49:G49"/>
    <mergeCell ref="D46:G46"/>
    <mergeCell ref="D39:F39"/>
    <mergeCell ref="D40:F40"/>
    <mergeCell ref="D43:F43"/>
    <mergeCell ref="D45:F45"/>
    <mergeCell ref="D41:F41"/>
    <mergeCell ref="D44:F44"/>
    <mergeCell ref="D42:F42"/>
    <mergeCell ref="D55:G55"/>
    <mergeCell ref="D54:G54"/>
    <mergeCell ref="D48:G48"/>
    <mergeCell ref="A56:A57"/>
    <mergeCell ref="J56:J57"/>
    <mergeCell ref="D56:G57"/>
    <mergeCell ref="C56:C57"/>
    <mergeCell ref="B56:B57"/>
    <mergeCell ref="H56:H57"/>
    <mergeCell ref="I56:I57"/>
  </mergeCells>
  <printOptions horizontalCentered="1"/>
  <pageMargins left="0.23" right="0.23" top="0.7" bottom="0.61" header="0.3" footer="0.5"/>
  <pageSetup scale="46" fitToHeight="2" orientation="landscape" r:id="rId1"/>
  <headerFooter alignWithMargins="0"/>
  <ignoredErrors>
    <ignoredError sqref="H39:H41 H45 H46 H53:H54 H44 H48 H50:H52 H49 H55"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pageSetUpPr fitToPage="1"/>
  </sheetPr>
  <dimension ref="A1:W6"/>
  <sheetViews>
    <sheetView topLeftCell="A4" zoomScale="85" zoomScaleNormal="85" zoomScaleSheetLayoutView="80" workbookViewId="0">
      <selection activeCell="K6" sqref="K6"/>
    </sheetView>
  </sheetViews>
  <sheetFormatPr defaultColWidth="9.08984375" defaultRowHeight="12.5" x14ac:dyDescent="0.25"/>
  <cols>
    <col min="1" max="13" width="9.08984375" style="120"/>
    <col min="14" max="14" width="11.6328125" style="120" customWidth="1"/>
    <col min="15" max="16" width="9.08984375" style="120"/>
    <col min="17" max="17" width="15.6328125" style="120" customWidth="1"/>
    <col min="18" max="16384" width="9.08984375" style="120"/>
  </cols>
  <sheetData>
    <row r="1" spans="1:23" s="112" customFormat="1" ht="47.25" customHeight="1" x14ac:dyDescent="0.3">
      <c r="A1" s="847" t="s">
        <v>915</v>
      </c>
      <c r="B1" s="848"/>
      <c r="C1" s="848"/>
      <c r="D1" s="848"/>
      <c r="E1" s="848"/>
      <c r="F1" s="848"/>
      <c r="G1" s="848"/>
      <c r="H1" s="848"/>
      <c r="I1" s="848"/>
      <c r="J1" s="848"/>
      <c r="K1" s="848"/>
      <c r="L1" s="848"/>
      <c r="M1" s="848"/>
      <c r="N1" s="848"/>
      <c r="O1" s="848"/>
      <c r="P1" s="848"/>
      <c r="Q1" s="848"/>
    </row>
    <row r="6" spans="1:23" ht="20" x14ac:dyDescent="0.4">
      <c r="B6" s="121" t="s">
        <v>916</v>
      </c>
      <c r="M6" s="121"/>
      <c r="W6" s="121"/>
    </row>
  </sheetData>
  <sheetProtection algorithmName="SHA-512" hashValue="T57Nb+KuWMbHaKZuvLh7d5qoN4vNFcMfwIUMI8R8liSMGVOrdmehOPAlNkCUQ/8uwEodfY+QreP6v/GrEyJ3MA==" saltValue="LWRDTVNykMeRmU5ul2MsEg==" spinCount="100000" sheet="1" objects="1" scenarios="1" selectLockedCells="1"/>
  <mergeCells count="1">
    <mergeCell ref="A1:Q1"/>
  </mergeCells>
  <pageMargins left="0.19" right="0.2" top="0.75" bottom="0.75" header="0.3" footer="0.3"/>
  <pageSetup scale="30" orientation="portrait" r:id="rId1"/>
  <drawing r:id="rId2"/>
  <legacyDrawing r:id="rId3"/>
  <oleObjects>
    <mc:AlternateContent xmlns:mc="http://schemas.openxmlformats.org/markup-compatibility/2006">
      <mc:Choice Requires="x14">
        <oleObject progId="Visio.Drawing.15" shapeId="819203" r:id="rId4">
          <objectPr defaultSize="0" r:id="rId5">
            <anchor moveWithCells="1">
              <from>
                <xdr:col>13</xdr:col>
                <xdr:colOff>101600</xdr:colOff>
                <xdr:row>9</xdr:row>
                <xdr:rowOff>76200</xdr:rowOff>
              </from>
              <to>
                <xdr:col>24</xdr:col>
                <xdr:colOff>228600</xdr:colOff>
                <xdr:row>36</xdr:row>
                <xdr:rowOff>76200</xdr:rowOff>
              </to>
            </anchor>
          </objectPr>
        </oleObject>
      </mc:Choice>
      <mc:Fallback>
        <oleObject progId="Visio.Drawing.15" shapeId="819203" r:id="rId4"/>
      </mc:Fallback>
    </mc:AlternateContent>
    <mc:AlternateContent xmlns:mc="http://schemas.openxmlformats.org/markup-compatibility/2006">
      <mc:Choice Requires="x14">
        <oleObject progId="Visio.Drawing.15" shapeId="819207" r:id="rId6">
          <objectPr defaultSize="0" r:id="rId7">
            <anchor moveWithCells="1">
              <from>
                <xdr:col>13</xdr:col>
                <xdr:colOff>139700</xdr:colOff>
                <xdr:row>69</xdr:row>
                <xdr:rowOff>101600</xdr:rowOff>
              </from>
              <to>
                <xdr:col>24</xdr:col>
                <xdr:colOff>139700</xdr:colOff>
                <xdr:row>96</xdr:row>
                <xdr:rowOff>69850</xdr:rowOff>
              </to>
            </anchor>
          </objectPr>
        </oleObject>
      </mc:Choice>
      <mc:Fallback>
        <oleObject progId="Visio.Drawing.15" shapeId="819207" r:id="rId6"/>
      </mc:Fallback>
    </mc:AlternateContent>
    <mc:AlternateContent xmlns:mc="http://schemas.openxmlformats.org/markup-compatibility/2006">
      <mc:Choice Requires="x14">
        <oleObject progId="Visio.Drawing.15" shapeId="819208" r:id="rId8">
          <objectPr defaultSize="0" r:id="rId9">
            <anchor moveWithCells="1">
              <from>
                <xdr:col>13</xdr:col>
                <xdr:colOff>101600</xdr:colOff>
                <xdr:row>40</xdr:row>
                <xdr:rowOff>63500</xdr:rowOff>
              </from>
              <to>
                <xdr:col>24</xdr:col>
                <xdr:colOff>107950</xdr:colOff>
                <xdr:row>67</xdr:row>
                <xdr:rowOff>25400</xdr:rowOff>
              </to>
            </anchor>
          </objectPr>
        </oleObject>
      </mc:Choice>
      <mc:Fallback>
        <oleObject progId="Visio.Drawing.15" shapeId="819208" r:id="rId8"/>
      </mc:Fallback>
    </mc:AlternateContent>
    <mc:AlternateContent xmlns:mc="http://schemas.openxmlformats.org/markup-compatibility/2006">
      <mc:Choice Requires="x14">
        <oleObject progId="Visio.Drawing.15" shapeId="819209" r:id="rId10">
          <objectPr defaultSize="0" r:id="rId11">
            <anchor moveWithCells="1">
              <from>
                <xdr:col>0</xdr:col>
                <xdr:colOff>336550</xdr:colOff>
                <xdr:row>40</xdr:row>
                <xdr:rowOff>63500</xdr:rowOff>
              </from>
              <to>
                <xdr:col>12</xdr:col>
                <xdr:colOff>444500</xdr:colOff>
                <xdr:row>67</xdr:row>
                <xdr:rowOff>63500</xdr:rowOff>
              </to>
            </anchor>
          </objectPr>
        </oleObject>
      </mc:Choice>
      <mc:Fallback>
        <oleObject progId="Visio.Drawing.15" shapeId="819209" r:id="rId10"/>
      </mc:Fallback>
    </mc:AlternateContent>
    <mc:AlternateContent xmlns:mc="http://schemas.openxmlformats.org/markup-compatibility/2006">
      <mc:Choice Requires="x14">
        <oleObject progId="Visio.Drawing.15" shapeId="819210" r:id="rId12">
          <objectPr defaultSize="0" autoPict="0" r:id="rId13">
            <anchor moveWithCells="1">
              <from>
                <xdr:col>0</xdr:col>
                <xdr:colOff>342900</xdr:colOff>
                <xdr:row>69</xdr:row>
                <xdr:rowOff>114300</xdr:rowOff>
              </from>
              <to>
                <xdr:col>12</xdr:col>
                <xdr:colOff>381000</xdr:colOff>
                <xdr:row>96</xdr:row>
                <xdr:rowOff>63500</xdr:rowOff>
              </to>
            </anchor>
          </objectPr>
        </oleObject>
      </mc:Choice>
      <mc:Fallback>
        <oleObject progId="Visio.Drawing.15" shapeId="819210" r:id="rId12"/>
      </mc:Fallback>
    </mc:AlternateContent>
    <mc:AlternateContent xmlns:mc="http://schemas.openxmlformats.org/markup-compatibility/2006">
      <mc:Choice Requires="x14">
        <oleObject progId="Visio.Drawing.15" shapeId="819211" r:id="rId14">
          <objectPr defaultSize="0" autoPict="0" r:id="rId15">
            <anchor moveWithCells="1">
              <from>
                <xdr:col>0</xdr:col>
                <xdr:colOff>406400</xdr:colOff>
                <xdr:row>9</xdr:row>
                <xdr:rowOff>76200</xdr:rowOff>
              </from>
              <to>
                <xdr:col>12</xdr:col>
                <xdr:colOff>444500</xdr:colOff>
                <xdr:row>36</xdr:row>
                <xdr:rowOff>31750</xdr:rowOff>
              </to>
            </anchor>
          </objectPr>
        </oleObject>
      </mc:Choice>
      <mc:Fallback>
        <oleObject progId="Visio.Drawing.15" shapeId="819211" r:id="rId1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A452"/>
  <sheetViews>
    <sheetView zoomScale="115" zoomScaleNormal="115" workbookViewId="0">
      <pane ySplit="5" topLeftCell="A54" activePane="bottomLeft" state="frozenSplit"/>
      <selection pane="bottomLeft" activeCell="B68" sqref="B68"/>
    </sheetView>
  </sheetViews>
  <sheetFormatPr defaultRowHeight="13" x14ac:dyDescent="0.3"/>
  <cols>
    <col min="1" max="1" width="34.08984375" customWidth="1"/>
    <col min="2" max="2" width="12" customWidth="1"/>
    <col min="3" max="3" width="12.08984375" style="2" customWidth="1"/>
    <col min="4" max="4" width="16.6328125" customWidth="1"/>
    <col min="5" max="5" width="11.54296875" customWidth="1"/>
    <col min="6" max="6" width="12.453125" bestFit="1" customWidth="1"/>
    <col min="7" max="7" width="17.453125" customWidth="1"/>
    <col min="8" max="8" width="34.6328125" customWidth="1"/>
    <col min="9" max="9" width="11.6328125" customWidth="1"/>
    <col min="10" max="10" width="12.453125" bestFit="1" customWidth="1"/>
    <col min="11" max="11" width="15.08984375" customWidth="1"/>
    <col min="12" max="12" width="13.36328125" customWidth="1"/>
    <col min="14" max="14" width="8.6328125" customWidth="1"/>
    <col min="15" max="15" width="11.08984375" customWidth="1"/>
    <col min="16" max="16" width="12.6328125" customWidth="1"/>
    <col min="23" max="23" width="13.36328125" customWidth="1"/>
    <col min="25" max="25" width="12.453125" customWidth="1"/>
  </cols>
  <sheetData>
    <row r="1" spans="1:27" ht="30.75" customHeight="1" x14ac:dyDescent="0.6">
      <c r="A1" s="850" t="s">
        <v>380</v>
      </c>
      <c r="B1" s="850"/>
      <c r="C1" s="850"/>
      <c r="D1" s="850"/>
      <c r="E1" s="850"/>
      <c r="F1" s="850"/>
      <c r="G1" s="850"/>
      <c r="H1" s="850"/>
      <c r="I1" s="850"/>
    </row>
    <row r="2" spans="1:27" ht="12" customHeight="1" x14ac:dyDescent="0.3">
      <c r="A2" s="49"/>
      <c r="B2" s="49" t="s">
        <v>188</v>
      </c>
      <c r="C2" s="50"/>
      <c r="E2" s="49"/>
      <c r="F2" s="49"/>
      <c r="G2" s="49"/>
      <c r="H2" s="49"/>
      <c r="I2" s="49"/>
    </row>
    <row r="3" spans="1:27" ht="11.25" customHeight="1" x14ac:dyDescent="0.3">
      <c r="A3" s="49"/>
      <c r="B3" s="49" t="s">
        <v>220</v>
      </c>
      <c r="C3" s="51"/>
      <c r="E3" s="49"/>
      <c r="F3" s="49"/>
      <c r="G3" s="49"/>
      <c r="H3" s="49"/>
      <c r="I3" s="49"/>
    </row>
    <row r="4" spans="1:27" ht="11.25" customHeight="1" x14ac:dyDescent="0.3">
      <c r="A4" s="49"/>
      <c r="B4" s="49" t="s">
        <v>189</v>
      </c>
      <c r="C4" s="52"/>
      <c r="E4" s="49"/>
      <c r="F4" s="49"/>
      <c r="G4" s="49"/>
      <c r="H4" s="49"/>
      <c r="I4" s="49"/>
    </row>
    <row r="5" spans="1:27" x14ac:dyDescent="0.3">
      <c r="A5" s="2" t="s">
        <v>47</v>
      </c>
      <c r="B5" s="2" t="s">
        <v>7</v>
      </c>
      <c r="C5" s="2" t="s">
        <v>8</v>
      </c>
      <c r="E5" s="849" t="s">
        <v>12</v>
      </c>
      <c r="F5" s="849"/>
      <c r="G5" s="849"/>
      <c r="H5" s="849"/>
      <c r="I5" s="2" t="s">
        <v>401</v>
      </c>
    </row>
    <row r="6" spans="1:27" ht="16" thickBot="1" x14ac:dyDescent="0.4">
      <c r="A6" s="509" t="s">
        <v>147</v>
      </c>
      <c r="B6" s="2"/>
      <c r="D6" s="2"/>
      <c r="E6" s="49"/>
      <c r="F6" s="49"/>
      <c r="G6" s="49"/>
      <c r="H6" s="49"/>
      <c r="I6" s="2"/>
    </row>
    <row r="7" spans="1:27" ht="12.5" x14ac:dyDescent="0.25">
      <c r="A7" s="208" t="s">
        <v>278</v>
      </c>
      <c r="B7" s="12">
        <f>'Design Regulator'!E6</f>
        <v>5</v>
      </c>
      <c r="C7" s="63" t="s">
        <v>0</v>
      </c>
      <c r="D7" s="116" t="s">
        <v>279</v>
      </c>
      <c r="E7" s="63"/>
      <c r="F7" s="63"/>
      <c r="G7" s="63"/>
      <c r="H7" s="63"/>
      <c r="I7" s="64">
        <v>1</v>
      </c>
    </row>
    <row r="8" spans="1:27" ht="12.5" x14ac:dyDescent="0.25">
      <c r="A8" s="209" t="s">
        <v>594</v>
      </c>
      <c r="B8" s="29">
        <f>'Design Regulator'!E7</f>
        <v>6.6</v>
      </c>
      <c r="C8" t="s">
        <v>0</v>
      </c>
      <c r="D8" t="s">
        <v>13</v>
      </c>
      <c r="I8" s="57"/>
      <c r="K8" s="285" t="str">
        <f>CHOOSE(SCH_MODE, "Efficiency vs. IOUT (Ch1)", "Efficiency vs. IOUT - 2 Ph", "Efficiency vs. IOUT - 3 Ph", "Efficiency vs. IOUT - 4 Ph")</f>
        <v>Efficiency vs. IOUT (Ch1)</v>
      </c>
      <c r="L8" s="115">
        <v>1</v>
      </c>
      <c r="N8" s="285" t="s">
        <v>927</v>
      </c>
      <c r="O8" s="115">
        <v>1</v>
      </c>
      <c r="T8" s="285" t="s">
        <v>684</v>
      </c>
      <c r="U8" s="115">
        <v>1</v>
      </c>
      <c r="W8" s="285" t="s">
        <v>627</v>
      </c>
      <c r="X8" s="115">
        <v>1</v>
      </c>
      <c r="Z8" s="285" t="str">
        <f>CHOOSE(SCH_MODE, "Bode Plot (Ch1)", "Bode Plot - 2 Ph", "Bode Plot - 3 Ph", "Bode Plot - 4 Ph")</f>
        <v>Bode Plot (Ch1)</v>
      </c>
      <c r="AA8" s="115">
        <v>1</v>
      </c>
    </row>
    <row r="9" spans="1:27" ht="12.5" x14ac:dyDescent="0.25">
      <c r="A9" s="209" t="s">
        <v>277</v>
      </c>
      <c r="B9" s="29">
        <f>'Design Regulator'!E8</f>
        <v>7.4</v>
      </c>
      <c r="C9" t="s">
        <v>0</v>
      </c>
      <c r="D9" s="113" t="s">
        <v>280</v>
      </c>
      <c r="I9" s="57"/>
      <c r="K9" s="285" t="str">
        <f>IF(MODE=1, "Efficiency vs. IOUT (Ch2)", "N/A - Do Not Use")</f>
        <v>Efficiency vs. IOUT (Ch2)</v>
      </c>
      <c r="L9" s="115">
        <v>2</v>
      </c>
      <c r="N9" s="285" t="s">
        <v>928</v>
      </c>
      <c r="O9" s="115">
        <v>2</v>
      </c>
      <c r="T9" s="285" t="s">
        <v>685</v>
      </c>
      <c r="U9" s="115">
        <v>2</v>
      </c>
      <c r="W9" s="285" t="s">
        <v>856</v>
      </c>
      <c r="X9" s="115">
        <v>2</v>
      </c>
      <c r="Z9" s="285" t="str">
        <f>IF(MODE=1, "AEF Gain", "N/A - Do Not Use")</f>
        <v>AEF Gain</v>
      </c>
      <c r="AA9" s="115">
        <v>2</v>
      </c>
    </row>
    <row r="10" spans="1:27" x14ac:dyDescent="0.3">
      <c r="A10" s="209"/>
      <c r="B10" s="4"/>
      <c r="C10"/>
      <c r="D10" s="113"/>
      <c r="I10" s="57"/>
      <c r="K10" s="519" t="s">
        <v>566</v>
      </c>
      <c r="L10" s="520">
        <v>1</v>
      </c>
      <c r="N10" s="519" t="s">
        <v>929</v>
      </c>
      <c r="O10" s="520">
        <v>1</v>
      </c>
      <c r="P10" s="113" t="s">
        <v>584</v>
      </c>
      <c r="T10" s="285" t="s">
        <v>686</v>
      </c>
      <c r="U10" s="115">
        <v>3</v>
      </c>
      <c r="W10" s="519" t="s">
        <v>857</v>
      </c>
      <c r="X10" s="520">
        <v>1</v>
      </c>
      <c r="Z10" s="519" t="s">
        <v>688</v>
      </c>
      <c r="AA10" s="520">
        <v>1</v>
      </c>
    </row>
    <row r="11" spans="1:27" ht="12.5" x14ac:dyDescent="0.25">
      <c r="A11" s="56" t="s">
        <v>4</v>
      </c>
      <c r="B11" s="29">
        <f>'Design Regulator'!E9</f>
        <v>3.3</v>
      </c>
      <c r="C11" t="s">
        <v>0</v>
      </c>
      <c r="D11" s="113" t="s">
        <v>598</v>
      </c>
      <c r="I11" s="57"/>
      <c r="T11" s="285" t="s">
        <v>687</v>
      </c>
      <c r="U11" s="115">
        <v>4</v>
      </c>
      <c r="V11" s="113"/>
    </row>
    <row r="12" spans="1:27" x14ac:dyDescent="0.3">
      <c r="A12" s="56" t="s">
        <v>5</v>
      </c>
      <c r="B12" s="29">
        <f>'Design Regulator'!E10</f>
        <v>1.75</v>
      </c>
      <c r="C12" t="s">
        <v>1</v>
      </c>
      <c r="D12" s="113" t="s">
        <v>599</v>
      </c>
      <c r="I12" s="57">
        <v>1</v>
      </c>
      <c r="T12" s="519" t="s">
        <v>597</v>
      </c>
      <c r="U12" s="520">
        <v>1</v>
      </c>
      <c r="V12" s="113"/>
    </row>
    <row r="13" spans="1:27" x14ac:dyDescent="0.3">
      <c r="A13" s="209"/>
      <c r="C13"/>
      <c r="D13" s="113"/>
      <c r="I13" s="57">
        <v>1</v>
      </c>
      <c r="K13" s="285" t="s">
        <v>646</v>
      </c>
      <c r="L13" s="115">
        <v>1</v>
      </c>
      <c r="N13" s="285" t="s">
        <v>644</v>
      </c>
      <c r="O13" s="115">
        <v>1</v>
      </c>
      <c r="T13" s="561" t="s">
        <v>696</v>
      </c>
      <c r="U13" s="559">
        <f>IF(U12=1, 1, 2)</f>
        <v>1</v>
      </c>
      <c r="V13" s="113"/>
      <c r="W13" s="285" t="s">
        <v>704</v>
      </c>
      <c r="X13" s="115">
        <v>1</v>
      </c>
    </row>
    <row r="14" spans="1:27" x14ac:dyDescent="0.3">
      <c r="A14" s="209" t="s">
        <v>313</v>
      </c>
      <c r="B14" s="504">
        <f>Vout/Iout</f>
        <v>1.8857142857142857</v>
      </c>
      <c r="C14" s="210" t="s">
        <v>116</v>
      </c>
      <c r="D14" s="113" t="s">
        <v>595</v>
      </c>
      <c r="I14" s="57"/>
      <c r="K14" s="285" t="s">
        <v>645</v>
      </c>
      <c r="L14" s="115">
        <v>2</v>
      </c>
      <c r="N14" s="285" t="s">
        <v>645</v>
      </c>
      <c r="O14" s="115">
        <v>2</v>
      </c>
      <c r="T14" s="287" t="s">
        <v>695</v>
      </c>
      <c r="U14" s="562">
        <f>IF(U12=1, 2, 1)</f>
        <v>2</v>
      </c>
      <c r="W14" s="285" t="s">
        <v>705</v>
      </c>
      <c r="X14" s="115">
        <v>2</v>
      </c>
    </row>
    <row r="15" spans="1:27" x14ac:dyDescent="0.3">
      <c r="A15" s="209"/>
      <c r="B15" s="504"/>
      <c r="C15" s="210"/>
      <c r="D15" s="113"/>
      <c r="I15" s="57"/>
      <c r="K15" s="285" t="s">
        <v>644</v>
      </c>
      <c r="L15" s="115">
        <v>3</v>
      </c>
      <c r="N15" s="285" t="s">
        <v>646</v>
      </c>
      <c r="O15" s="115">
        <v>3</v>
      </c>
      <c r="T15" s="287" t="s">
        <v>694</v>
      </c>
      <c r="U15" s="290">
        <f>SCH_MODE</f>
        <v>1</v>
      </c>
      <c r="W15" s="519" t="s">
        <v>706</v>
      </c>
      <c r="X15" s="520">
        <v>2</v>
      </c>
    </row>
    <row r="16" spans="1:27" x14ac:dyDescent="0.3">
      <c r="A16" s="209" t="s">
        <v>284</v>
      </c>
      <c r="B16" s="284">
        <f>Vout*Iout</f>
        <v>5.7749999999999995</v>
      </c>
      <c r="C16" t="s">
        <v>116</v>
      </c>
      <c r="D16" s="113" t="s">
        <v>298</v>
      </c>
      <c r="I16" s="57"/>
      <c r="K16" s="285" t="s">
        <v>826</v>
      </c>
      <c r="L16" s="115">
        <v>4</v>
      </c>
      <c r="N16" s="519" t="s">
        <v>926</v>
      </c>
      <c r="O16" s="520">
        <f>IF(Vout2=3.3, 1, IF(Vout2=5, 2, 3))</f>
        <v>3</v>
      </c>
    </row>
    <row r="17" spans="1:27" x14ac:dyDescent="0.3">
      <c r="A17" s="209"/>
      <c r="C17"/>
      <c r="D17" s="113"/>
      <c r="I17" s="57"/>
      <c r="K17" s="519" t="s">
        <v>751</v>
      </c>
      <c r="L17" s="520">
        <f>IF(Vout=3.3, 3, IF(Vout=5, 2,  IF(Vout=12,4,1)))</f>
        <v>3</v>
      </c>
    </row>
    <row r="18" spans="1:27" x14ac:dyDescent="0.3">
      <c r="A18" s="209" t="s">
        <v>127</v>
      </c>
      <c r="B18" s="395">
        <v>0.9</v>
      </c>
      <c r="C18"/>
      <c r="D18" s="113" t="s">
        <v>414</v>
      </c>
      <c r="I18" s="57"/>
      <c r="Y18" s="2"/>
    </row>
    <row r="19" spans="1:27" x14ac:dyDescent="0.3">
      <c r="A19" s="209" t="s">
        <v>288</v>
      </c>
      <c r="B19" s="301">
        <f>Pout/Efficiency</f>
        <v>6.4166666666666661</v>
      </c>
      <c r="C19" t="s">
        <v>116</v>
      </c>
      <c r="D19" s="113" t="s">
        <v>596</v>
      </c>
      <c r="I19" s="57"/>
      <c r="W19" s="285"/>
      <c r="Y19" s="2"/>
      <c r="Z19" s="44" t="s">
        <v>762</v>
      </c>
      <c r="AA19" s="115">
        <v>1</v>
      </c>
    </row>
    <row r="20" spans="1:27" x14ac:dyDescent="0.3">
      <c r="A20" s="209"/>
      <c r="D20" s="113"/>
      <c r="I20" s="57"/>
      <c r="W20" s="285"/>
      <c r="Z20" s="44" t="s">
        <v>761</v>
      </c>
      <c r="AA20" s="115">
        <v>2</v>
      </c>
    </row>
    <row r="21" spans="1:27" x14ac:dyDescent="0.3">
      <c r="A21" s="209" t="s">
        <v>285</v>
      </c>
      <c r="B21" s="296">
        <f>Pin/VIN_min</f>
        <v>1.2833333333333332</v>
      </c>
      <c r="C21" t="s">
        <v>1</v>
      </c>
      <c r="D21" s="113"/>
      <c r="I21" s="57"/>
      <c r="L21">
        <f>Vout</f>
        <v>3.3</v>
      </c>
      <c r="W21" s="519"/>
      <c r="X21" s="350"/>
      <c r="Z21" s="519" t="s">
        <v>763</v>
      </c>
      <c r="AA21" s="520">
        <v>2</v>
      </c>
    </row>
    <row r="22" spans="1:27" ht="12.5" x14ac:dyDescent="0.25">
      <c r="A22" s="209" t="s">
        <v>286</v>
      </c>
      <c r="B22" s="296">
        <f>Pin/VIN_nom</f>
        <v>0.97222222222222221</v>
      </c>
      <c r="C22" t="s">
        <v>1</v>
      </c>
      <c r="D22" s="113" t="s">
        <v>299</v>
      </c>
      <c r="H22" t="b">
        <f>AND(OSC=1, OR(Fsw/1000&gt;2530, Fsw/1000&lt;1800))</f>
        <v>0</v>
      </c>
      <c r="I22" s="57"/>
    </row>
    <row r="23" spans="1:27" ht="12.5" x14ac:dyDescent="0.25">
      <c r="A23" s="209" t="s">
        <v>287</v>
      </c>
      <c r="B23" s="296">
        <f>Pin/VIN_max</f>
        <v>0.86711711711711703</v>
      </c>
      <c r="C23" t="s">
        <v>1</v>
      </c>
      <c r="D23" s="113"/>
      <c r="H23" t="b">
        <f>AND(OSC=2, OR(Fsw/1000&gt;500, Fsw/1000&lt;300))</f>
        <v>0</v>
      </c>
      <c r="I23" s="57"/>
    </row>
    <row r="24" spans="1:27" ht="12.5" x14ac:dyDescent="0.25">
      <c r="A24" s="209"/>
      <c r="C24"/>
      <c r="D24" s="113"/>
      <c r="H24" t="b">
        <f>OR(H22,H23)</f>
        <v>0</v>
      </c>
      <c r="I24" s="57"/>
    </row>
    <row r="25" spans="1:27" x14ac:dyDescent="0.3">
      <c r="A25" s="585" t="s">
        <v>749</v>
      </c>
      <c r="B25" s="299" t="e">
        <f>CHOOSE(OSC, 2200, 440)</f>
        <v>#VALUE!</v>
      </c>
      <c r="C25" s="113" t="s">
        <v>2</v>
      </c>
      <c r="I25" s="57"/>
      <c r="K25" s="285" t="s">
        <v>818</v>
      </c>
      <c r="L25" s="115">
        <v>1</v>
      </c>
      <c r="P25" s="285" t="s">
        <v>930</v>
      </c>
      <c r="Q25" s="290">
        <v>1</v>
      </c>
      <c r="W25" s="285" t="s">
        <v>781</v>
      </c>
      <c r="X25">
        <v>1</v>
      </c>
      <c r="Z25" s="285" t="s">
        <v>869</v>
      </c>
      <c r="AA25" s="115">
        <v>1</v>
      </c>
    </row>
    <row r="26" spans="1:27" x14ac:dyDescent="0.3">
      <c r="A26" s="58" t="s">
        <v>6</v>
      </c>
      <c r="B26" s="252">
        <f>'Design Regulator'!E11*1000</f>
        <v>405680</v>
      </c>
      <c r="C26" s="113" t="s">
        <v>9</v>
      </c>
      <c r="D26" s="113" t="s">
        <v>603</v>
      </c>
      <c r="I26" s="57"/>
      <c r="K26" s="285" t="s">
        <v>820</v>
      </c>
      <c r="L26" s="115">
        <v>2</v>
      </c>
      <c r="P26" s="285" t="s">
        <v>931</v>
      </c>
      <c r="Q26" s="290">
        <v>2</v>
      </c>
      <c r="W26" s="285" t="s">
        <v>782</v>
      </c>
      <c r="X26">
        <v>2</v>
      </c>
      <c r="Z26" s="285" t="s">
        <v>870</v>
      </c>
      <c r="AA26" s="115">
        <v>2</v>
      </c>
    </row>
    <row r="27" spans="1:27" x14ac:dyDescent="0.3">
      <c r="A27" s="113" t="s">
        <v>831</v>
      </c>
      <c r="B27" s="48">
        <f>((1000000000/Fsw)-53)/45+0.1</f>
        <v>53.699934266745551</v>
      </c>
      <c r="C27" s="45" t="s">
        <v>237</v>
      </c>
      <c r="D27" s="113"/>
      <c r="I27" s="57"/>
      <c r="K27" s="285" t="s">
        <v>821</v>
      </c>
      <c r="L27" s="115">
        <v>3</v>
      </c>
      <c r="O27" s="285"/>
      <c r="P27" s="285" t="s">
        <v>932</v>
      </c>
      <c r="Q27" s="290">
        <v>3</v>
      </c>
      <c r="W27" s="285" t="s">
        <v>783</v>
      </c>
      <c r="X27">
        <v>3</v>
      </c>
      <c r="Z27" s="519" t="s">
        <v>871</v>
      </c>
      <c r="AA27" s="115">
        <v>2</v>
      </c>
    </row>
    <row r="28" spans="1:27" x14ac:dyDescent="0.3">
      <c r="A28" s="113"/>
      <c r="B28" s="679"/>
      <c r="C28" s="45" t="s">
        <v>237</v>
      </c>
      <c r="D28" s="113"/>
      <c r="F28" s="113"/>
      <c r="I28" s="57">
        <v>1</v>
      </c>
      <c r="K28" s="285" t="s">
        <v>819</v>
      </c>
      <c r="L28" s="115">
        <v>4</v>
      </c>
      <c r="O28" s="285"/>
      <c r="P28" s="285" t="s">
        <v>933</v>
      </c>
      <c r="Q28" s="290">
        <v>4</v>
      </c>
      <c r="W28" s="519" t="s">
        <v>780</v>
      </c>
      <c r="X28">
        <v>1</v>
      </c>
    </row>
    <row r="29" spans="1:27" x14ac:dyDescent="0.3">
      <c r="A29" s="209" t="s">
        <v>720</v>
      </c>
      <c r="B29" s="512">
        <f>1/Fsw</f>
        <v>2.4649970420035497E-6</v>
      </c>
      <c r="C29" s="113" t="s">
        <v>530</v>
      </c>
      <c r="D29" s="113" t="s">
        <v>600</v>
      </c>
      <c r="I29" s="57"/>
      <c r="K29" s="285" t="s">
        <v>822</v>
      </c>
      <c r="L29" s="115">
        <v>5</v>
      </c>
      <c r="O29" s="520" t="s">
        <v>934</v>
      </c>
      <c r="P29" s="287" t="str">
        <f>CHOOSE(VARIANT, "LM5148", "LM5148-Q1", "LM25148", "LM25148-Q1")</f>
        <v>LM25148-Q1</v>
      </c>
      <c r="Q29" s="520">
        <v>4</v>
      </c>
    </row>
    <row r="30" spans="1:27" x14ac:dyDescent="0.3">
      <c r="A30" s="58" t="s">
        <v>41</v>
      </c>
      <c r="B30" s="59">
        <v>0.8</v>
      </c>
      <c r="C30" t="s">
        <v>0</v>
      </c>
      <c r="D30" s="113" t="s">
        <v>601</v>
      </c>
      <c r="I30" s="57"/>
      <c r="K30" s="285" t="s">
        <v>823</v>
      </c>
      <c r="L30" s="115">
        <v>6</v>
      </c>
      <c r="O30" s="520" t="s">
        <v>935</v>
      </c>
      <c r="P30" s="287">
        <f>CHOOSE(VARIANT, 80, 80, 42, 42)</f>
        <v>42</v>
      </c>
      <c r="Q30" t="s">
        <v>0</v>
      </c>
    </row>
    <row r="31" spans="1:27" ht="13.5" thickBot="1" x14ac:dyDescent="0.35">
      <c r="A31" s="626" t="s">
        <v>272</v>
      </c>
      <c r="B31" s="629">
        <f>'Standard Value Calculator'!S12/1000</f>
        <v>53.6</v>
      </c>
      <c r="C31" s="45" t="s">
        <v>237</v>
      </c>
      <c r="D31" s="627" t="s">
        <v>602</v>
      </c>
      <c r="E31" s="371"/>
      <c r="F31" s="628">
        <f>IF(OR((Fsw=440000),(Fsw=2200000)),"N/A",Rfadj/1000)</f>
        <v>5.3600000000000002E-2</v>
      </c>
      <c r="G31" s="371"/>
      <c r="H31" s="371"/>
      <c r="I31" s="546"/>
      <c r="K31" s="285" t="s">
        <v>824</v>
      </c>
      <c r="L31" s="115">
        <v>7</v>
      </c>
      <c r="O31" s="113" t="s">
        <v>936</v>
      </c>
      <c r="P31" s="285">
        <f>CHOOSE(VARIANT, 60, 60, 36, 36)</f>
        <v>36</v>
      </c>
      <c r="Q31" s="113" t="s">
        <v>0</v>
      </c>
    </row>
    <row r="32" spans="1:27" x14ac:dyDescent="0.3">
      <c r="K32" s="285" t="s">
        <v>825</v>
      </c>
      <c r="L32" s="115">
        <v>8</v>
      </c>
      <c r="O32" s="285"/>
      <c r="P32" s="115"/>
    </row>
    <row r="33" spans="1:16" ht="16" thickBot="1" x14ac:dyDescent="0.4">
      <c r="A33" s="509" t="s">
        <v>648</v>
      </c>
      <c r="B33" s="2" t="s">
        <v>606</v>
      </c>
      <c r="D33" s="2"/>
      <c r="K33" s="519" t="s">
        <v>752</v>
      </c>
      <c r="L33" s="520">
        <f>(IF(OR(Vout=3.3,Vout=5,Vout=12),CHOOSE(COMP_TYPE,IF(INFILTER_TYPE=1,1,2),IF(INFILTER_TYPE=1,3,4)),CHOOSE(COMP_TYPE,IF(INFILTER_TYPE=1,5,6),IF(INFILTER_TYPE=1,7,8))))</f>
        <v>3</v>
      </c>
      <c r="O33" s="285"/>
      <c r="P33" s="115"/>
    </row>
    <row r="34" spans="1:16" x14ac:dyDescent="0.3">
      <c r="A34" s="208" t="s">
        <v>14</v>
      </c>
      <c r="B34" s="280">
        <f>Vout/VIN_nom</f>
        <v>0.5</v>
      </c>
      <c r="C34" s="548"/>
      <c r="D34" s="283"/>
      <c r="E34" s="283"/>
      <c r="F34" s="116" t="s">
        <v>282</v>
      </c>
      <c r="G34" s="63"/>
      <c r="H34" s="63"/>
      <c r="I34" s="64"/>
      <c r="O34" s="285"/>
      <c r="P34" s="115"/>
    </row>
    <row r="35" spans="1:16" x14ac:dyDescent="0.3">
      <c r="A35" s="209" t="s">
        <v>15</v>
      </c>
      <c r="B35" s="281">
        <f>1-34:34</f>
        <v>0.5</v>
      </c>
      <c r="C35"/>
      <c r="F35" s="113" t="s">
        <v>283</v>
      </c>
      <c r="I35" s="57"/>
      <c r="O35" s="285"/>
      <c r="P35" s="115"/>
    </row>
    <row r="36" spans="1:16" ht="12.5" x14ac:dyDescent="0.25">
      <c r="A36" s="113"/>
      <c r="C36"/>
      <c r="E36" s="113"/>
      <c r="I36" s="57"/>
    </row>
    <row r="37" spans="1:16" x14ac:dyDescent="0.3">
      <c r="A37" s="209" t="s">
        <v>650</v>
      </c>
      <c r="B37" s="291">
        <f>Vout/VIN_min</f>
        <v>0.65999999999999992</v>
      </c>
      <c r="C37"/>
      <c r="D37" s="540"/>
      <c r="E37" s="113"/>
      <c r="I37" s="57"/>
    </row>
    <row r="38" spans="1:16" x14ac:dyDescent="0.3">
      <c r="A38" s="209" t="s">
        <v>651</v>
      </c>
      <c r="B38" s="291">
        <f>Vout/VIN_nom</f>
        <v>0.5</v>
      </c>
      <c r="C38"/>
      <c r="D38" s="540"/>
      <c r="I38" s="57"/>
    </row>
    <row r="39" spans="1:16" x14ac:dyDescent="0.3">
      <c r="A39" s="209" t="s">
        <v>652</v>
      </c>
      <c r="B39" s="291">
        <f>Vout/VIN_max</f>
        <v>0.44594594594594589</v>
      </c>
      <c r="C39"/>
      <c r="D39" s="540"/>
      <c r="E39" s="113"/>
      <c r="I39" s="57"/>
    </row>
    <row r="40" spans="1:16" x14ac:dyDescent="0.3">
      <c r="A40" s="113"/>
      <c r="B40" s="540"/>
      <c r="C40" s="113"/>
      <c r="E40" s="113"/>
      <c r="I40" s="57"/>
    </row>
    <row r="41" spans="1:16" x14ac:dyDescent="0.3">
      <c r="A41" s="113" t="s">
        <v>292</v>
      </c>
      <c r="B41" s="282">
        <f>(VIN_nom-Vout)*D1_Vinnom/(Fsw*(Iout/Number_of_Phases)*0.3)</f>
        <v>7.7471335605825839E-6</v>
      </c>
      <c r="C41" t="s">
        <v>19</v>
      </c>
      <c r="D41" s="46"/>
      <c r="F41" s="113" t="s">
        <v>607</v>
      </c>
      <c r="I41" s="57"/>
    </row>
    <row r="42" spans="1:16" x14ac:dyDescent="0.3">
      <c r="A42" s="113" t="s">
        <v>604</v>
      </c>
      <c r="B42" s="282">
        <f>1000*Vout*Rs/22.72/Fsw</f>
        <v>8.9508035195991569E-6</v>
      </c>
      <c r="C42" t="s">
        <v>19</v>
      </c>
      <c r="D42" s="46"/>
      <c r="F42" s="113" t="s">
        <v>649</v>
      </c>
      <c r="I42" s="57"/>
    </row>
    <row r="43" spans="1:16" ht="12.5" x14ac:dyDescent="0.25">
      <c r="A43" s="113"/>
      <c r="C43" s="113"/>
      <c r="E43" s="113"/>
      <c r="I43" s="57"/>
    </row>
    <row r="44" spans="1:16" x14ac:dyDescent="0.3">
      <c r="A44" s="209" t="s">
        <v>293</v>
      </c>
      <c r="B44" s="282">
        <f>B42</f>
        <v>8.9508035195991569E-6</v>
      </c>
      <c r="C44" t="s">
        <v>19</v>
      </c>
      <c r="D44" s="30"/>
      <c r="E44" s="113"/>
      <c r="F44" s="113" t="s">
        <v>889</v>
      </c>
      <c r="I44" s="57"/>
    </row>
    <row r="45" spans="1:16" ht="12.5" x14ac:dyDescent="0.25">
      <c r="A45" s="209"/>
      <c r="C45"/>
      <c r="E45" s="113"/>
      <c r="I45" s="57"/>
    </row>
    <row r="46" spans="1:16" ht="12.5" x14ac:dyDescent="0.25">
      <c r="A46" s="209" t="s">
        <v>624</v>
      </c>
      <c r="B46" s="72">
        <f>'Design Regulator'!E27/1000000</f>
        <v>6.8000000000000001E-6</v>
      </c>
      <c r="C46" t="s">
        <v>19</v>
      </c>
      <c r="D46" s="30"/>
      <c r="F46" s="113" t="s">
        <v>531</v>
      </c>
      <c r="I46" s="57"/>
    </row>
    <row r="47" spans="1:16" ht="12.5" x14ac:dyDescent="0.25">
      <c r="A47" s="209" t="s">
        <v>11</v>
      </c>
      <c r="B47" s="29">
        <f>'Design Regulator'!E28/1000</f>
        <v>4.0999999999999995E-3</v>
      </c>
      <c r="C47" s="210" t="s">
        <v>116</v>
      </c>
      <c r="E47" s="210"/>
      <c r="F47" s="113" t="s">
        <v>532</v>
      </c>
      <c r="I47" s="57"/>
    </row>
    <row r="48" spans="1:16" ht="12.5" x14ac:dyDescent="0.25">
      <c r="A48" s="209"/>
      <c r="B48" s="113"/>
      <c r="C48" s="113"/>
      <c r="D48" s="113"/>
      <c r="E48" s="113"/>
      <c r="I48" s="57"/>
    </row>
    <row r="49" spans="1:9" x14ac:dyDescent="0.3">
      <c r="A49" s="209" t="s">
        <v>16</v>
      </c>
      <c r="B49" s="291">
        <f>(Vout+Iout*(Rdcr+Rs))/(Vin+Iout*Rs)</f>
        <v>0.50437253057384757</v>
      </c>
      <c r="C49"/>
      <c r="I49" s="57"/>
    </row>
    <row r="50" spans="1:9" x14ac:dyDescent="0.3">
      <c r="A50" s="209" t="s">
        <v>17</v>
      </c>
      <c r="B50" s="291">
        <f>1-_Don2</f>
        <v>0.49562746942615243</v>
      </c>
      <c r="C50"/>
      <c r="I50" s="57"/>
    </row>
    <row r="51" spans="1:9" ht="12.5" x14ac:dyDescent="0.25">
      <c r="A51" s="209"/>
      <c r="C51"/>
      <c r="I51" s="57"/>
    </row>
    <row r="52" spans="1:9" x14ac:dyDescent="0.3">
      <c r="A52" s="209" t="s">
        <v>653</v>
      </c>
      <c r="B52" s="291">
        <f>CHOOSE(MODE, (Vout+Iout*(Rdcr+Rs))/(VIN_min+Iout*Rs), (Vout+Iout/Number_of_Phases*(Rdcr+Rs))/(VIN_min+Iout/Number_of_Phases*Rs))</f>
        <v>0.66437174721189585</v>
      </c>
      <c r="C52"/>
      <c r="D52" s="540"/>
      <c r="F52" s="113" t="s">
        <v>608</v>
      </c>
      <c r="I52" s="57"/>
    </row>
    <row r="53" spans="1:9" ht="15.5" x14ac:dyDescent="0.4">
      <c r="A53" s="209" t="s">
        <v>654</v>
      </c>
      <c r="B53" s="291">
        <f>CHOOSE(MODE, (Vout+Iout*(Rdcr+Rs))/(VIN_nom+Iout*Rs), (Vout+Iout/Number_of_Phases*(Rdcr+Rs))/(VIN_nom+Iout/Number_of_Phases*Rs))</f>
        <v>0.50437253057384757</v>
      </c>
      <c r="C53"/>
      <c r="D53" s="540"/>
      <c r="F53" s="366" t="s">
        <v>415</v>
      </c>
      <c r="I53" s="57"/>
    </row>
    <row r="54" spans="1:9" x14ac:dyDescent="0.3">
      <c r="A54" s="209" t="s">
        <v>655</v>
      </c>
      <c r="B54" s="291">
        <f>CHOOSE(MODE, (Vout+Iout*(Rdcr+Rs))/(VIN_max+Iout*Rs), (Vout+Iout/Number_of_Phases*(Rdcr+Rs))/(VIN_max+Iout/Number_of_Phases*Rs))</f>
        <v>0.45016624685138534</v>
      </c>
      <c r="C54"/>
      <c r="D54" s="540"/>
      <c r="I54" s="57"/>
    </row>
    <row r="55" spans="1:9" ht="12.5" x14ac:dyDescent="0.25">
      <c r="A55" s="209"/>
      <c r="C55"/>
      <c r="I55" s="57"/>
    </row>
    <row r="56" spans="1:9" ht="12.5" x14ac:dyDescent="0.25">
      <c r="A56" s="209" t="s">
        <v>289</v>
      </c>
      <c r="B56" s="505">
        <f>(VIN_min-Vout)*D1_Vinmin_2/(Fsw*Lf)</f>
        <v>0.40941859791701335</v>
      </c>
      <c r="C56" s="113" t="s">
        <v>1</v>
      </c>
      <c r="D56" s="547"/>
      <c r="E56" s="113"/>
      <c r="G56" s="30"/>
      <c r="I56" s="57"/>
    </row>
    <row r="57" spans="1:9" ht="12.5" x14ac:dyDescent="0.25">
      <c r="A57" s="209" t="s">
        <v>290</v>
      </c>
      <c r="B57" s="505">
        <f>(VIN_nom-Vout)*D1_Vinnom_2/(Fsw*Lf)</f>
        <v>0.60335491567306632</v>
      </c>
      <c r="C57" s="113" t="s">
        <v>1</v>
      </c>
      <c r="D57" s="547"/>
      <c r="E57" s="113"/>
      <c r="I57" s="57"/>
    </row>
    <row r="58" spans="1:9" ht="12.5" x14ac:dyDescent="0.25">
      <c r="A58" s="209" t="s">
        <v>291</v>
      </c>
      <c r="B58" s="505">
        <f>(VIN_max-Vout)*D1_Vinmax_2/(Fsw*Lf)</f>
        <v>0.66905878151233367</v>
      </c>
      <c r="C58" s="113" t="s">
        <v>1</v>
      </c>
      <c r="D58" s="547"/>
      <c r="E58" s="113"/>
      <c r="I58" s="57"/>
    </row>
    <row r="59" spans="1:9" x14ac:dyDescent="0.3">
      <c r="A59" s="209"/>
      <c r="B59" s="547"/>
      <c r="D59" s="466"/>
      <c r="E59" s="113"/>
      <c r="I59" s="57"/>
    </row>
    <row r="60" spans="1:9" ht="12.5" x14ac:dyDescent="0.25">
      <c r="A60" s="209" t="s">
        <v>547</v>
      </c>
      <c r="B60" s="549">
        <f>SQRT((Iout/Number_of_Phases)^2+(Iripple_Vinmin^2)/12)</f>
        <v>1.7539864972000292</v>
      </c>
      <c r="C60" s="113" t="s">
        <v>1</v>
      </c>
      <c r="D60" s="4"/>
      <c r="E60" s="113"/>
      <c r="F60" s="348"/>
      <c r="I60" s="57"/>
    </row>
    <row r="61" spans="1:9" ht="12.5" x14ac:dyDescent="0.25">
      <c r="A61" s="209" t="s">
        <v>548</v>
      </c>
      <c r="B61" s="549">
        <f>SQRT((Iout/Number_of_Phases)^2+(Iripple_Vinnom^2)/12)</f>
        <v>1.7586461922519372</v>
      </c>
      <c r="C61" s="113" t="s">
        <v>1</v>
      </c>
      <c r="D61" s="4"/>
      <c r="E61" s="113"/>
      <c r="F61" s="348"/>
      <c r="I61" s="57"/>
    </row>
    <row r="62" spans="1:9" ht="12.5" x14ac:dyDescent="0.25">
      <c r="A62" s="209" t="s">
        <v>549</v>
      </c>
      <c r="B62" s="549">
        <f>SQRT((Iout/Number_of_Phases)^2+(Iripple_Vinmax^2)/12)</f>
        <v>1.7606258274904876</v>
      </c>
      <c r="C62" s="113" t="s">
        <v>1</v>
      </c>
      <c r="D62" s="4"/>
      <c r="E62" s="113"/>
      <c r="F62" s="348"/>
      <c r="I62" s="57"/>
    </row>
    <row r="63" spans="1:9" ht="12.5" x14ac:dyDescent="0.25">
      <c r="A63" s="209" t="s">
        <v>550</v>
      </c>
      <c r="B63" s="550">
        <f>B61^2*Rs</f>
        <v>7.7320910738055942E-2</v>
      </c>
      <c r="C63" s="113" t="s">
        <v>116</v>
      </c>
      <c r="D63" s="382"/>
      <c r="E63" s="113"/>
      <c r="F63" s="382" t="s">
        <v>625</v>
      </c>
      <c r="I63" s="57"/>
    </row>
    <row r="64" spans="1:9" ht="12.5" x14ac:dyDescent="0.25">
      <c r="A64" s="209"/>
      <c r="B64" s="113"/>
      <c r="C64" s="113"/>
      <c r="D64" s="113"/>
      <c r="I64" s="57"/>
    </row>
    <row r="65" spans="1:16" ht="12.5" x14ac:dyDescent="0.25">
      <c r="A65" s="209" t="s">
        <v>297</v>
      </c>
      <c r="B65" s="292">
        <f>MAX(B56:B58)</f>
        <v>0.66905878151233367</v>
      </c>
      <c r="C65" s="382" t="s">
        <v>1</v>
      </c>
      <c r="D65" s="466"/>
      <c r="E65" s="113"/>
      <c r="F65" s="113" t="s">
        <v>626</v>
      </c>
      <c r="I65" s="57"/>
    </row>
    <row r="66" spans="1:16" ht="12.5" x14ac:dyDescent="0.25">
      <c r="A66" s="209"/>
      <c r="B66" s="113"/>
      <c r="C66" s="113"/>
      <c r="D66" s="113"/>
      <c r="F66" s="113"/>
      <c r="G66" s="285"/>
      <c r="I66" s="57"/>
    </row>
    <row r="67" spans="1:16" ht="12.5" x14ac:dyDescent="0.25">
      <c r="B67" s="396">
        <f>B56/(Iout/Number_of_Phases)</f>
        <v>0.23395348452400763</v>
      </c>
      <c r="C67" s="551"/>
      <c r="D67" s="551"/>
      <c r="F67" s="4"/>
      <c r="G67" s="397"/>
      <c r="I67" s="57"/>
    </row>
    <row r="68" spans="1:16" ht="12.5" x14ac:dyDescent="0.25">
      <c r="A68" s="209" t="s">
        <v>680</v>
      </c>
      <c r="B68" s="396">
        <f>B57/(Iout/Number_of_Phases)</f>
        <v>0.34477423752746644</v>
      </c>
      <c r="C68"/>
      <c r="D68" s="551"/>
      <c r="F68" s="4"/>
      <c r="G68" s="397"/>
      <c r="I68" s="57"/>
    </row>
    <row r="69" spans="1:16" ht="12.5" x14ac:dyDescent="0.25">
      <c r="A69" s="209"/>
      <c r="B69" s="396">
        <f>B58/(Iout/Number_of_Phases)</f>
        <v>0.38231930372133355</v>
      </c>
      <c r="C69"/>
      <c r="D69" s="551"/>
      <c r="F69" s="4"/>
      <c r="G69" s="397"/>
      <c r="I69" s="57"/>
    </row>
    <row r="70" spans="1:16" ht="12.5" x14ac:dyDescent="0.25">
      <c r="A70" s="209"/>
      <c r="C70"/>
      <c r="I70" s="57"/>
    </row>
    <row r="71" spans="1:16" ht="12.5" x14ac:dyDescent="0.25">
      <c r="A71" s="113" t="s">
        <v>605</v>
      </c>
      <c r="B71" s="395">
        <v>100</v>
      </c>
      <c r="C71" s="113" t="s">
        <v>449</v>
      </c>
      <c r="D71" s="113"/>
      <c r="E71" s="113"/>
      <c r="I71" s="57"/>
    </row>
    <row r="72" spans="1:16" x14ac:dyDescent="0.3">
      <c r="A72" s="209" t="s">
        <v>213</v>
      </c>
      <c r="B72" s="377">
        <f>Rdcr*(1+0.0039*(B71-25))</f>
        <v>5.2992499999999993E-3</v>
      </c>
      <c r="C72" s="210" t="s">
        <v>116</v>
      </c>
      <c r="D72" s="300"/>
      <c r="E72" s="210"/>
      <c r="I72" s="57"/>
    </row>
    <row r="73" spans="1:16" ht="13.5" thickBot="1" x14ac:dyDescent="0.35">
      <c r="A73" s="303" t="s">
        <v>937</v>
      </c>
      <c r="B73" s="289">
        <f>'Design Regulator'!E30</f>
        <v>0.2</v>
      </c>
      <c r="C73" s="117" t="s">
        <v>116</v>
      </c>
      <c r="D73" s="61"/>
      <c r="E73" s="61"/>
      <c r="F73" s="61"/>
      <c r="G73" s="61"/>
      <c r="H73" s="61"/>
      <c r="I73" s="62"/>
    </row>
    <row r="74" spans="1:16" x14ac:dyDescent="0.3">
      <c r="A74" s="2"/>
      <c r="B74" s="1"/>
      <c r="C74" s="1"/>
    </row>
    <row r="75" spans="1:16" ht="16" thickBot="1" x14ac:dyDescent="0.4">
      <c r="A75" s="509" t="s">
        <v>377</v>
      </c>
      <c r="B75" s="1"/>
      <c r="C75" s="1"/>
    </row>
    <row r="76" spans="1:16" x14ac:dyDescent="0.3">
      <c r="A76" s="90"/>
      <c r="B76" s="63"/>
      <c r="C76" s="63"/>
      <c r="D76" s="63"/>
      <c r="E76" s="63"/>
      <c r="F76" s="63"/>
      <c r="G76" s="63"/>
      <c r="H76" s="63"/>
      <c r="I76" s="64"/>
    </row>
    <row r="77" spans="1:16" ht="12.5" x14ac:dyDescent="0.25">
      <c r="A77" s="209" t="s">
        <v>296</v>
      </c>
      <c r="B77" s="29">
        <f>'Design Regulator'!E16</f>
        <v>1.75</v>
      </c>
      <c r="C77" t="s">
        <v>1</v>
      </c>
      <c r="E77" s="113"/>
      <c r="F77" s="113" t="s">
        <v>500</v>
      </c>
      <c r="I77" s="57"/>
      <c r="K77" s="113"/>
      <c r="N77" s="113"/>
    </row>
    <row r="78" spans="1:16" ht="12.5" x14ac:dyDescent="0.25">
      <c r="A78" s="209"/>
      <c r="C78"/>
      <c r="I78" s="57"/>
      <c r="K78" s="113"/>
      <c r="L78" s="113"/>
    </row>
    <row r="79" spans="1:16" x14ac:dyDescent="0.3">
      <c r="A79" s="209" t="s">
        <v>301</v>
      </c>
      <c r="B79" s="296">
        <f>CHOOSE(MODE, Ilimit_DC+Iripple_Vinmin/2, Ilimit_DC/Number_of_Phases+Iripple_Vinmin/2)</f>
        <v>1.9547092989585066</v>
      </c>
      <c r="C79" t="s">
        <v>1</v>
      </c>
      <c r="D79" s="4"/>
      <c r="E79" s="113"/>
      <c r="F79" s="113" t="s">
        <v>610</v>
      </c>
      <c r="I79" s="57"/>
      <c r="K79" s="4"/>
      <c r="L79" s="4"/>
      <c r="N79" s="300"/>
      <c r="P79" s="300"/>
    </row>
    <row r="80" spans="1:16" ht="12.5" x14ac:dyDescent="0.25">
      <c r="A80" s="209" t="s">
        <v>303</v>
      </c>
      <c r="B80" s="296">
        <f>CHOOSE(MODE, Ilimit_DC+Iripple_Vinnom/2, Ilimit_DC/Number_of_Phases+Iripple_Vinnom/2)</f>
        <v>2.0516774578365333</v>
      </c>
      <c r="C80" t="s">
        <v>1</v>
      </c>
      <c r="D80" s="4"/>
      <c r="E80" s="113"/>
      <c r="I80" s="57"/>
      <c r="K80" s="4"/>
      <c r="L80" s="4"/>
      <c r="N80" s="300"/>
      <c r="P80" s="300"/>
    </row>
    <row r="81" spans="1:16" ht="12.5" x14ac:dyDescent="0.25">
      <c r="A81" s="209" t="s">
        <v>302</v>
      </c>
      <c r="B81" s="296">
        <f>CHOOSE(MODE, Ilimit_DC+Iripple_Vinmax/2, Ilimit_DC/Number_of_Phases+Iripple_Vinmax/2)</f>
        <v>2.0845293907561668</v>
      </c>
      <c r="C81" t="s">
        <v>1</v>
      </c>
      <c r="D81" s="4"/>
      <c r="E81" s="113"/>
      <c r="I81" s="57"/>
      <c r="K81" s="4"/>
      <c r="L81" s="4"/>
      <c r="N81" s="300"/>
      <c r="P81" s="300"/>
    </row>
    <row r="82" spans="1:16" ht="12.5" x14ac:dyDescent="0.25">
      <c r="A82" s="209"/>
      <c r="B82" s="4"/>
      <c r="C82" s="113"/>
      <c r="D82" s="113"/>
      <c r="I82" s="57"/>
    </row>
    <row r="83" spans="1:16" x14ac:dyDescent="0.3">
      <c r="I83" s="57"/>
    </row>
    <row r="84" spans="1:16" ht="12.5" x14ac:dyDescent="0.25">
      <c r="A84" s="209" t="s">
        <v>612</v>
      </c>
      <c r="B84" s="467">
        <v>5.1999999999999998E-2</v>
      </c>
      <c r="C84" s="113" t="s">
        <v>0</v>
      </c>
      <c r="E84" s="113"/>
      <c r="I84" s="57"/>
    </row>
    <row r="85" spans="1:16" x14ac:dyDescent="0.3">
      <c r="A85" s="209" t="s">
        <v>611</v>
      </c>
      <c r="B85" s="467">
        <v>0.06</v>
      </c>
      <c r="C85" s="113" t="s">
        <v>0</v>
      </c>
      <c r="E85" s="113"/>
      <c r="F85" s="2"/>
      <c r="I85" s="57"/>
    </row>
    <row r="86" spans="1:16" ht="12.5" x14ac:dyDescent="0.25">
      <c r="A86" s="209" t="s">
        <v>613</v>
      </c>
      <c r="B86" s="467">
        <v>6.8000000000000005E-2</v>
      </c>
      <c r="C86" s="113" t="s">
        <v>0</v>
      </c>
      <c r="E86" s="113"/>
      <c r="I86" s="57"/>
    </row>
    <row r="87" spans="1:16" ht="12.5" x14ac:dyDescent="0.25">
      <c r="A87" s="209"/>
      <c r="B87" s="348"/>
      <c r="C87" s="113"/>
      <c r="E87" s="113"/>
      <c r="I87" s="57"/>
    </row>
    <row r="88" spans="1:16" ht="12.5" x14ac:dyDescent="0.25">
      <c r="A88" s="209" t="s">
        <v>533</v>
      </c>
      <c r="B88" s="297">
        <f>Buck_CS_threshold/B79</f>
        <v>3.0695101328861912E-2</v>
      </c>
      <c r="C88" s="210" t="s">
        <v>116</v>
      </c>
      <c r="D88" s="300"/>
      <c r="E88" s="210"/>
      <c r="I88" s="57"/>
    </row>
    <row r="89" spans="1:16" ht="12.5" x14ac:dyDescent="0.25">
      <c r="A89" s="209" t="s">
        <v>534</v>
      </c>
      <c r="B89" s="297">
        <f>Buck_CS_threshold/B80</f>
        <v>2.924436283628578E-2</v>
      </c>
      <c r="C89" s="210" t="s">
        <v>116</v>
      </c>
      <c r="D89" s="300"/>
      <c r="E89" s="210"/>
      <c r="I89" s="57"/>
    </row>
    <row r="90" spans="1:16" ht="12.5" x14ac:dyDescent="0.25">
      <c r="A90" s="209" t="s">
        <v>535</v>
      </c>
      <c r="B90" s="297">
        <f>Buck_CS_threshold/B81</f>
        <v>2.8783475189205602E-2</v>
      </c>
      <c r="C90" s="210" t="s">
        <v>116</v>
      </c>
      <c r="D90" s="300"/>
      <c r="E90" s="210"/>
      <c r="I90" s="57"/>
    </row>
    <row r="91" spans="1:16" ht="12.5" x14ac:dyDescent="0.25">
      <c r="A91" s="209"/>
      <c r="B91" s="30"/>
      <c r="C91" s="210"/>
      <c r="E91" s="210"/>
      <c r="I91" s="57"/>
    </row>
    <row r="92" spans="1:16" ht="12.5" x14ac:dyDescent="0.25">
      <c r="A92" s="209" t="s">
        <v>300</v>
      </c>
      <c r="B92" s="298">
        <f>B89</f>
        <v>2.924436283628578E-2</v>
      </c>
      <c r="C92" s="210" t="s">
        <v>116</v>
      </c>
      <c r="D92" s="300"/>
      <c r="E92" s="210"/>
      <c r="F92" s="113" t="s">
        <v>614</v>
      </c>
      <c r="I92" s="57"/>
    </row>
    <row r="93" spans="1:16" x14ac:dyDescent="0.3">
      <c r="A93" s="209" t="s">
        <v>164</v>
      </c>
      <c r="B93" s="503">
        <f>'Design Regulator'!E18/1000</f>
        <v>2.5000000000000001E-2</v>
      </c>
      <c r="C93" s="210" t="s">
        <v>116</v>
      </c>
      <c r="D93" s="348"/>
      <c r="E93" s="210"/>
      <c r="F93" s="113" t="s">
        <v>304</v>
      </c>
      <c r="I93" s="57"/>
      <c r="K93" s="113"/>
      <c r="L93" s="113"/>
    </row>
    <row r="94" spans="1:16" x14ac:dyDescent="0.3">
      <c r="A94" s="209"/>
      <c r="B94" s="398"/>
      <c r="C94" s="210"/>
      <c r="E94" s="210"/>
      <c r="I94" s="57"/>
      <c r="K94" s="113"/>
      <c r="L94" s="113"/>
    </row>
    <row r="95" spans="1:16" x14ac:dyDescent="0.3">
      <c r="A95" s="209" t="s">
        <v>615</v>
      </c>
      <c r="B95" s="296">
        <f>Buck_CS_threshold/Rs</f>
        <v>2.4</v>
      </c>
      <c r="C95" s="113" t="s">
        <v>1</v>
      </c>
      <c r="D95" s="4"/>
      <c r="E95" s="113"/>
      <c r="F95" s="113" t="s">
        <v>616</v>
      </c>
      <c r="I95" s="57"/>
    </row>
    <row r="96" spans="1:16" x14ac:dyDescent="0.3">
      <c r="A96" s="209"/>
      <c r="E96" s="2"/>
      <c r="I96" s="57"/>
    </row>
    <row r="97" spans="1:12" ht="15.5" x14ac:dyDescent="0.4">
      <c r="A97" s="209" t="s">
        <v>416</v>
      </c>
      <c r="B97" s="301">
        <f>Number_of_Phases*(Buck_CS_threshold/Rs-Iripple_Vinmin/2)</f>
        <v>2.1952907010414933</v>
      </c>
      <c r="C97" t="s">
        <v>1</v>
      </c>
      <c r="D97" s="48"/>
      <c r="F97" s="113" t="s">
        <v>418</v>
      </c>
      <c r="I97" s="57"/>
    </row>
    <row r="98" spans="1:12" ht="12.5" x14ac:dyDescent="0.25">
      <c r="A98" s="209" t="s">
        <v>446</v>
      </c>
      <c r="B98" s="301">
        <f>Number_of_Phases*(Buck_CS_threshold/Rs-Iripple_Vinnom/2)</f>
        <v>2.0983225421634666</v>
      </c>
      <c r="C98" t="s">
        <v>1</v>
      </c>
      <c r="D98" s="48"/>
      <c r="I98" s="57"/>
    </row>
    <row r="99" spans="1:12" ht="12.5" x14ac:dyDescent="0.25">
      <c r="A99" s="209" t="s">
        <v>417</v>
      </c>
      <c r="B99" s="301">
        <f>Number_of_Phases*(Buck_CS_threshold/Rs-Iripple_Vinmax/2)</f>
        <v>2.0654706092438331</v>
      </c>
      <c r="C99" t="s">
        <v>1</v>
      </c>
      <c r="D99" s="48"/>
      <c r="I99" s="57"/>
    </row>
    <row r="100" spans="1:12" ht="12.5" x14ac:dyDescent="0.25">
      <c r="A100" s="209"/>
      <c r="B100" s="48"/>
      <c r="C100"/>
      <c r="D100" s="48"/>
      <c r="I100" s="57"/>
    </row>
    <row r="101" spans="1:12" ht="12.5" x14ac:dyDescent="0.25">
      <c r="A101" s="209" t="s">
        <v>620</v>
      </c>
      <c r="B101" s="504">
        <f>SQRT((Iout_OCP_Vinmin/Number_of_Phases)^2+(Iripple_Vinmin^2)/12)</f>
        <v>2.198469898461036</v>
      </c>
      <c r="C101" t="s">
        <v>1</v>
      </c>
      <c r="D101" s="348"/>
      <c r="I101" s="57"/>
    </row>
    <row r="102" spans="1:12" ht="12.5" x14ac:dyDescent="0.25">
      <c r="A102" s="209" t="s">
        <v>621</v>
      </c>
      <c r="B102" s="504">
        <f>SQRT((Iout_OCP_Vinnom/Number_of_Phases)^2+(Iripple_Vinnom^2)/12)</f>
        <v>2.1055388670061617</v>
      </c>
      <c r="C102" t="s">
        <v>1</v>
      </c>
      <c r="D102" s="348"/>
      <c r="I102" s="57"/>
    </row>
    <row r="103" spans="1:12" ht="12.5" x14ac:dyDescent="0.25">
      <c r="A103" s="209" t="s">
        <v>622</v>
      </c>
      <c r="B103" s="504">
        <f>SQRT((Iout_OCP_Vinmax/Number_of_Phases)^2+(Iripple_Vinmax^2)/12)</f>
        <v>2.0744811741919125</v>
      </c>
      <c r="C103" t="s">
        <v>1</v>
      </c>
      <c r="D103" s="348"/>
      <c r="I103" s="57"/>
    </row>
    <row r="104" spans="1:12" ht="12.5" x14ac:dyDescent="0.25">
      <c r="A104" s="209"/>
      <c r="B104" s="48"/>
      <c r="C104"/>
      <c r="D104" s="48"/>
      <c r="I104" s="57"/>
    </row>
    <row r="105" spans="1:12" ht="12.5" x14ac:dyDescent="0.25">
      <c r="A105" s="209" t="s">
        <v>617</v>
      </c>
      <c r="B105" s="504">
        <f>B101^2*Rs</f>
        <v>0.12083174736098196</v>
      </c>
      <c r="C105" s="113" t="s">
        <v>116</v>
      </c>
      <c r="D105" s="348"/>
      <c r="E105" s="113"/>
      <c r="F105" s="113" t="s">
        <v>623</v>
      </c>
      <c r="I105" s="57"/>
    </row>
    <row r="106" spans="1:12" ht="12.5" x14ac:dyDescent="0.25">
      <c r="A106" s="209" t="s">
        <v>618</v>
      </c>
      <c r="B106" s="504">
        <f>B102^2*Rs</f>
        <v>0.11083234801183978</v>
      </c>
      <c r="C106" t="s">
        <v>116</v>
      </c>
      <c r="D106" s="348"/>
      <c r="I106" s="57"/>
    </row>
    <row r="107" spans="1:12" ht="12.5" x14ac:dyDescent="0.25">
      <c r="A107" s="209" t="s">
        <v>619</v>
      </c>
      <c r="B107" s="504">
        <f>B103^2*Rs</f>
        <v>0.1075868035519164</v>
      </c>
      <c r="C107" t="s">
        <v>116</v>
      </c>
      <c r="D107" s="348"/>
      <c r="I107" s="57"/>
    </row>
    <row r="108" spans="1:12" thickBot="1" x14ac:dyDescent="0.3">
      <c r="A108" s="60"/>
      <c r="B108" s="61"/>
      <c r="C108" s="61"/>
      <c r="D108" s="61"/>
      <c r="E108" s="117"/>
      <c r="F108" s="61"/>
      <c r="G108" s="61"/>
      <c r="H108" s="61"/>
      <c r="I108" s="62"/>
    </row>
    <row r="110" spans="1:12" ht="16" thickBot="1" x14ac:dyDescent="0.4">
      <c r="A110" s="518" t="s">
        <v>139</v>
      </c>
      <c r="D110" s="2"/>
    </row>
    <row r="111" spans="1:12" ht="12.5" x14ac:dyDescent="0.25">
      <c r="A111" s="208" t="s">
        <v>307</v>
      </c>
      <c r="B111" s="553">
        <f>Iripple_Vinmin/SQRT(12)</f>
        <v>0.11818896885931342</v>
      </c>
      <c r="C111" s="302" t="s">
        <v>1</v>
      </c>
      <c r="D111" s="618"/>
      <c r="E111" s="302"/>
      <c r="F111" s="116" t="s">
        <v>306</v>
      </c>
      <c r="G111" s="63"/>
      <c r="H111" s="63"/>
      <c r="I111" s="64"/>
      <c r="L111" s="4"/>
    </row>
    <row r="112" spans="1:12" ht="12.5" x14ac:dyDescent="0.25">
      <c r="A112" s="209" t="s">
        <v>308</v>
      </c>
      <c r="B112" s="504">
        <f>Iripple_Vinnom/SQRT(12)</f>
        <v>0.17417356149036439</v>
      </c>
      <c r="C112" s="113" t="s">
        <v>1</v>
      </c>
      <c r="D112" s="348"/>
      <c r="E112" s="113"/>
      <c r="F112" s="113"/>
      <c r="I112" s="57"/>
      <c r="L112" s="4"/>
    </row>
    <row r="113" spans="1:12" ht="12.5" x14ac:dyDescent="0.25">
      <c r="A113" s="209" t="s">
        <v>309</v>
      </c>
      <c r="B113" s="504">
        <f>Iripple_Vinmax/SQRT(12)</f>
        <v>0.19314063380491445</v>
      </c>
      <c r="C113" s="113" t="s">
        <v>1</v>
      </c>
      <c r="D113" s="348"/>
      <c r="E113" s="113"/>
      <c r="F113" s="113"/>
      <c r="I113" s="57"/>
      <c r="L113" s="4"/>
    </row>
    <row r="114" spans="1:12" ht="12.5" x14ac:dyDescent="0.25">
      <c r="A114" s="209" t="s">
        <v>538</v>
      </c>
      <c r="B114" s="504">
        <f>MAX(B111:B113)</f>
        <v>0.19314063380491445</v>
      </c>
      <c r="C114" s="113" t="s">
        <v>1</v>
      </c>
      <c r="D114" s="348"/>
      <c r="E114" s="113"/>
      <c r="F114" s="113"/>
      <c r="I114" s="57"/>
      <c r="L114" s="4"/>
    </row>
    <row r="115" spans="1:12" ht="12.5" x14ac:dyDescent="0.25">
      <c r="A115" s="209"/>
      <c r="B115" s="48"/>
      <c r="C115" s="113"/>
      <c r="F115" s="113"/>
      <c r="I115" s="57"/>
      <c r="L115" s="4"/>
    </row>
    <row r="116" spans="1:12" ht="12.5" x14ac:dyDescent="0.25">
      <c r="A116" s="209" t="s">
        <v>21</v>
      </c>
      <c r="B116" s="400">
        <f>'Design Regulator'!E33/1000</f>
        <v>5.0000000000000001E-3</v>
      </c>
      <c r="C116" t="s">
        <v>0</v>
      </c>
      <c r="F116" s="113" t="s">
        <v>419</v>
      </c>
      <c r="I116" s="57"/>
    </row>
    <row r="117" spans="1:12" ht="12.5" x14ac:dyDescent="0.25">
      <c r="A117" s="209"/>
      <c r="B117" s="113"/>
      <c r="C117"/>
      <c r="F117" s="113"/>
      <c r="I117" s="57"/>
    </row>
    <row r="118" spans="1:12" ht="12.5" x14ac:dyDescent="0.25">
      <c r="A118" s="209" t="s">
        <v>402</v>
      </c>
      <c r="B118" s="399">
        <f>Vo1_ripple*1000</f>
        <v>5</v>
      </c>
      <c r="C118" s="113" t="s">
        <v>281</v>
      </c>
      <c r="D118" s="299"/>
      <c r="E118" s="113"/>
      <c r="F118" s="113" t="s">
        <v>420</v>
      </c>
      <c r="I118" s="57"/>
      <c r="L118" s="4"/>
    </row>
    <row r="119" spans="1:12" x14ac:dyDescent="0.3">
      <c r="A119" s="56"/>
      <c r="B119" s="113"/>
      <c r="F119" s="113"/>
      <c r="I119" s="57"/>
    </row>
    <row r="120" spans="1:12" x14ac:dyDescent="0.3">
      <c r="A120" s="66" t="s">
        <v>22</v>
      </c>
      <c r="B120" s="409">
        <f>Iripple_Vinnom/(Fsw*8*Vo1_ripple)</f>
        <v>3.7181702060310239E-5</v>
      </c>
      <c r="C120" t="s">
        <v>24</v>
      </c>
      <c r="D120" s="507"/>
      <c r="F120" s="113" t="s">
        <v>709</v>
      </c>
      <c r="H120">
        <f>Vo2_ripple</f>
        <v>0</v>
      </c>
      <c r="I120" s="57">
        <v>1</v>
      </c>
      <c r="K120" s="1"/>
    </row>
    <row r="121" spans="1:12" x14ac:dyDescent="0.3">
      <c r="A121" s="209" t="s">
        <v>544</v>
      </c>
      <c r="B121" s="464">
        <f>IF(Cout_min*1000000&lt;2, 2.2,Cout_min*1000000)</f>
        <v>37.181702060310236</v>
      </c>
      <c r="C121" s="42" t="s">
        <v>23</v>
      </c>
      <c r="D121" s="619"/>
      <c r="E121" s="42"/>
      <c r="I121" s="57"/>
      <c r="K121" s="1"/>
    </row>
    <row r="122" spans="1:12" ht="12.5" x14ac:dyDescent="0.25">
      <c r="A122" s="209" t="s">
        <v>25</v>
      </c>
      <c r="B122" s="410">
        <f>'Design Regulator'!E35/1000000</f>
        <v>6.6000000000000005E-5</v>
      </c>
      <c r="C122" t="s">
        <v>24</v>
      </c>
      <c r="D122" s="620"/>
      <c r="F122" s="113" t="s">
        <v>708</v>
      </c>
      <c r="I122" s="57">
        <v>1</v>
      </c>
    </row>
    <row r="123" spans="1:12" x14ac:dyDescent="0.3">
      <c r="A123" s="66" t="s">
        <v>48</v>
      </c>
      <c r="B123" s="465">
        <f>SQRT((Vo1_ripple/Iripple_Vinnom)^2-(1/(Fsw*Cout*8))^2)</f>
        <v>6.8468170066605981E-3</v>
      </c>
      <c r="C123" s="210" t="s">
        <v>116</v>
      </c>
      <c r="D123" s="621"/>
      <c r="E123" s="210"/>
      <c r="F123" s="113" t="s">
        <v>234</v>
      </c>
      <c r="I123" s="57">
        <v>1</v>
      </c>
    </row>
    <row r="124" spans="1:12" x14ac:dyDescent="0.3">
      <c r="A124" s="2"/>
      <c r="B124" s="507"/>
      <c r="C124" s="210"/>
      <c r="D124" s="507"/>
      <c r="E124" s="210"/>
      <c r="F124" s="113"/>
      <c r="I124" s="57"/>
    </row>
    <row r="125" spans="1:12" x14ac:dyDescent="0.3">
      <c r="A125" s="462" t="s">
        <v>498</v>
      </c>
      <c r="B125" s="463">
        <f>IF(OR(CoutEsrMax&gt;0.3, CoutEsrMax&lt;0, (ISERROR(CoutEsrMax))), "N/A", CoutEsrMax*1000)</f>
        <v>6.846817006660598</v>
      </c>
      <c r="C125" s="45" t="s">
        <v>305</v>
      </c>
      <c r="D125" s="622"/>
      <c r="E125" s="45"/>
      <c r="F125" s="113"/>
      <c r="I125" s="57"/>
    </row>
    <row r="126" spans="1:12" ht="12.5" x14ac:dyDescent="0.25">
      <c r="A126" s="209" t="s">
        <v>137</v>
      </c>
      <c r="B126" s="400">
        <f>'Design Regulator'!E37/1000</f>
        <v>1E-3</v>
      </c>
      <c r="C126" s="210" t="s">
        <v>116</v>
      </c>
      <c r="D126" s="113"/>
      <c r="E126" s="210"/>
      <c r="F126" s="113" t="s">
        <v>235</v>
      </c>
      <c r="I126" s="57">
        <v>1</v>
      </c>
      <c r="K126" t="b">
        <f>ISERROR(CoutEsrMax)</f>
        <v>0</v>
      </c>
      <c r="L126" t="b">
        <f>ISERROR(B125)</f>
        <v>0</v>
      </c>
    </row>
    <row r="127" spans="1:12" ht="13.5" thickBot="1" x14ac:dyDescent="0.35">
      <c r="A127" s="368" t="s">
        <v>191</v>
      </c>
      <c r="B127" s="401">
        <f>Iripple_Vinnom*SQRT(Cout_ESR^2+(1/(8*Fsw*Cout))^2)</f>
        <v>2.8806899635901171E-3</v>
      </c>
      <c r="C127" s="104" t="s">
        <v>39</v>
      </c>
      <c r="D127" s="623"/>
      <c r="E127" s="104"/>
      <c r="F127" s="61"/>
      <c r="G127" s="61"/>
      <c r="H127" s="61"/>
      <c r="I127" s="62"/>
      <c r="L127" t="b">
        <f>OR(CoutEsrMax&gt;0.3,CoutEsrMax&lt;0)</f>
        <v>0</v>
      </c>
    </row>
    <row r="128" spans="1:12" x14ac:dyDescent="0.3">
      <c r="K128" t="b">
        <f>OR(TRUE, FALSE, TRUE)</f>
        <v>1</v>
      </c>
    </row>
    <row r="129" spans="1:16" ht="16" thickBot="1" x14ac:dyDescent="0.4">
      <c r="A129" s="518" t="s">
        <v>140</v>
      </c>
    </row>
    <row r="130" spans="1:16" ht="15.5" x14ac:dyDescent="0.35">
      <c r="A130" s="94"/>
      <c r="B130" s="95"/>
      <c r="C130" s="304"/>
      <c r="D130" s="95"/>
      <c r="E130" s="95"/>
      <c r="F130" s="95"/>
      <c r="G130" s="95"/>
      <c r="H130" s="95"/>
      <c r="I130" s="96"/>
      <c r="K130" s="2" t="s">
        <v>729</v>
      </c>
    </row>
    <row r="131" spans="1:16" x14ac:dyDescent="0.3">
      <c r="A131" s="209" t="s">
        <v>536</v>
      </c>
      <c r="B131" s="111">
        <f>SQRT(D1_Vinmin_2*(Iout^2*(1-D1_Vinmin_2)+Iripple_Vinmin^2/12))</f>
        <v>0.83196305289815897</v>
      </c>
      <c r="C131" s="92" t="s">
        <v>1</v>
      </c>
      <c r="D131" s="508">
        <f>D1_Vinmax</f>
        <v>0.44594594594594589</v>
      </c>
      <c r="E131" s="92"/>
      <c r="F131" s="2" t="s">
        <v>730</v>
      </c>
      <c r="G131" s="348"/>
      <c r="H131" s="115"/>
      <c r="I131" s="98"/>
      <c r="K131" s="595" t="e">
        <f>SQRT(Iout^2*D1_Vinmin*(1-D1_Vinmin)+Iout2^2*D2_Vinmin*(1-D2_Vinmin)-2*Iout*Iout2*D1_Vinmin*D2_Vinmin)</f>
        <v>#NAME?</v>
      </c>
      <c r="L131" s="92" t="s">
        <v>1</v>
      </c>
      <c r="M131" s="296" t="e">
        <f>SQRT(Iout^2*D1_Vinmin*(1-D1_Vinmin)+Iout2^2*D2_Vinmin*(1-D2_Vinmin)-2*Iout*Iout2*(0.5-D2_Vinmin*(1-D1_Vinmin)))</f>
        <v>#NAME?</v>
      </c>
      <c r="N131" t="s">
        <v>1</v>
      </c>
    </row>
    <row r="132" spans="1:16" ht="12.5" x14ac:dyDescent="0.25">
      <c r="A132" s="209" t="s">
        <v>537</v>
      </c>
      <c r="B132" s="111">
        <f>SQRT(D1_Vinnom_2*(Iout^2*(1-D1_Vinnom_2)+Iripple_Vinnom^2/12))</f>
        <v>0.88366696765063724</v>
      </c>
      <c r="C132" s="92" t="s">
        <v>1</v>
      </c>
      <c r="D132" s="508">
        <f>D1_Vinmin</f>
        <v>0.65999999999999992</v>
      </c>
      <c r="E132" s="92"/>
      <c r="G132" s="348"/>
      <c r="I132" s="98"/>
      <c r="K132" s="296" t="e">
        <f>SQRT(Iout^2*D1_Vinnom*(1-D1_Vinnom)+Iout2^2*D2_Vinnom*(1-D2_Vinnom)-2*Iout*Iout2*D1_Vinnom*D2_Vinnom)</f>
        <v>#NAME?</v>
      </c>
      <c r="L132" s="92" t="s">
        <v>1</v>
      </c>
    </row>
    <row r="133" spans="1:16" ht="12.5" x14ac:dyDescent="0.25">
      <c r="A133" s="209" t="s">
        <v>728</v>
      </c>
      <c r="B133" s="111">
        <f>SQRT(D1_Vinmax_2*(Iout^2*(1-D1_Vinmax_2)+Iripple_Vinmax^2/12))</f>
        <v>0.88023421144924541</v>
      </c>
      <c r="C133" s="92" t="s">
        <v>1</v>
      </c>
      <c r="D133" s="508"/>
      <c r="E133" s="92"/>
      <c r="G133" s="348"/>
      <c r="I133" s="98"/>
      <c r="K133" s="296" t="e">
        <f>SQRT(Iout^2*D1_Vinmax*(1-D1_Vinmax)+Iout2^2*D2_Vinmax*(1-D2_Vinmax)-2*Iout*Iout2*D1_Vinmax*D2_Vinmax)</f>
        <v>#NAME?</v>
      </c>
      <c r="L133" s="92" t="s">
        <v>1</v>
      </c>
    </row>
    <row r="134" spans="1:16" ht="12.5" x14ac:dyDescent="0.25">
      <c r="A134" s="113" t="s">
        <v>733</v>
      </c>
      <c r="B134" s="296">
        <f>Iout*SQRT((D1_Vinmin-F136/Number_of_Phases)*((F136+1)/Number_of_Phases-D1_Vinmin))</f>
        <v>0.82899034976289088</v>
      </c>
      <c r="C134" t="s">
        <v>1</v>
      </c>
      <c r="I134" s="98"/>
      <c r="K134" s="596" t="e">
        <f>MAX(K131:K133)</f>
        <v>#NAME?</v>
      </c>
      <c r="L134" s="42" t="s">
        <v>1</v>
      </c>
    </row>
    <row r="135" spans="1:16" x14ac:dyDescent="0.3">
      <c r="A135" s="209" t="s">
        <v>542</v>
      </c>
      <c r="B135" s="111">
        <f>MAX(B131:B133)</f>
        <v>0.88366696765063724</v>
      </c>
      <c r="C135" s="42" t="s">
        <v>1</v>
      </c>
      <c r="D135" s="2"/>
      <c r="F135">
        <f>Number_of_Phases*D1_Vinnom</f>
        <v>0.5</v>
      </c>
      <c r="G135" t="s">
        <v>731</v>
      </c>
      <c r="I135" s="98"/>
      <c r="K135" s="596"/>
      <c r="L135" s="42"/>
      <c r="P135" s="4"/>
    </row>
    <row r="136" spans="1:16" x14ac:dyDescent="0.3">
      <c r="D136" s="2"/>
      <c r="F136">
        <f>FLOOR(Number_of_Phases*D1_Vinnom,1)</f>
        <v>0</v>
      </c>
      <c r="G136" t="s">
        <v>732</v>
      </c>
      <c r="I136" s="98"/>
      <c r="K136" s="596"/>
      <c r="L136" s="42"/>
      <c r="P136" s="4"/>
    </row>
    <row r="137" spans="1:16" ht="12.5" x14ac:dyDescent="0.25">
      <c r="A137" s="113" t="s">
        <v>735</v>
      </c>
      <c r="B137">
        <f>Iout/2/Number_of_Phases</f>
        <v>0.875</v>
      </c>
      <c r="C137" s="113" t="s">
        <v>1</v>
      </c>
      <c r="I137" s="98"/>
      <c r="K137" s="596"/>
      <c r="L137" s="42"/>
      <c r="P137" s="4"/>
    </row>
    <row r="138" spans="1:16" x14ac:dyDescent="0.3">
      <c r="A138" s="113" t="s">
        <v>734</v>
      </c>
      <c r="B138" s="598">
        <f>IF(D1_Vinmin&lt;0.5, B135, B137)</f>
        <v>0.875</v>
      </c>
      <c r="C138" s="42" t="s">
        <v>1</v>
      </c>
      <c r="D138" s="2" t="s">
        <v>565</v>
      </c>
      <c r="I138" s="98"/>
      <c r="K138" s="596"/>
      <c r="L138" s="42"/>
      <c r="P138" s="4"/>
    </row>
    <row r="139" spans="1:16" x14ac:dyDescent="0.3">
      <c r="A139" s="113"/>
      <c r="B139" s="597"/>
      <c r="C139" s="42"/>
      <c r="D139" s="2"/>
      <c r="I139" s="98"/>
      <c r="K139" s="596"/>
      <c r="L139" s="42"/>
      <c r="P139" s="4"/>
    </row>
    <row r="140" spans="1:16" ht="12.5" x14ac:dyDescent="0.25">
      <c r="A140" s="97" t="s">
        <v>217</v>
      </c>
      <c r="B140" s="305">
        <f>'Design Regulator'!E42/1000</f>
        <v>0.4</v>
      </c>
      <c r="C140" t="s">
        <v>39</v>
      </c>
      <c r="F140" s="113" t="s">
        <v>543</v>
      </c>
      <c r="I140" s="98"/>
    </row>
    <row r="141" spans="1:16" ht="12.5" x14ac:dyDescent="0.25">
      <c r="C141"/>
      <c r="F141" s="113"/>
      <c r="I141" s="98"/>
    </row>
    <row r="142" spans="1:16" ht="12.5" x14ac:dyDescent="0.25">
      <c r="A142" s="462" t="s">
        <v>909</v>
      </c>
      <c r="B142" s="515">
        <f>Iout/Number_of_Phases*D1_Vinmin*(1-D1_Vinmin)/(Vinripple1*Fsw)</f>
        <v>2.4200108459869852E-6</v>
      </c>
      <c r="C142" s="42" t="s">
        <v>24</v>
      </c>
      <c r="G142" s="348"/>
      <c r="I142" s="98"/>
    </row>
    <row r="143" spans="1:16" ht="12.5" x14ac:dyDescent="0.25">
      <c r="A143" s="462" t="s">
        <v>911</v>
      </c>
      <c r="B143" s="515">
        <f>Iout/Number_of_Phases*D1_Vinnom*(1-D1_Vinnom)/(Vinripple1*Fsw)</f>
        <v>2.6960905146913822E-6</v>
      </c>
      <c r="C143" s="42" t="s">
        <v>24</v>
      </c>
      <c r="G143" s="348"/>
      <c r="I143" s="98"/>
    </row>
    <row r="144" spans="1:16" ht="12.5" x14ac:dyDescent="0.25">
      <c r="A144" s="462" t="s">
        <v>552</v>
      </c>
      <c r="B144" s="515">
        <f>Iout/Number_of_Phases*D1_Vinmax*(1-D1_Vinmax)/(Vinripple1*Fsw)</f>
        <v>2.6645803260609498E-6</v>
      </c>
      <c r="C144" s="92" t="s">
        <v>24</v>
      </c>
      <c r="F144" s="113" t="s">
        <v>560</v>
      </c>
      <c r="I144" s="98"/>
      <c r="K144" s="8"/>
    </row>
    <row r="145" spans="1:11" x14ac:dyDescent="0.3">
      <c r="F145" s="113"/>
      <c r="I145" s="98"/>
      <c r="K145" s="8"/>
    </row>
    <row r="146" spans="1:11" ht="12.5" x14ac:dyDescent="0.25">
      <c r="A146" s="462" t="s">
        <v>556</v>
      </c>
      <c r="B146" s="516">
        <f>Iout*0.5*(1-0.5)/(Vinripple1*Fsw)</f>
        <v>2.6960905146913822E-6</v>
      </c>
      <c r="C146" s="42" t="s">
        <v>24</v>
      </c>
      <c r="F146" s="113" t="s">
        <v>553</v>
      </c>
      <c r="G146" s="30"/>
      <c r="I146" s="98"/>
      <c r="K146" s="8"/>
    </row>
    <row r="147" spans="1:11" ht="12.5" x14ac:dyDescent="0.25">
      <c r="A147" s="462" t="s">
        <v>216</v>
      </c>
      <c r="B147" s="30">
        <f>IF(VIN_min&gt;2*Vout, B142,B146)</f>
        <v>2.6960905146913822E-6</v>
      </c>
      <c r="C147" s="42" t="s">
        <v>24</v>
      </c>
      <c r="D147">
        <f>(VIN_min+VIN_max)/2</f>
        <v>6.2</v>
      </c>
      <c r="G147" s="30"/>
      <c r="I147" s="98"/>
      <c r="K147" s="8"/>
    </row>
    <row r="148" spans="1:11" ht="12.5" x14ac:dyDescent="0.25">
      <c r="A148" s="462" t="s">
        <v>497</v>
      </c>
      <c r="B148" s="594">
        <f>IF(Cinmin*1000000&lt;2.2, 2.2,Cinmin*1000000)</f>
        <v>2.6960905146913823</v>
      </c>
      <c r="C148" s="42" t="s">
        <v>23</v>
      </c>
      <c r="D148">
        <f>2*Vout</f>
        <v>6.6</v>
      </c>
      <c r="F148" s="113" t="s">
        <v>565</v>
      </c>
      <c r="I148" s="98"/>
    </row>
    <row r="149" spans="1:11" ht="12.5" x14ac:dyDescent="0.25">
      <c r="A149" s="462"/>
      <c r="B149" s="42"/>
      <c r="C149" s="42"/>
      <c r="F149" s="113"/>
      <c r="I149" s="98"/>
    </row>
    <row r="150" spans="1:11" ht="12.5" x14ac:dyDescent="0.25">
      <c r="A150" s="99" t="s">
        <v>57</v>
      </c>
      <c r="B150" s="411">
        <f>'Design Regulator'!E44/1000000</f>
        <v>4.6999999999999999E-6</v>
      </c>
      <c r="C150" s="92" t="s">
        <v>24</v>
      </c>
      <c r="F150" t="s">
        <v>146</v>
      </c>
      <c r="I150" s="98"/>
    </row>
    <row r="151" spans="1:11" ht="12.5" x14ac:dyDescent="0.25">
      <c r="A151" s="462" t="s">
        <v>943</v>
      </c>
      <c r="B151" s="297">
        <f>-(Iout/Number_of_Phases*D1_Vinmin*(1-D1_Vinmin)/(Cin*Fsw)-Vinripple1)/(Iout/Number_of_Phases+Iripple_Vinmin/2)</f>
        <v>9.926879164700092E-2</v>
      </c>
      <c r="C151" s="210" t="s">
        <v>116</v>
      </c>
      <c r="I151" s="98"/>
    </row>
    <row r="152" spans="1:11" ht="12.5" x14ac:dyDescent="0.25">
      <c r="A152" s="462" t="s">
        <v>554</v>
      </c>
      <c r="B152" s="297">
        <f>-(Iout/Number_of_Phases*D1_Vinmax*(1-D1_Vinmax)/(Cin*Fsw)-Vinripple1)/(Iout/Number_of_Phases+Iripple_Vinmax/2)</f>
        <v>8.3101349907015051E-2</v>
      </c>
      <c r="C152" s="210" t="s">
        <v>116</v>
      </c>
      <c r="I152" s="98"/>
    </row>
    <row r="153" spans="1:11" ht="12.5" x14ac:dyDescent="0.25">
      <c r="A153" s="462" t="s">
        <v>555</v>
      </c>
      <c r="B153" s="297">
        <f>-(Iout/Number_of_Phases*0.5*(1-0.5)/(Cin*Fsw)-Vinripple1)/(Iout/Number_of_Phases+Iripple_Vinmax/2)</f>
        <v>8.1814863761410464E-2</v>
      </c>
      <c r="C153" s="210" t="s">
        <v>116</v>
      </c>
      <c r="F153" s="113" t="s">
        <v>561</v>
      </c>
      <c r="I153" s="98"/>
    </row>
    <row r="154" spans="1:11" ht="12.5" x14ac:dyDescent="0.25">
      <c r="A154" s="462" t="s">
        <v>218</v>
      </c>
      <c r="B154" s="297">
        <f>IF(VIN_min&gt;2*Vout, B151,B153)</f>
        <v>8.1814863761410464E-2</v>
      </c>
      <c r="C154" s="210" t="s">
        <v>116</v>
      </c>
      <c r="I154" s="98"/>
    </row>
    <row r="155" spans="1:11" x14ac:dyDescent="0.3">
      <c r="A155" s="462" t="s">
        <v>499</v>
      </c>
      <c r="B155" s="506">
        <f>IF(OR(CinEsrMax&gt;0.3, CinEsrMax&lt;0), "N/A",CinEsrMax*1000)</f>
        <v>81.814863761410464</v>
      </c>
      <c r="C155" s="45" t="s">
        <v>305</v>
      </c>
      <c r="F155" t="s">
        <v>565</v>
      </c>
      <c r="I155" s="98"/>
    </row>
    <row r="156" spans="1:11" ht="12.5" x14ac:dyDescent="0.25">
      <c r="A156" s="99" t="s">
        <v>86</v>
      </c>
      <c r="B156" s="93">
        <f>'Design Regulator'!E46/1000</f>
        <v>3.0000000000000001E-3</v>
      </c>
      <c r="C156" s="210" t="s">
        <v>116</v>
      </c>
      <c r="F156" s="113" t="s">
        <v>236</v>
      </c>
      <c r="I156" s="98"/>
    </row>
    <row r="157" spans="1:11" x14ac:dyDescent="0.3">
      <c r="F157" s="113"/>
      <c r="I157" s="98"/>
      <c r="K157" s="300"/>
    </row>
    <row r="158" spans="1:11" ht="12.5" x14ac:dyDescent="0.25">
      <c r="A158" s="462" t="s">
        <v>910</v>
      </c>
      <c r="B158" s="380">
        <f>Iout/Number_of_Phases*D1_Vinmin_2*(1-D1_Vinmin_2)/(Cin*Fsw)+(Iout/Number_of_Phases +Iripple_Vinmin/2)*RCinEsr</f>
        <v>0.21052096635323672</v>
      </c>
      <c r="C158" s="92" t="s">
        <v>39</v>
      </c>
      <c r="F158" s="113"/>
      <c r="I158" s="98"/>
      <c r="K158" s="300"/>
    </row>
    <row r="159" spans="1:11" ht="12.5" x14ac:dyDescent="0.25">
      <c r="A159" s="462" t="s">
        <v>912</v>
      </c>
      <c r="B159" s="380">
        <f>Iout/Number_of_Phases*D1_Vinnom_2*(1-D1_Vinnom_2)/(Cin*Fsw)+(Iout/Number_of_Phases +Iripple_Vinnom/2)*RCinEsr</f>
        <v>0.23559199647720852</v>
      </c>
      <c r="C159" s="92" t="s">
        <v>39</v>
      </c>
      <c r="I159" s="98"/>
    </row>
    <row r="160" spans="1:11" ht="12.5" x14ac:dyDescent="0.25">
      <c r="A160" s="462" t="s">
        <v>557</v>
      </c>
      <c r="B160" s="380">
        <f>Iout/Number_of_Phases*D1_Vinmax_2*(1-D1_Vinmax_2)/(Cin*Fsw)+(Iout/Number_of_Phases +Iripple_Vinmax/2)*RCinEsr</f>
        <v>0.23342878801139605</v>
      </c>
      <c r="C160" s="92" t="s">
        <v>39</v>
      </c>
      <c r="I160" s="98"/>
    </row>
    <row r="161" spans="1:9" ht="12.5" x14ac:dyDescent="0.25">
      <c r="A161" s="462" t="s">
        <v>558</v>
      </c>
      <c r="B161" s="380">
        <f>Iout/Number_of_Phases*0.5*(1-0.5)/(Cin*Fsw)+(Iout/Number_of_Phases +Iripple_Vinmax/2)*RCinEsr</f>
        <v>0.23570810006089679</v>
      </c>
      <c r="C161" s="92" t="s">
        <v>39</v>
      </c>
      <c r="F161" s="113" t="s">
        <v>559</v>
      </c>
      <c r="I161" s="98"/>
    </row>
    <row r="162" spans="1:9" ht="12.5" x14ac:dyDescent="0.25">
      <c r="A162" s="462" t="s">
        <v>219</v>
      </c>
      <c r="B162" s="380">
        <f>IF(D1_Vinmin&lt;0.5, B158,B161)</f>
        <v>0.23570810006089679</v>
      </c>
      <c r="C162" s="92" t="s">
        <v>39</v>
      </c>
      <c r="F162" s="113" t="s">
        <v>564</v>
      </c>
      <c r="I162" s="98"/>
    </row>
    <row r="163" spans="1:9" ht="12.5" x14ac:dyDescent="0.25">
      <c r="A163" s="99"/>
      <c r="B163" s="517"/>
      <c r="C163" s="92"/>
      <c r="I163" s="98"/>
    </row>
    <row r="164" spans="1:9" thickBot="1" x14ac:dyDescent="0.3">
      <c r="A164" s="100"/>
      <c r="B164" s="381">
        <f>Iout*D1_Vinmin_2*(1-D1_Vinmin_2)/(Cin*Fsw)</f>
        <v>0.20465683845636121</v>
      </c>
      <c r="C164" s="306" t="s">
        <v>39</v>
      </c>
      <c r="D164" s="101"/>
      <c r="E164" s="102"/>
      <c r="F164" s="102"/>
      <c r="G164" s="102"/>
      <c r="H164" s="102"/>
      <c r="I164" s="103"/>
    </row>
    <row r="166" spans="1:9" ht="16" thickBot="1" x14ac:dyDescent="0.4">
      <c r="A166" s="509" t="s">
        <v>563</v>
      </c>
    </row>
    <row r="167" spans="1:9" ht="12.5" x14ac:dyDescent="0.25">
      <c r="A167" s="89" t="s">
        <v>148</v>
      </c>
      <c r="B167" s="12">
        <f>'Design Regulator'!E51/1000</f>
        <v>0</v>
      </c>
      <c r="C167" s="63" t="s">
        <v>133</v>
      </c>
      <c r="D167" s="116" t="s">
        <v>422</v>
      </c>
      <c r="E167" s="63"/>
      <c r="F167" s="63"/>
      <c r="G167" s="63"/>
      <c r="H167" s="63"/>
      <c r="I167" s="64"/>
    </row>
    <row r="168" spans="1:9" ht="12.5" x14ac:dyDescent="0.25">
      <c r="A168" s="56" t="s">
        <v>149</v>
      </c>
      <c r="B168" s="68" t="e">
        <f>Cout*Vout/Tss</f>
        <v>#DIV/0!</v>
      </c>
      <c r="C168" t="s">
        <v>1</v>
      </c>
      <c r="D168" s="113" t="s">
        <v>421</v>
      </c>
      <c r="I168" s="57"/>
    </row>
    <row r="169" spans="1:9" ht="12.5" x14ac:dyDescent="0.25">
      <c r="A169" s="56" t="s">
        <v>150</v>
      </c>
      <c r="B169" s="412">
        <f>0.000022*Tss/1.2</f>
        <v>0</v>
      </c>
      <c r="C169" t="s">
        <v>24</v>
      </c>
      <c r="I169" s="57"/>
    </row>
    <row r="170" spans="1:9" thickBot="1" x14ac:dyDescent="0.3">
      <c r="A170" s="60" t="s">
        <v>161</v>
      </c>
      <c r="B170" s="413">
        <f>'Standard Value Calculator'!B4</f>
        <v>0</v>
      </c>
      <c r="C170" s="61" t="s">
        <v>24</v>
      </c>
      <c r="D170" s="61"/>
      <c r="E170" s="61"/>
      <c r="F170" s="61"/>
      <c r="G170" s="61"/>
      <c r="H170" s="61"/>
      <c r="I170" s="62"/>
    </row>
    <row r="172" spans="1:9" ht="16" thickBot="1" x14ac:dyDescent="0.4">
      <c r="A172" s="509" t="s">
        <v>628</v>
      </c>
    </row>
    <row r="173" spans="1:9" ht="12.75" customHeight="1" x14ac:dyDescent="0.25">
      <c r="A173" s="208" t="s">
        <v>629</v>
      </c>
      <c r="B173" s="555">
        <f>'Design Regulator'!E54/1000</f>
        <v>0.02</v>
      </c>
      <c r="C173" s="63" t="s">
        <v>133</v>
      </c>
      <c r="D173" s="116" t="s">
        <v>633</v>
      </c>
      <c r="E173" s="63"/>
      <c r="F173" s="63"/>
      <c r="G173" s="63"/>
      <c r="H173" s="63"/>
      <c r="I173" s="64"/>
    </row>
    <row r="174" spans="1:9" ht="12.75" customHeight="1" x14ac:dyDescent="0.25">
      <c r="A174" s="209" t="s">
        <v>630</v>
      </c>
      <c r="B174" s="412">
        <f>0.00002*Tres/1.2</f>
        <v>3.3333333333333335E-7</v>
      </c>
      <c r="C174" t="s">
        <v>24</v>
      </c>
      <c r="I174" s="57"/>
    </row>
    <row r="175" spans="1:9" ht="12.75" customHeight="1" x14ac:dyDescent="0.3">
      <c r="A175" s="209" t="s">
        <v>631</v>
      </c>
      <c r="B175" s="556">
        <f>'Standard Value Calculator'!G4</f>
        <v>3.3000000000000002E-7</v>
      </c>
      <c r="C175" t="s">
        <v>24</v>
      </c>
      <c r="F175" s="45"/>
      <c r="G175" s="44"/>
      <c r="H175" s="44"/>
      <c r="I175" s="57"/>
    </row>
    <row r="176" spans="1:9" ht="12.75" customHeight="1" x14ac:dyDescent="0.25">
      <c r="B176" s="44"/>
      <c r="C176"/>
      <c r="I176" s="57"/>
    </row>
    <row r="177" spans="1:9" ht="12.75" customHeight="1" x14ac:dyDescent="0.4">
      <c r="A177" s="209" t="s">
        <v>632</v>
      </c>
      <c r="B177" s="44">
        <v>100</v>
      </c>
      <c r="C177" s="45" t="s">
        <v>237</v>
      </c>
      <c r="I177" s="57"/>
    </row>
    <row r="178" spans="1:9" ht="12.75" customHeight="1" x14ac:dyDescent="0.4">
      <c r="A178" s="209" t="s">
        <v>637</v>
      </c>
      <c r="B178" s="44"/>
      <c r="C178" s="210" t="s">
        <v>116</v>
      </c>
      <c r="E178" s="113" t="s">
        <v>638</v>
      </c>
      <c r="I178" s="57"/>
    </row>
    <row r="179" spans="1:9" ht="12.75" customHeight="1" x14ac:dyDescent="0.25">
      <c r="A179" s="538" t="s">
        <v>635</v>
      </c>
      <c r="B179" s="44"/>
      <c r="C179" s="210" t="s">
        <v>116</v>
      </c>
      <c r="D179" s="366"/>
      <c r="E179" s="113" t="s">
        <v>636</v>
      </c>
      <c r="I179" s="57"/>
    </row>
    <row r="180" spans="1:9" ht="12.75" customHeight="1" x14ac:dyDescent="0.25">
      <c r="A180" s="538" t="s">
        <v>634</v>
      </c>
      <c r="B180" s="44"/>
      <c r="C180" s="210" t="s">
        <v>116</v>
      </c>
      <c r="D180" s="366"/>
      <c r="E180" s="113" t="s">
        <v>593</v>
      </c>
      <c r="I180" s="57"/>
    </row>
    <row r="181" spans="1:9" ht="12.75" customHeight="1" x14ac:dyDescent="0.25">
      <c r="A181" s="696"/>
      <c r="B181" s="44"/>
      <c r="C181" s="210"/>
      <c r="D181" s="366"/>
      <c r="E181" s="113"/>
      <c r="I181" s="57"/>
    </row>
    <row r="182" spans="1:9" ht="12.75" customHeight="1" x14ac:dyDescent="0.25">
      <c r="A182" s="696" t="s">
        <v>859</v>
      </c>
      <c r="B182" s="697">
        <v>1.0000000000000001E-5</v>
      </c>
      <c r="C182" s="210" t="s">
        <v>1</v>
      </c>
      <c r="D182" s="366"/>
      <c r="E182" s="113" t="s">
        <v>860</v>
      </c>
      <c r="I182" s="57"/>
    </row>
    <row r="183" spans="1:9" ht="12.5" x14ac:dyDescent="0.25">
      <c r="A183" s="696" t="s">
        <v>861</v>
      </c>
      <c r="B183" s="698">
        <f>'Design Regulator'!E53</f>
        <v>22</v>
      </c>
      <c r="C183" s="210"/>
      <c r="D183" s="366"/>
      <c r="E183" s="113"/>
      <c r="I183" s="57"/>
    </row>
    <row r="184" spans="1:9" ht="12.75" customHeight="1" x14ac:dyDescent="0.25">
      <c r="A184" s="696" t="s">
        <v>862</v>
      </c>
      <c r="B184" s="698">
        <f>'Design Regulator'!E53-'Design Regulator'!E54</f>
        <v>2</v>
      </c>
      <c r="C184" s="210"/>
      <c r="D184" s="366"/>
      <c r="E184" s="113"/>
      <c r="I184" s="57"/>
    </row>
    <row r="185" spans="1:9" ht="12.75" customHeight="1" x14ac:dyDescent="0.25">
      <c r="A185" s="696"/>
      <c r="B185" s="44"/>
      <c r="C185" s="210"/>
      <c r="D185" s="366"/>
      <c r="E185" s="113"/>
      <c r="I185" s="57"/>
    </row>
    <row r="186" spans="1:9" ht="12.75" customHeight="1" x14ac:dyDescent="0.25">
      <c r="A186" s="696" t="s">
        <v>863</v>
      </c>
      <c r="B186" s="596">
        <f>B184/B182</f>
        <v>199999.99999999997</v>
      </c>
      <c r="C186" s="210" t="s">
        <v>116</v>
      </c>
      <c r="D186" s="366"/>
      <c r="E186" s="113"/>
      <c r="I186" s="57"/>
    </row>
    <row r="187" spans="1:9" ht="12.75" customHeight="1" x14ac:dyDescent="0.25">
      <c r="A187" s="696" t="s">
        <v>864</v>
      </c>
      <c r="B187" s="44">
        <f>B186/(B183-1)</f>
        <v>9523.8095238095229</v>
      </c>
      <c r="C187" s="210" t="s">
        <v>116</v>
      </c>
      <c r="D187" s="366"/>
      <c r="E187" s="113"/>
      <c r="I187" s="57"/>
    </row>
    <row r="188" spans="1:9" ht="12.75" customHeight="1" x14ac:dyDescent="0.3">
      <c r="A188" s="696" t="s">
        <v>865</v>
      </c>
      <c r="B188" s="44">
        <f>'Standard Value Calculator'!S40</f>
        <v>200</v>
      </c>
      <c r="C188" s="45" t="s">
        <v>237</v>
      </c>
      <c r="D188" s="366"/>
      <c r="E188" s="113"/>
      <c r="I188" s="57"/>
    </row>
    <row r="189" spans="1:9" ht="12.75" customHeight="1" x14ac:dyDescent="0.3">
      <c r="A189" s="696" t="s">
        <v>866</v>
      </c>
      <c r="B189" s="44">
        <f>'Standard Value Calculator'!S41</f>
        <v>9.5299999999999994</v>
      </c>
      <c r="C189" s="45" t="s">
        <v>237</v>
      </c>
      <c r="D189" s="366"/>
      <c r="E189" s="113"/>
      <c r="I189" s="57"/>
    </row>
    <row r="190" spans="1:9" ht="12.75" customHeight="1" x14ac:dyDescent="0.25">
      <c r="A190" s="209"/>
      <c r="B190" s="44"/>
      <c r="C190" s="210"/>
      <c r="I190" s="57"/>
    </row>
    <row r="191" spans="1:9" ht="12.75" customHeight="1" x14ac:dyDescent="0.25">
      <c r="A191" s="209" t="s">
        <v>529</v>
      </c>
      <c r="B191" s="379">
        <f>'Design Regulator'!E57*1000</f>
        <v>41200</v>
      </c>
      <c r="C191" s="113" t="s">
        <v>9</v>
      </c>
      <c r="I191" s="57"/>
    </row>
    <row r="192" spans="1:9" ht="12.75" customHeight="1" x14ac:dyDescent="0.25">
      <c r="A192" s="209" t="s">
        <v>311</v>
      </c>
      <c r="B192" s="378">
        <f>10*10^-6/Fdither/0.12</f>
        <v>2.0226537216828479E-9</v>
      </c>
      <c r="C192" s="113" t="s">
        <v>24</v>
      </c>
      <c r="I192" s="57"/>
    </row>
    <row r="193" spans="1:9" ht="12.75" customHeight="1" x14ac:dyDescent="0.25">
      <c r="A193" s="209" t="s">
        <v>312</v>
      </c>
      <c r="B193" s="378">
        <f>'Standard Value Calculator'!S21</f>
        <v>2.1999999999999998E-9</v>
      </c>
      <c r="C193" s="113" t="s">
        <v>24</v>
      </c>
      <c r="I193" s="57"/>
    </row>
    <row r="194" spans="1:9" ht="12.75" customHeight="1" thickBot="1" x14ac:dyDescent="0.35">
      <c r="A194" s="60"/>
      <c r="B194" s="70"/>
      <c r="C194" s="286"/>
      <c r="D194" s="61"/>
      <c r="E194" s="61"/>
      <c r="F194" s="61"/>
      <c r="G194" s="61"/>
      <c r="H194" s="61"/>
      <c r="I194" s="62"/>
    </row>
    <row r="195" spans="1:9" x14ac:dyDescent="0.3">
      <c r="B195" s="44"/>
      <c r="C195" s="287"/>
    </row>
    <row r="196" spans="1:9" ht="16" thickBot="1" x14ac:dyDescent="0.4">
      <c r="A196" s="509" t="s">
        <v>562</v>
      </c>
    </row>
    <row r="197" spans="1:9" x14ac:dyDescent="0.3">
      <c r="A197" s="361" t="s">
        <v>38</v>
      </c>
      <c r="B197" s="362">
        <v>3.1415926500000002</v>
      </c>
      <c r="C197" s="363"/>
      <c r="D197" s="364" t="s">
        <v>364</v>
      </c>
      <c r="E197" s="63"/>
      <c r="F197" s="63"/>
      <c r="G197" s="63"/>
      <c r="H197" s="63"/>
      <c r="I197" s="64"/>
    </row>
    <row r="198" spans="1:9" x14ac:dyDescent="0.3">
      <c r="A198" s="113" t="s">
        <v>374</v>
      </c>
      <c r="B198" s="113">
        <v>10</v>
      </c>
      <c r="C198" s="46"/>
      <c r="D198" s="210"/>
      <c r="I198" s="57"/>
    </row>
    <row r="199" spans="1:9" ht="12.5" x14ac:dyDescent="0.25">
      <c r="A199" s="113" t="s">
        <v>353</v>
      </c>
      <c r="B199">
        <f>Rs*CSAmp_gain</f>
        <v>0.25</v>
      </c>
      <c r="C199" s="210" t="s">
        <v>116</v>
      </c>
      <c r="E199" s="210"/>
      <c r="F199" s="113" t="s">
        <v>369</v>
      </c>
      <c r="I199" s="57"/>
    </row>
    <row r="200" spans="1:9" ht="12.5" x14ac:dyDescent="0.25">
      <c r="A200" s="113" t="s">
        <v>334</v>
      </c>
      <c r="B200" s="557">
        <f>IF(COMP_TYPE=1,0.00003,0.0012)</f>
        <v>1.1999999999999999E-3</v>
      </c>
      <c r="C200" s="113" t="s">
        <v>66</v>
      </c>
      <c r="F200" s="113" t="s">
        <v>354</v>
      </c>
      <c r="I200" s="57"/>
    </row>
    <row r="201" spans="1:9" ht="12.5" x14ac:dyDescent="0.25">
      <c r="A201" s="113"/>
      <c r="B201" s="113"/>
      <c r="C201" s="113"/>
      <c r="F201" s="113"/>
      <c r="I201" s="57"/>
    </row>
    <row r="202" spans="1:9" x14ac:dyDescent="0.3">
      <c r="A202" s="113" t="s">
        <v>438</v>
      </c>
      <c r="B202" s="539">
        <f>B206/Ri*1000</f>
        <v>368800</v>
      </c>
      <c r="C202" s="477" t="s">
        <v>355</v>
      </c>
      <c r="D202" s="539"/>
      <c r="E202" s="477"/>
      <c r="F202" s="477" t="s">
        <v>375</v>
      </c>
      <c r="H202" s="4"/>
      <c r="I202" s="57"/>
    </row>
    <row r="203" spans="1:9" x14ac:dyDescent="0.3">
      <c r="A203" s="113" t="s">
        <v>356</v>
      </c>
      <c r="B203" s="539">
        <f>(Vin-Vout)/Lf</f>
        <v>485294.1176470588</v>
      </c>
      <c r="C203" s="477" t="s">
        <v>355</v>
      </c>
      <c r="D203" s="539"/>
      <c r="E203" s="477"/>
      <c r="F203" s="477" t="s">
        <v>357</v>
      </c>
      <c r="H203" s="4"/>
      <c r="I203" s="57"/>
    </row>
    <row r="204" spans="1:9" x14ac:dyDescent="0.3">
      <c r="A204" s="113" t="s">
        <v>373</v>
      </c>
      <c r="B204" s="539">
        <f>Vout/Lf</f>
        <v>485294.1176470588</v>
      </c>
      <c r="C204" s="477" t="s">
        <v>355</v>
      </c>
      <c r="D204" s="539"/>
      <c r="E204" s="477"/>
      <c r="F204" s="477" t="s">
        <v>372</v>
      </c>
      <c r="H204" s="4"/>
      <c r="I204" s="57"/>
    </row>
    <row r="205" spans="1:9" x14ac:dyDescent="0.3">
      <c r="A205" s="113"/>
      <c r="B205" s="365"/>
      <c r="C205" s="350"/>
      <c r="F205" s="350"/>
      <c r="I205" s="57"/>
    </row>
    <row r="206" spans="1:9" x14ac:dyDescent="0.3">
      <c r="A206" s="113" t="s">
        <v>376</v>
      </c>
      <c r="B206" s="373">
        <f>Fsw*0.001*(5/22)</f>
        <v>92.2</v>
      </c>
      <c r="C206" s="374" t="s">
        <v>412</v>
      </c>
      <c r="D206" s="373"/>
      <c r="E206" s="374"/>
      <c r="F206" s="374" t="s">
        <v>384</v>
      </c>
      <c r="I206" s="57"/>
    </row>
    <row r="207" spans="1:9" x14ac:dyDescent="0.3">
      <c r="A207" s="113" t="s">
        <v>382</v>
      </c>
      <c r="B207" s="373">
        <f>Sn*Ri/1000</f>
        <v>121.3235294117647</v>
      </c>
      <c r="C207" s="374" t="s">
        <v>412</v>
      </c>
      <c r="D207" s="373"/>
      <c r="E207" s="374"/>
      <c r="F207" s="374" t="s">
        <v>385</v>
      </c>
      <c r="I207" s="57"/>
    </row>
    <row r="208" spans="1:9" x14ac:dyDescent="0.3">
      <c r="A208" s="113" t="s">
        <v>383</v>
      </c>
      <c r="B208" s="373">
        <f>Sf*Ri/1000</f>
        <v>121.3235294117647</v>
      </c>
      <c r="C208" s="374" t="s">
        <v>412</v>
      </c>
      <c r="D208" s="373"/>
      <c r="E208" s="374"/>
      <c r="F208" s="374" t="s">
        <v>385</v>
      </c>
      <c r="I208" s="57"/>
    </row>
    <row r="209" spans="1:9" x14ac:dyDescent="0.3">
      <c r="A209" s="113"/>
      <c r="B209" s="373"/>
      <c r="C209" s="374"/>
      <c r="D209" s="374"/>
      <c r="I209" s="57"/>
    </row>
    <row r="210" spans="1:9" ht="12.5" x14ac:dyDescent="0.25">
      <c r="A210" s="113" t="s">
        <v>410</v>
      </c>
      <c r="B210" s="348">
        <f>1+Se_ext/Sn</f>
        <v>1.7599515151515153</v>
      </c>
      <c r="C210"/>
      <c r="D210" s="348"/>
      <c r="F210" s="113" t="s">
        <v>760</v>
      </c>
      <c r="I210" s="57"/>
    </row>
    <row r="211" spans="1:9" x14ac:dyDescent="0.3">
      <c r="A211" s="113" t="s">
        <v>411</v>
      </c>
      <c r="B211" s="367">
        <f>mc_buck*(1-D1_Vinnom_2)</f>
        <v>0.87228031576726828</v>
      </c>
      <c r="C211" s="350"/>
      <c r="D211" s="367"/>
      <c r="F211" s="350" t="s">
        <v>641</v>
      </c>
      <c r="I211" s="57"/>
    </row>
    <row r="212" spans="1:9" x14ac:dyDescent="0.3">
      <c r="A212" s="2"/>
      <c r="B212" s="382"/>
      <c r="C212" s="350"/>
      <c r="D212" s="350"/>
      <c r="I212" s="57"/>
    </row>
    <row r="213" spans="1:9" x14ac:dyDescent="0.3">
      <c r="A213" s="2" t="s">
        <v>358</v>
      </c>
      <c r="B213" s="367">
        <f>1+Se_ext/Sn</f>
        <v>1.7599515151515153</v>
      </c>
      <c r="C213" s="350"/>
      <c r="D213" s="367"/>
      <c r="I213" s="57"/>
    </row>
    <row r="214" spans="1:9" x14ac:dyDescent="0.3">
      <c r="A214" s="2" t="s">
        <v>333</v>
      </c>
      <c r="B214" s="408">
        <f>mc_buck*(1-D1_Vinnom_2)</f>
        <v>0.87228031576726828</v>
      </c>
      <c r="C214" s="350"/>
      <c r="D214" s="408"/>
      <c r="I214" s="57"/>
    </row>
    <row r="215" spans="1:9" ht="12.5" x14ac:dyDescent="0.25">
      <c r="A215" s="113" t="s">
        <v>27</v>
      </c>
      <c r="B215" s="348">
        <f>1/Pi/(k-0.5)</f>
        <v>0.85502744320896285</v>
      </c>
      <c r="C215"/>
      <c r="D215" s="348"/>
      <c r="F215" s="113" t="s">
        <v>367</v>
      </c>
      <c r="H215" s="113" t="s">
        <v>378</v>
      </c>
      <c r="I215" s="57"/>
    </row>
    <row r="216" spans="1:9" ht="12.5" x14ac:dyDescent="0.25">
      <c r="A216" s="113"/>
      <c r="B216" s="348"/>
      <c r="C216"/>
      <c r="D216" s="113"/>
      <c r="F216" s="113"/>
      <c r="I216" s="57"/>
    </row>
    <row r="217" spans="1:9" x14ac:dyDescent="0.3">
      <c r="A217" s="350" t="s">
        <v>413</v>
      </c>
      <c r="B217" s="348"/>
      <c r="C217"/>
      <c r="D217" s="113"/>
      <c r="I217" s="57"/>
    </row>
    <row r="218" spans="1:9" ht="14.5" x14ac:dyDescent="0.35">
      <c r="A218" s="113" t="s">
        <v>359</v>
      </c>
      <c r="B218" s="671">
        <v>6</v>
      </c>
      <c r="C218" s="113" t="s">
        <v>178</v>
      </c>
      <c r="F218" s="113" t="s">
        <v>443</v>
      </c>
      <c r="I218" s="57"/>
    </row>
    <row r="219" spans="1:9" ht="14.5" x14ac:dyDescent="0.35">
      <c r="A219" s="113" t="s">
        <v>360</v>
      </c>
      <c r="B219" s="672">
        <f>gm/(2*Pi*GBW*1000000)</f>
        <v>3.1830988654751269E-11</v>
      </c>
      <c r="C219" s="113" t="s">
        <v>24</v>
      </c>
      <c r="F219" s="113" t="s">
        <v>442</v>
      </c>
      <c r="I219" s="57"/>
    </row>
    <row r="220" spans="1:9" ht="14.5" x14ac:dyDescent="0.35">
      <c r="A220" s="113" t="s">
        <v>361</v>
      </c>
      <c r="B220" s="673">
        <v>64000000</v>
      </c>
      <c r="C220" s="210" t="s">
        <v>116</v>
      </c>
      <c r="F220" s="113" t="s">
        <v>441</v>
      </c>
      <c r="I220" s="57"/>
    </row>
    <row r="221" spans="1:9" x14ac:dyDescent="0.3">
      <c r="A221" s="2" t="s">
        <v>362</v>
      </c>
      <c r="B221" s="299">
        <f>gm*RoEA</f>
        <v>76800</v>
      </c>
      <c r="C221" s="113" t="s">
        <v>28</v>
      </c>
      <c r="F221" s="113" t="s">
        <v>440</v>
      </c>
      <c r="I221" s="57"/>
    </row>
    <row r="222" spans="1:9" x14ac:dyDescent="0.3">
      <c r="A222" s="2" t="s">
        <v>363</v>
      </c>
      <c r="B222" s="4">
        <f>IF(VOUT_setting=1,Vref/Vout,SQRT((1+(Fcross*zterm1)^2)/((1+Afbr-pterm4*(Fcross)^2)^2+(Fcross*pterm3)^2)))</f>
        <v>0.23917927852198953</v>
      </c>
      <c r="C222" s="113" t="s">
        <v>28</v>
      </c>
      <c r="D222" s="4"/>
      <c r="E222" s="113"/>
      <c r="F222" s="113" t="s">
        <v>439</v>
      </c>
      <c r="I222" s="57"/>
    </row>
    <row r="223" spans="1:9" x14ac:dyDescent="0.3">
      <c r="A223" s="2" t="s">
        <v>318</v>
      </c>
      <c r="B223" s="382">
        <f>1/Ri</f>
        <v>4</v>
      </c>
      <c r="C223" s="113"/>
      <c r="D223" s="382"/>
      <c r="E223" s="113"/>
      <c r="F223" s="113" t="s">
        <v>368</v>
      </c>
      <c r="I223" s="57"/>
    </row>
    <row r="224" spans="1:9" x14ac:dyDescent="0.3">
      <c r="A224" s="2" t="s">
        <v>404</v>
      </c>
      <c r="B224" s="4">
        <f>(Ro/Number_of_Phases)/Ri/((1+Ro/Number_of_Phases*(k-0.5)/(Fsw*Lf)))</f>
        <v>6.0127366342613167</v>
      </c>
      <c r="C224" s="4"/>
      <c r="D224" s="4"/>
      <c r="I224" s="57"/>
    </row>
    <row r="225" spans="1:9" x14ac:dyDescent="0.3">
      <c r="A225" s="2" t="s">
        <v>323</v>
      </c>
      <c r="B225" s="4">
        <f>(Ro*Number_of_Phases)/Ri/((1+Ro*Number_of_Phases*(k-0.5)/(Fsw*Lf)))</f>
        <v>6.0127366342613167</v>
      </c>
      <c r="C225" s="4"/>
      <c r="D225" s="4"/>
      <c r="F225" s="350" t="s">
        <v>697</v>
      </c>
      <c r="I225" s="57"/>
    </row>
    <row r="226" spans="1:9" x14ac:dyDescent="0.3">
      <c r="A226" s="2"/>
      <c r="B226" s="4"/>
      <c r="C226"/>
      <c r="D226" s="350"/>
      <c r="I226" s="57"/>
    </row>
    <row r="227" spans="1:9" ht="12.5" x14ac:dyDescent="0.25">
      <c r="A227" s="113" t="s">
        <v>698</v>
      </c>
      <c r="B227" s="4">
        <f>2*Pi*Ri/gm</f>
        <v>1308.9969375000003</v>
      </c>
      <c r="C227"/>
      <c r="F227" s="113" t="s">
        <v>444</v>
      </c>
      <c r="I227" s="57"/>
    </row>
    <row r="228" spans="1:9" x14ac:dyDescent="0.3">
      <c r="A228" s="350" t="s">
        <v>405</v>
      </c>
      <c r="B228" s="4"/>
      <c r="C228"/>
      <c r="F228" s="113"/>
      <c r="I228" s="57"/>
    </row>
    <row r="229" spans="1:9" x14ac:dyDescent="0.3">
      <c r="A229" s="350"/>
      <c r="B229" s="4"/>
      <c r="C229"/>
      <c r="F229" s="113"/>
      <c r="I229" s="57"/>
    </row>
    <row r="230" spans="1:9" ht="12.5" x14ac:dyDescent="0.25">
      <c r="A230" s="209" t="s">
        <v>42</v>
      </c>
      <c r="B230" s="382">
        <f>Rout</f>
        <v>1.8857142857142857</v>
      </c>
      <c r="C230" s="210" t="s">
        <v>116</v>
      </c>
      <c r="D230" s="348"/>
      <c r="E230" s="210"/>
      <c r="F230" s="113" t="s">
        <v>263</v>
      </c>
      <c r="I230" s="57"/>
    </row>
    <row r="231" spans="1:9" ht="12.5" x14ac:dyDescent="0.25">
      <c r="A231" s="113"/>
      <c r="B231" s="113"/>
      <c r="C231" s="210"/>
      <c r="D231" s="113"/>
      <c r="I231" s="57"/>
    </row>
    <row r="232" spans="1:9" ht="12.5" x14ac:dyDescent="0.25">
      <c r="A232" s="113" t="s">
        <v>399</v>
      </c>
      <c r="B232" s="372">
        <f>1/(2*Pi*Ro*Cout)+(k-0.5)/(2*Pi*Fsw*Lf*Cout/Number_of_Phases)</f>
        <v>1604.2202951050137</v>
      </c>
      <c r="C232" t="s">
        <v>9</v>
      </c>
      <c r="D232" s="359"/>
      <c r="F232" s="113" t="s">
        <v>398</v>
      </c>
      <c r="I232" s="57"/>
    </row>
    <row r="233" spans="1:9" x14ac:dyDescent="0.3">
      <c r="A233" s="113" t="s">
        <v>431</v>
      </c>
      <c r="B233" s="359">
        <f>Fload_u</f>
        <v>1604.2202951050137</v>
      </c>
      <c r="C233" s="113" t="s">
        <v>9</v>
      </c>
      <c r="D233" s="359"/>
      <c r="E233" s="113"/>
      <c r="F233" s="365"/>
      <c r="I233" s="57"/>
    </row>
    <row r="234" spans="1:9" x14ac:dyDescent="0.3">
      <c r="A234" s="113"/>
      <c r="B234" s="358">
        <f>Cbw</f>
        <v>3.1830988654751269E-11</v>
      </c>
      <c r="C234"/>
      <c r="D234" s="113"/>
      <c r="E234" s="46"/>
      <c r="I234" s="57"/>
    </row>
    <row r="235" spans="1:9" ht="12.5" x14ac:dyDescent="0.25">
      <c r="A235" s="113" t="s">
        <v>370</v>
      </c>
      <c r="B235" s="422">
        <f>1/(2*Pi*(RoEA+Rcea1_u)*Cc1ea_u)</f>
        <v>0.6375890895864984</v>
      </c>
      <c r="C235" t="s">
        <v>9</v>
      </c>
      <c r="D235" s="624"/>
      <c r="F235" s="113" t="s">
        <v>397</v>
      </c>
      <c r="I235" s="57"/>
    </row>
    <row r="236" spans="1:9" ht="12.5" x14ac:dyDescent="0.25">
      <c r="A236" s="113" t="s">
        <v>371</v>
      </c>
      <c r="B236" s="372">
        <f>1/(2*Pi*Rcea1_u*(Cc2ea_u+Cbw))</f>
        <v>171289.73280628308</v>
      </c>
      <c r="C236" t="s">
        <v>9</v>
      </c>
      <c r="D236" s="359"/>
      <c r="F236" s="113" t="s">
        <v>379</v>
      </c>
      <c r="I236" s="57"/>
    </row>
    <row r="237" spans="1:9" ht="12.5" x14ac:dyDescent="0.25">
      <c r="A237" s="209" t="s">
        <v>26</v>
      </c>
      <c r="B237" s="372">
        <f>1/(2*Pi*Cout*Cout_ESR)</f>
        <v>2411438.5344508542</v>
      </c>
      <c r="C237" t="s">
        <v>9</v>
      </c>
      <c r="D237" s="359"/>
      <c r="F237" s="113" t="s">
        <v>396</v>
      </c>
      <c r="I237" s="57"/>
    </row>
    <row r="238" spans="1:9" ht="12.5" x14ac:dyDescent="0.25">
      <c r="A238" s="113" t="s">
        <v>403</v>
      </c>
      <c r="B238" s="372">
        <f>Fsw/2</f>
        <v>202840</v>
      </c>
      <c r="C238" t="s">
        <v>9</v>
      </c>
      <c r="D238" s="359"/>
      <c r="F238" s="113" t="s">
        <v>681</v>
      </c>
      <c r="I238" s="57"/>
    </row>
    <row r="239" spans="1:9" x14ac:dyDescent="0.3">
      <c r="A239" s="113"/>
      <c r="B239" s="359"/>
      <c r="C239"/>
      <c r="D239" s="675" t="s">
        <v>829</v>
      </c>
      <c r="E239" s="46"/>
      <c r="I239" s="57"/>
    </row>
    <row r="240" spans="1:9" ht="12.5" x14ac:dyDescent="0.25">
      <c r="A240" s="209" t="s">
        <v>395</v>
      </c>
      <c r="B240" s="305">
        <f>CHOOSE(COMP_TYPE,Fcross_Ch2,'Design Regulator'!E63*1000)</f>
        <v>14000</v>
      </c>
      <c r="C240" s="358" t="s">
        <v>9</v>
      </c>
      <c r="D240" s="676">
        <f>Fsw/50</f>
        <v>8113.6</v>
      </c>
      <c r="E240" s="358"/>
      <c r="I240" s="57"/>
    </row>
    <row r="241" spans="1:12" x14ac:dyDescent="0.3">
      <c r="A241" s="66" t="s">
        <v>33</v>
      </c>
      <c r="B241" s="359">
        <f>Fcross*Cout/Number_of_Phases*2*Pi*Ri/(gm*Afb)</f>
        <v>5056.9312597821918</v>
      </c>
      <c r="C241" s="210" t="s">
        <v>116</v>
      </c>
      <c r="D241" s="359"/>
      <c r="E241" s="210"/>
      <c r="F241" s="113" t="s">
        <v>365</v>
      </c>
      <c r="I241" s="57"/>
      <c r="K241" s="299">
        <f>Fcross/Fp_dominant/(gm*Afb*Am)</f>
        <v>5056.9312597821918</v>
      </c>
      <c r="L241" s="210"/>
    </row>
    <row r="242" spans="1:12" x14ac:dyDescent="0.3">
      <c r="A242" s="66" t="s">
        <v>656</v>
      </c>
      <c r="B242" s="358">
        <f>10/(Rcea1*Fcross*2*Pi)</f>
        <v>2.2480452372867303E-8</v>
      </c>
      <c r="C242" t="s">
        <v>24</v>
      </c>
      <c r="D242" s="358"/>
      <c r="F242" s="113" t="s">
        <v>642</v>
      </c>
      <c r="I242" s="57"/>
    </row>
    <row r="243" spans="1:12" x14ac:dyDescent="0.3">
      <c r="A243" s="66" t="s">
        <v>657</v>
      </c>
      <c r="B243" s="358">
        <f>MAX(1/(Rcea1*2*Pi*Fesr)-Cbw, 1/(Rcea1*2*Pi*(Fsw/2))-Cbw)</f>
        <v>1.2332890743090356E-10</v>
      </c>
      <c r="C243" t="s">
        <v>24</v>
      </c>
      <c r="D243" s="358"/>
      <c r="F243" s="113" t="s">
        <v>366</v>
      </c>
      <c r="I243" s="57"/>
    </row>
    <row r="244" spans="1:12" x14ac:dyDescent="0.3">
      <c r="A244" s="65"/>
      <c r="B244" s="1"/>
      <c r="C244" s="210"/>
      <c r="I244" s="57"/>
    </row>
    <row r="245" spans="1:12" x14ac:dyDescent="0.3">
      <c r="A245" s="674" t="str">
        <f>CHOOSE(COMP_TYPE,"Internal Compensation","External Compensation")</f>
        <v>External Compensation</v>
      </c>
      <c r="B245" s="1"/>
      <c r="C245" s="210"/>
      <c r="I245" s="57"/>
    </row>
    <row r="246" spans="1:12" x14ac:dyDescent="0.3">
      <c r="A246" s="66" t="s">
        <v>314</v>
      </c>
      <c r="D246" s="676" t="s">
        <v>828</v>
      </c>
      <c r="I246" s="57"/>
    </row>
    <row r="247" spans="1:12" ht="12.5" x14ac:dyDescent="0.25">
      <c r="A247" s="56" t="s">
        <v>34</v>
      </c>
      <c r="B247" s="69">
        <f>CHOOSE(COMP_TYPE,D247,'Design Regulator'!D71*1000)</f>
        <v>5110</v>
      </c>
      <c r="C247" s="210" t="s">
        <v>116</v>
      </c>
      <c r="D247" s="677">
        <v>400000</v>
      </c>
      <c r="G247">
        <f>1/(Rcea1*2*Pi*(Fsw/2))-Cbw</f>
        <v>1.2332890743090356E-10</v>
      </c>
      <c r="I247" s="57"/>
    </row>
    <row r="248" spans="1:12" ht="12.5" x14ac:dyDescent="0.25">
      <c r="A248" s="56" t="s">
        <v>35</v>
      </c>
      <c r="B248" s="69">
        <f>CHOOSE(COMP_TYPE,Cc3ea_u,'Design Regulator'!D72*0.000000001)</f>
        <v>3.9000000000000002E-9</v>
      </c>
      <c r="C248" t="s">
        <v>24</v>
      </c>
      <c r="D248" s="678">
        <f>50*0.000000000001</f>
        <v>5.0000000000000002E-11</v>
      </c>
      <c r="I248" s="57"/>
    </row>
    <row r="249" spans="1:12" ht="12.5" x14ac:dyDescent="0.25">
      <c r="A249" s="56" t="s">
        <v>36</v>
      </c>
      <c r="B249" s="69">
        <f>CHOOSE(COMP_TYPE,Cc4ea_u,'Design Regulator'!D73*0.000000000001)</f>
        <v>1.5E-10</v>
      </c>
      <c r="C249" t="s">
        <v>24</v>
      </c>
      <c r="D249" s="678">
        <f>0.000000000001</f>
        <v>9.9999999999999998E-13</v>
      </c>
      <c r="I249" s="57"/>
    </row>
    <row r="250" spans="1:12" ht="12.5" x14ac:dyDescent="0.25">
      <c r="A250" s="56"/>
      <c r="B250" s="48"/>
      <c r="C250"/>
      <c r="I250" s="57"/>
    </row>
    <row r="251" spans="1:12" x14ac:dyDescent="0.3">
      <c r="A251" s="66" t="s">
        <v>381</v>
      </c>
      <c r="C251"/>
      <c r="F251">
        <f>Cout</f>
        <v>6.6000000000000005E-5</v>
      </c>
      <c r="G251">
        <f>Cout_ESR</f>
        <v>1E-3</v>
      </c>
      <c r="I251" s="57"/>
    </row>
    <row r="252" spans="1:12" x14ac:dyDescent="0.3">
      <c r="A252" s="66" t="s">
        <v>37</v>
      </c>
      <c r="B252" s="360">
        <f>1/(2*Pi*Rcea1_u*Cc1ea_u)</f>
        <v>7986.0978109165717</v>
      </c>
      <c r="C252" t="s">
        <v>9</v>
      </c>
      <c r="D252" s="359"/>
      <c r="F252" s="113" t="s">
        <v>436</v>
      </c>
      <c r="I252" s="57"/>
    </row>
    <row r="253" spans="1:12" x14ac:dyDescent="0.3">
      <c r="A253" s="66" t="s">
        <v>707</v>
      </c>
      <c r="B253" s="360">
        <f>1/(2*Pi*Rcea1_u*(Cc1ea_u*(Cc2ea_u+Cbw)/(Cc1ea_u+Cc2ea_u+Cbw)))</f>
        <v>179275.83061719962</v>
      </c>
      <c r="C253" t="s">
        <v>9</v>
      </c>
      <c r="D253" s="359"/>
      <c r="F253" t="s">
        <v>132</v>
      </c>
      <c r="I253" s="57"/>
    </row>
    <row r="254" spans="1:12" ht="12.5" x14ac:dyDescent="0.25">
      <c r="C254"/>
      <c r="D254" s="676" t="s">
        <v>828</v>
      </c>
      <c r="I254" s="57"/>
    </row>
    <row r="255" spans="1:12" ht="12.5" x14ac:dyDescent="0.25">
      <c r="A255" s="56" t="s">
        <v>29</v>
      </c>
      <c r="B255" s="305">
        <f>IF(VOUT_setting=1,'Design Regulator'!E65*1000,2500000)</f>
        <v>2500000</v>
      </c>
      <c r="C255" s="210" t="s">
        <v>116</v>
      </c>
      <c r="E255" s="210"/>
      <c r="F255" s="113" t="s">
        <v>389</v>
      </c>
      <c r="I255" s="57"/>
    </row>
    <row r="256" spans="1:12" x14ac:dyDescent="0.3">
      <c r="A256" s="66" t="s">
        <v>40</v>
      </c>
      <c r="B256" s="349">
        <f>IF(Vout=Vref,100000000,Vref*B255/((Vout-Vref)))</f>
        <v>800000</v>
      </c>
      <c r="C256" s="210" t="s">
        <v>116</v>
      </c>
      <c r="D256" s="625"/>
      <c r="E256" s="210"/>
      <c r="F256" s="113" t="s">
        <v>388</v>
      </c>
      <c r="I256" s="57"/>
    </row>
    <row r="257" spans="1:9" ht="12.5" x14ac:dyDescent="0.25">
      <c r="A257" s="56" t="s">
        <v>136</v>
      </c>
      <c r="B257" s="68">
        <f>IF(Vout=Vref,"N/A",CHOOSE(VOUT_setting,'Standard Value Calculator'!S11,471000,792000,177000))</f>
        <v>792000</v>
      </c>
      <c r="C257" s="210" t="s">
        <v>116</v>
      </c>
      <c r="E257" s="210"/>
      <c r="F257" s="113" t="s">
        <v>387</v>
      </c>
      <c r="I257" s="57"/>
    </row>
    <row r="258" spans="1:9" ht="12.5" x14ac:dyDescent="0.25">
      <c r="B258" s="685"/>
      <c r="C258" s="210"/>
      <c r="E258" s="210"/>
      <c r="F258" s="113"/>
      <c r="I258" s="57"/>
    </row>
    <row r="259" spans="1:9" ht="12.5" x14ac:dyDescent="0.25">
      <c r="A259" t="s">
        <v>840</v>
      </c>
      <c r="B259" s="305">
        <v>20000</v>
      </c>
      <c r="C259" s="210" t="s">
        <v>116</v>
      </c>
      <c r="E259" s="210"/>
      <c r="F259" s="113"/>
      <c r="I259" s="57"/>
    </row>
    <row r="260" spans="1:9" ht="12.5" x14ac:dyDescent="0.25">
      <c r="A260" t="s">
        <v>841</v>
      </c>
      <c r="B260" s="69">
        <v>3.67E-13</v>
      </c>
      <c r="C260" t="s">
        <v>24</v>
      </c>
      <c r="E260" s="210"/>
      <c r="F260" s="113"/>
      <c r="I260" s="57"/>
    </row>
    <row r="261" spans="1:9" ht="12.5" x14ac:dyDescent="0.25">
      <c r="A261" t="s">
        <v>842</v>
      </c>
      <c r="B261" s="69">
        <v>2.1999999999999999E-12</v>
      </c>
      <c r="C261" t="s">
        <v>24</v>
      </c>
      <c r="E261" s="210"/>
      <c r="F261" s="113"/>
      <c r="I261" s="57"/>
    </row>
    <row r="262" spans="1:9" ht="12.5" x14ac:dyDescent="0.25">
      <c r="B262" s="685"/>
      <c r="C262" s="210"/>
      <c r="E262" s="210"/>
      <c r="F262" s="113"/>
      <c r="I262" s="57"/>
    </row>
    <row r="263" spans="1:9" ht="12.5" x14ac:dyDescent="0.25">
      <c r="A263" s="113" t="s">
        <v>836</v>
      </c>
      <c r="B263" s="687">
        <f>1/(2*Pi*Rff*Cff)</f>
        <v>21683234.778440922</v>
      </c>
      <c r="C263" s="113" t="s">
        <v>9</v>
      </c>
      <c r="E263" s="210"/>
      <c r="F263" s="113"/>
      <c r="I263" s="57"/>
    </row>
    <row r="264" spans="1:9" ht="12.5" x14ac:dyDescent="0.25">
      <c r="A264" s="113" t="s">
        <v>837</v>
      </c>
      <c r="B264" s="687">
        <f>1/(2*Pi*Rfb1_*Cfb)</f>
        <v>28937.262413410252</v>
      </c>
      <c r="C264" s="113" t="s">
        <v>9</v>
      </c>
      <c r="E264" s="210"/>
      <c r="F264" s="113"/>
      <c r="I264" s="57"/>
    </row>
    <row r="265" spans="1:9" ht="12.5" x14ac:dyDescent="0.25">
      <c r="A265" s="113" t="s">
        <v>838</v>
      </c>
      <c r="B265" s="687">
        <f>1/(2*Pi*Rfb2_u*Cfb)</f>
        <v>91342.368729199035</v>
      </c>
      <c r="C265" s="113" t="s">
        <v>9</v>
      </c>
      <c r="E265" s="210"/>
      <c r="F265" s="113"/>
      <c r="I265" s="57"/>
    </row>
    <row r="266" spans="1:9" ht="12.5" x14ac:dyDescent="0.25">
      <c r="A266" s="113" t="s">
        <v>839</v>
      </c>
      <c r="B266" s="687">
        <f>1/(2*Pi*Rff*Cfb)</f>
        <v>3617157.8016762817</v>
      </c>
      <c r="C266" s="113" t="s">
        <v>9</v>
      </c>
      <c r="E266" s="210"/>
      <c r="F266" s="113"/>
      <c r="I266" s="57"/>
    </row>
    <row r="267" spans="1:9" ht="12.5" x14ac:dyDescent="0.25">
      <c r="A267" s="113" t="s">
        <v>848</v>
      </c>
      <c r="B267" s="687">
        <f>1/(2*Pi*Cff*Rfb1_)</f>
        <v>173465.8782275274</v>
      </c>
      <c r="C267" s="113" t="s">
        <v>9</v>
      </c>
      <c r="E267" s="210"/>
      <c r="F267" s="113"/>
      <c r="I267" s="57"/>
    </row>
    <row r="268" spans="1:9" ht="12.5" x14ac:dyDescent="0.25">
      <c r="A268" t="s">
        <v>843</v>
      </c>
      <c r="B268" s="685">
        <f>2*Pi*Cfb*(Rff+Rfb1_)/(Rff*Rfb1_)</f>
        <v>6.96679586064E-16</v>
      </c>
      <c r="C268" s="113" t="s">
        <v>9</v>
      </c>
      <c r="E268" s="210"/>
      <c r="F268" s="113"/>
      <c r="I268" s="57"/>
    </row>
    <row r="269" spans="1:9" ht="12.5" x14ac:dyDescent="0.25">
      <c r="B269" s="685"/>
      <c r="C269" s="113"/>
      <c r="E269" s="210"/>
      <c r="F269" s="113"/>
      <c r="I269" s="57"/>
    </row>
    <row r="270" spans="1:9" ht="12.5" x14ac:dyDescent="0.25">
      <c r="B270" s="685"/>
      <c r="C270" s="113"/>
      <c r="E270" s="210"/>
      <c r="F270" s="113"/>
      <c r="I270" s="57"/>
    </row>
    <row r="271" spans="1:9" ht="13.5" thickBot="1" x14ac:dyDescent="0.35">
      <c r="A271" s="371"/>
      <c r="B271" s="686"/>
      <c r="C271" s="71"/>
      <c r="D271" s="61"/>
      <c r="E271" s="71"/>
      <c r="F271" s="61"/>
      <c r="G271" s="61"/>
      <c r="H271" s="61"/>
      <c r="I271" s="62"/>
    </row>
    <row r="272" spans="1:9" x14ac:dyDescent="0.3">
      <c r="A272" s="1"/>
      <c r="B272" s="46"/>
      <c r="C272" s="46"/>
      <c r="E272" s="46"/>
    </row>
    <row r="273" spans="1:9" x14ac:dyDescent="0.3">
      <c r="A273" s="66" t="s">
        <v>169</v>
      </c>
      <c r="B273" s="1"/>
      <c r="C273"/>
    </row>
    <row r="274" spans="1:9" x14ac:dyDescent="0.3">
      <c r="A274" s="66" t="s">
        <v>170</v>
      </c>
      <c r="B274" s="2">
        <v>0</v>
      </c>
      <c r="C274" s="210" t="s">
        <v>116</v>
      </c>
      <c r="D274" s="113" t="s">
        <v>262</v>
      </c>
    </row>
    <row r="275" spans="1:9" x14ac:dyDescent="0.3">
      <c r="A275" s="66" t="s">
        <v>173</v>
      </c>
      <c r="B275" s="369" t="e">
        <f>0.00000002*Fsw*0.6*4/Iripple1</f>
        <v>#NAME?</v>
      </c>
      <c r="C275" s="46"/>
      <c r="E275" s="46"/>
    </row>
    <row r="276" spans="1:9" x14ac:dyDescent="0.3">
      <c r="A276" s="66" t="s">
        <v>172</v>
      </c>
      <c r="B276" s="369" t="e">
        <f>_Don2*RdsonTop+Doff2*RdsonBot</f>
        <v>#NAME?</v>
      </c>
      <c r="C276" s="46"/>
      <c r="E276" s="46"/>
    </row>
    <row r="277" spans="1:9" x14ac:dyDescent="0.3">
      <c r="A277" s="66" t="s">
        <v>171</v>
      </c>
      <c r="B277" s="369" t="e">
        <f>B278*Vin^2*Fsw/2/(((Iripple1/SQRT(3))^2))</f>
        <v>#NAME?</v>
      </c>
      <c r="C277" s="46"/>
      <c r="E277" s="46"/>
    </row>
    <row r="278" spans="1:9" x14ac:dyDescent="0.3">
      <c r="A278" s="66" t="s">
        <v>174</v>
      </c>
      <c r="B278" s="370">
        <v>5.0000000000000001E-9</v>
      </c>
      <c r="C278" s="46"/>
      <c r="E278" s="46"/>
    </row>
    <row r="279" spans="1:9" x14ac:dyDescent="0.3">
      <c r="A279" s="2"/>
      <c r="B279" s="370"/>
      <c r="C279" s="46"/>
      <c r="E279" s="46"/>
    </row>
    <row r="280" spans="1:9" ht="16" thickBot="1" x14ac:dyDescent="0.4">
      <c r="A280" s="509" t="s">
        <v>764</v>
      </c>
    </row>
    <row r="281" spans="1:9" x14ac:dyDescent="0.3">
      <c r="A281" s="361"/>
      <c r="B281" s="362"/>
      <c r="C281" s="363"/>
      <c r="D281" s="364"/>
      <c r="E281" s="63"/>
      <c r="F281" s="63"/>
      <c r="G281" s="63"/>
      <c r="H281" s="63"/>
      <c r="I281" s="64"/>
    </row>
    <row r="282" spans="1:9" x14ac:dyDescent="0.3">
      <c r="A282" s="113" t="s">
        <v>771</v>
      </c>
      <c r="B282" s="397">
        <f>20*LOG10(Vinripple2*1000000)</f>
        <v>107.44749014444535</v>
      </c>
      <c r="C282" s="1" t="s">
        <v>770</v>
      </c>
      <c r="E282" s="46"/>
      <c r="I282" s="57"/>
    </row>
    <row r="283" spans="1:9" x14ac:dyDescent="0.3">
      <c r="A283" s="113" t="s">
        <v>772</v>
      </c>
      <c r="B283" s="359" t="e">
        <f>CHOOSE(OSC,35,50)</f>
        <v>#VALUE!</v>
      </c>
      <c r="C283" s="1" t="s">
        <v>770</v>
      </c>
      <c r="D283" s="113" t="s">
        <v>850</v>
      </c>
      <c r="E283" s="46"/>
      <c r="I283" s="57"/>
    </row>
    <row r="284" spans="1:9" x14ac:dyDescent="0.3">
      <c r="A284" s="113" t="s">
        <v>773</v>
      </c>
      <c r="B284" s="397" t="e">
        <f>VinRipple_dBuV-B283+3</f>
        <v>#VALUE!</v>
      </c>
      <c r="C284" s="1" t="s">
        <v>770</v>
      </c>
      <c r="D284" s="113" t="s">
        <v>851</v>
      </c>
      <c r="E284" s="46"/>
      <c r="I284" s="57"/>
    </row>
    <row r="285" spans="1:9" x14ac:dyDescent="0.3">
      <c r="A285" s="113" t="s">
        <v>774</v>
      </c>
      <c r="B285" s="647" t="e">
        <f>Fsw/(POWER(10,Attn_req/40))</f>
        <v>#VALUE!</v>
      </c>
      <c r="C285" s="46" t="s">
        <v>9</v>
      </c>
      <c r="D285" s="113" t="s">
        <v>852</v>
      </c>
      <c r="E285" s="46"/>
      <c r="I285" s="57"/>
    </row>
    <row r="286" spans="1:9" x14ac:dyDescent="0.3">
      <c r="A286" s="113"/>
      <c r="B286" s="370"/>
      <c r="C286" s="46"/>
      <c r="E286" s="46"/>
      <c r="I286" s="57"/>
    </row>
    <row r="287" spans="1:9" x14ac:dyDescent="0.3">
      <c r="A287" s="113" t="s">
        <v>775</v>
      </c>
      <c r="B287" s="358">
        <f>'Design Regulator'!E49</f>
        <v>0.68</v>
      </c>
      <c r="C287" s="370" t="s">
        <v>10</v>
      </c>
      <c r="D287" s="113" t="s">
        <v>853</v>
      </c>
      <c r="E287" s="46"/>
      <c r="I287" s="57"/>
    </row>
    <row r="288" spans="1:9" x14ac:dyDescent="0.3">
      <c r="A288" s="113"/>
      <c r="B288" s="397"/>
      <c r="C288" s="46"/>
      <c r="E288" s="46"/>
      <c r="I288" s="57"/>
    </row>
    <row r="289" spans="1:9" x14ac:dyDescent="0.3">
      <c r="A289" s="113" t="s">
        <v>767</v>
      </c>
      <c r="B289" s="113" t="e">
        <f>CHOOSE(OSC,20,100)</f>
        <v>#VALUE!</v>
      </c>
      <c r="C289" s="46"/>
      <c r="E289" s="46"/>
      <c r="I289" s="57"/>
    </row>
    <row r="290" spans="1:9" x14ac:dyDescent="0.3">
      <c r="A290" s="113" t="s">
        <v>768</v>
      </c>
      <c r="B290" s="113">
        <v>3</v>
      </c>
      <c r="C290" s="46"/>
      <c r="E290" s="46"/>
      <c r="F290" s="113" t="s">
        <v>855</v>
      </c>
      <c r="I290" s="57"/>
    </row>
    <row r="291" spans="1:9" x14ac:dyDescent="0.3">
      <c r="A291" s="113"/>
      <c r="B291" s="397"/>
      <c r="C291" s="46"/>
      <c r="E291" s="46"/>
      <c r="I291" s="57"/>
    </row>
    <row r="292" spans="1:9" x14ac:dyDescent="0.3">
      <c r="A292" s="113" t="s">
        <v>806</v>
      </c>
      <c r="B292" s="397" t="e">
        <f>1000000/(LinfilterPssv*POWER(2*Pi*Fx_infilter,2))</f>
        <v>#VALUE!</v>
      </c>
      <c r="C292" s="46" t="s">
        <v>23</v>
      </c>
      <c r="D292">
        <f>'Design Input Filter'!G9*0.000001</f>
        <v>6.8E-8</v>
      </c>
      <c r="E292" s="46"/>
      <c r="I292" s="57"/>
    </row>
    <row r="293" spans="1:9" ht="14.5" x14ac:dyDescent="0.35">
      <c r="A293" s="113" t="s">
        <v>765</v>
      </c>
      <c r="B293" s="397" t="e">
        <f>1000000/(L_infilter*Gop_AEF*0.000001*POWER(2*Pi*Fx_infilter,2))</f>
        <v>#VALUE!</v>
      </c>
      <c r="C293" s="46" t="s">
        <v>23</v>
      </c>
      <c r="D293" s="660" t="e">
        <f>'Design Regulator'!#REF!*0.000001</f>
        <v>#REF!</v>
      </c>
      <c r="E293" s="46"/>
      <c r="I293" s="57"/>
    </row>
    <row r="294" spans="1:9" x14ac:dyDescent="0.3">
      <c r="A294" s="113"/>
      <c r="B294" s="397"/>
      <c r="C294" s="46"/>
      <c r="E294" s="46"/>
      <c r="I294" s="57"/>
    </row>
    <row r="295" spans="1:9" x14ac:dyDescent="0.3">
      <c r="A295" s="113" t="s">
        <v>769</v>
      </c>
      <c r="B295" s="397" t="e">
        <f>CHOOSE(OSC,0,Cinj_AEF/nAEF)</f>
        <v>#VALUE!</v>
      </c>
      <c r="C295" s="46" t="s">
        <v>23</v>
      </c>
      <c r="D295" t="e">
        <f>'Design Regulator'!#REF!*0.000001</f>
        <v>#REF!</v>
      </c>
      <c r="E295" s="46"/>
      <c r="I295" s="57"/>
    </row>
    <row r="296" spans="1:9" x14ac:dyDescent="0.3">
      <c r="A296" s="113" t="s">
        <v>766</v>
      </c>
      <c r="B296" s="397" t="e">
        <f>CHOOSE(OSC,SQRT(L_infilter*Gop_AEF/(Cinj_AEF)),1.09*SQRT(L_infilter*Gop_AEF/Cinj_AEF))</f>
        <v>#VALUE!</v>
      </c>
      <c r="C296" s="370" t="s">
        <v>138</v>
      </c>
      <c r="D296" t="e">
        <f>'Design Regulator'!#REF!</f>
        <v>#REF!</v>
      </c>
      <c r="E296" s="46"/>
      <c r="I296" s="57"/>
    </row>
    <row r="297" spans="1:9" x14ac:dyDescent="0.3">
      <c r="A297" s="113" t="s">
        <v>776</v>
      </c>
      <c r="B297" s="113" t="e">
        <f>CHOOSE(OSC,5,1)</f>
        <v>#VALUE!</v>
      </c>
      <c r="C297" s="370" t="s">
        <v>141</v>
      </c>
      <c r="D297" t="e">
        <f>B297*0.000000001</f>
        <v>#VALUE!</v>
      </c>
      <c r="E297" s="46"/>
      <c r="F297" s="113" t="s">
        <v>854</v>
      </c>
      <c r="I297" s="57"/>
    </row>
    <row r="298" spans="1:9" x14ac:dyDescent="0.3">
      <c r="A298" s="113" t="s">
        <v>777</v>
      </c>
      <c r="B298" s="113" t="e">
        <f>CHOOSE(OSC,200,1000)</f>
        <v>#VALUE!</v>
      </c>
      <c r="C298" s="370" t="s">
        <v>138</v>
      </c>
      <c r="E298" s="46"/>
      <c r="I298" s="57"/>
    </row>
    <row r="299" spans="1:9" x14ac:dyDescent="0.3">
      <c r="A299" s="113" t="s">
        <v>778</v>
      </c>
      <c r="B299" s="113" t="e">
        <f>Gop_AEF*B297</f>
        <v>#VALUE!</v>
      </c>
      <c r="C299" s="370" t="s">
        <v>141</v>
      </c>
      <c r="D299" t="e">
        <f>B299*0.000000001</f>
        <v>#VALUE!</v>
      </c>
      <c r="E299" s="46"/>
      <c r="I299" s="57"/>
    </row>
    <row r="300" spans="1:9" x14ac:dyDescent="0.3">
      <c r="A300" s="113"/>
      <c r="B300" s="113"/>
      <c r="C300" s="370"/>
      <c r="E300" s="46"/>
      <c r="I300" s="57"/>
    </row>
    <row r="301" spans="1:9" x14ac:dyDescent="0.3">
      <c r="A301" s="113" t="s">
        <v>908</v>
      </c>
      <c r="B301" s="113">
        <f>SQRT(L_infilter*0.000001/Cin)</f>
        <v>0.38036936136317523</v>
      </c>
      <c r="C301" s="370"/>
      <c r="D301" s="4">
        <f>'Standard Value Calculator'!S14</f>
        <v>0.38300000000000001</v>
      </c>
      <c r="E301" s="46"/>
      <c r="I301" s="57"/>
    </row>
    <row r="302" spans="1:9" x14ac:dyDescent="0.3">
      <c r="A302" s="2"/>
      <c r="B302" s="113"/>
      <c r="C302" s="46"/>
      <c r="E302" s="46"/>
      <c r="I302" s="57"/>
    </row>
    <row r="303" spans="1:9" x14ac:dyDescent="0.3">
      <c r="A303" s="2" t="s">
        <v>785</v>
      </c>
      <c r="B303" s="113">
        <f>'Input Filter Calculations'!W97</f>
        <v>0</v>
      </c>
      <c r="C303" s="1" t="s">
        <v>770</v>
      </c>
      <c r="E303" s="46"/>
      <c r="I303" s="57"/>
    </row>
    <row r="304" spans="1:9" x14ac:dyDescent="0.3">
      <c r="A304" s="2" t="s">
        <v>802</v>
      </c>
      <c r="B304" s="113">
        <f>VinRipple_dBuV+B303</f>
        <v>107.44749014444535</v>
      </c>
      <c r="C304" s="1" t="s">
        <v>770</v>
      </c>
      <c r="E304" s="46"/>
      <c r="I304" s="57"/>
    </row>
    <row r="305" spans="1:9" ht="13.5" thickBot="1" x14ac:dyDescent="0.35">
      <c r="A305" s="371"/>
      <c r="B305" s="371"/>
      <c r="C305" s="71"/>
      <c r="D305" s="61"/>
      <c r="E305" s="71"/>
      <c r="F305" s="61"/>
      <c r="G305" s="61"/>
      <c r="H305" s="61"/>
      <c r="I305" s="62"/>
    </row>
    <row r="306" spans="1:9" x14ac:dyDescent="0.3">
      <c r="A306" s="1"/>
      <c r="B306" s="46"/>
      <c r="C306" s="46"/>
      <c r="E306" s="46"/>
    </row>
    <row r="307" spans="1:9" ht="16" thickBot="1" x14ac:dyDescent="0.4">
      <c r="A307" s="91" t="s">
        <v>190</v>
      </c>
    </row>
    <row r="308" spans="1:9" x14ac:dyDescent="0.3">
      <c r="A308" s="208" t="s">
        <v>586</v>
      </c>
      <c r="B308" s="63">
        <v>0</v>
      </c>
      <c r="C308" s="288"/>
      <c r="D308" s="63"/>
      <c r="E308" s="63"/>
      <c r="F308" s="63"/>
      <c r="G308" s="63"/>
      <c r="H308" s="63"/>
      <c r="I308" s="64"/>
    </row>
    <row r="309" spans="1:9" x14ac:dyDescent="0.3">
      <c r="A309" s="66" t="s">
        <v>55</v>
      </c>
      <c r="I309" s="57"/>
    </row>
    <row r="310" spans="1:9" ht="12.5" x14ac:dyDescent="0.25">
      <c r="A310" s="56" t="s">
        <v>83</v>
      </c>
      <c r="B310" s="29">
        <f>'Design Regulator'!E13</f>
        <v>25</v>
      </c>
      <c r="C310" s="113" t="s">
        <v>223</v>
      </c>
      <c r="D310" t="s">
        <v>96</v>
      </c>
      <c r="I310" s="57"/>
    </row>
    <row r="311" spans="1:9" x14ac:dyDescent="0.3">
      <c r="A311" s="66" t="s">
        <v>58</v>
      </c>
      <c r="C311"/>
      <c r="I311" s="57"/>
    </row>
    <row r="312" spans="1:9" ht="12.5" x14ac:dyDescent="0.25">
      <c r="A312" s="56" t="s">
        <v>82</v>
      </c>
      <c r="B312" s="59">
        <f>4000/1000000</f>
        <v>4.0000000000000001E-3</v>
      </c>
      <c r="C312" s="113" t="s">
        <v>271</v>
      </c>
      <c r="D312" s="113" t="s">
        <v>465</v>
      </c>
      <c r="I312" s="57"/>
    </row>
    <row r="313" spans="1:9" ht="15.5" x14ac:dyDescent="0.4">
      <c r="A313" s="209" t="s">
        <v>462</v>
      </c>
      <c r="B313" s="59">
        <v>20</v>
      </c>
      <c r="C313" s="113" t="s">
        <v>202</v>
      </c>
      <c r="D313" s="113" t="s">
        <v>463</v>
      </c>
      <c r="I313" s="57"/>
    </row>
    <row r="314" spans="1:9" ht="12.5" x14ac:dyDescent="0.25">
      <c r="A314" s="56" t="s">
        <v>86</v>
      </c>
      <c r="B314" s="29">
        <f>RCinEsr</f>
        <v>3.0000000000000001E-3</v>
      </c>
      <c r="C314" s="210" t="s">
        <v>116</v>
      </c>
      <c r="D314" s="113" t="s">
        <v>464</v>
      </c>
      <c r="I314" s="57"/>
    </row>
    <row r="315" spans="1:9" ht="12.5" x14ac:dyDescent="0.25">
      <c r="A315" s="56"/>
      <c r="B315" s="29"/>
      <c r="C315" s="210"/>
      <c r="D315" s="113"/>
      <c r="I315" s="57"/>
    </row>
    <row r="316" spans="1:9" x14ac:dyDescent="0.3">
      <c r="A316" s="65" t="s">
        <v>666</v>
      </c>
      <c r="C316"/>
      <c r="I316" s="57"/>
    </row>
    <row r="317" spans="1:9" x14ac:dyDescent="0.3">
      <c r="A317" s="209" t="s">
        <v>640</v>
      </c>
      <c r="B317" s="59">
        <v>5</v>
      </c>
      <c r="C317" t="s">
        <v>0</v>
      </c>
      <c r="D317" s="350" t="s">
        <v>664</v>
      </c>
      <c r="I317" s="57"/>
    </row>
    <row r="318" spans="1:9" x14ac:dyDescent="0.3">
      <c r="A318" s="66" t="s">
        <v>112</v>
      </c>
      <c r="C318"/>
      <c r="I318" s="57"/>
    </row>
    <row r="319" spans="1:9" ht="12.5" x14ac:dyDescent="0.25">
      <c r="A319" s="56" t="s">
        <v>61</v>
      </c>
      <c r="B319" s="59">
        <v>1</v>
      </c>
      <c r="C319" s="210" t="s">
        <v>116</v>
      </c>
      <c r="D319" s="113" t="s">
        <v>390</v>
      </c>
      <c r="I319" s="57"/>
    </row>
    <row r="320" spans="1:9" ht="12.5" x14ac:dyDescent="0.25">
      <c r="A320" s="56" t="s">
        <v>126</v>
      </c>
      <c r="B320" s="59">
        <v>0.5</v>
      </c>
      <c r="C320" s="210" t="s">
        <v>116</v>
      </c>
      <c r="D320" s="113" t="s">
        <v>391</v>
      </c>
      <c r="I320" s="57"/>
    </row>
    <row r="321" spans="1:9" x14ac:dyDescent="0.3">
      <c r="A321" s="66" t="s">
        <v>113</v>
      </c>
      <c r="C321"/>
      <c r="I321" s="57"/>
    </row>
    <row r="322" spans="1:9" ht="12.5" x14ac:dyDescent="0.25">
      <c r="A322" s="56" t="s">
        <v>60</v>
      </c>
      <c r="B322" s="105">
        <v>1</v>
      </c>
      <c r="C322" s="210" t="s">
        <v>116</v>
      </c>
      <c r="D322" s="113" t="s">
        <v>392</v>
      </c>
      <c r="I322" s="57"/>
    </row>
    <row r="323" spans="1:9" ht="12.5" x14ac:dyDescent="0.25">
      <c r="A323" s="56" t="s">
        <v>125</v>
      </c>
      <c r="B323" s="59">
        <v>0.5</v>
      </c>
      <c r="C323" s="210" t="s">
        <v>116</v>
      </c>
      <c r="D323" s="113" t="s">
        <v>393</v>
      </c>
      <c r="I323" s="57"/>
    </row>
    <row r="324" spans="1:9" x14ac:dyDescent="0.3">
      <c r="A324" s="66" t="s">
        <v>62</v>
      </c>
      <c r="C324"/>
      <c r="I324" s="57"/>
    </row>
    <row r="325" spans="1:9" x14ac:dyDescent="0.3">
      <c r="A325" s="56" t="s">
        <v>62</v>
      </c>
      <c r="B325" s="67">
        <v>1.4E-8</v>
      </c>
      <c r="C325" t="s">
        <v>133</v>
      </c>
      <c r="D325" t="s">
        <v>98</v>
      </c>
      <c r="G325" s="350" t="s">
        <v>736</v>
      </c>
      <c r="I325" s="57"/>
    </row>
    <row r="326" spans="1:9" x14ac:dyDescent="0.3">
      <c r="A326" s="66" t="s">
        <v>52</v>
      </c>
      <c r="C326"/>
      <c r="I326" s="57"/>
    </row>
    <row r="327" spans="1:9" ht="12.5" x14ac:dyDescent="0.25">
      <c r="A327" s="56" t="s">
        <v>128</v>
      </c>
      <c r="B327" s="59">
        <v>2.2000000000000001E-6</v>
      </c>
      <c r="C327" t="s">
        <v>1</v>
      </c>
      <c r="D327" s="113" t="s">
        <v>665</v>
      </c>
      <c r="I327" s="57"/>
    </row>
    <row r="328" spans="1:9" ht="12.5" x14ac:dyDescent="0.25">
      <c r="A328" s="56"/>
      <c r="C328"/>
      <c r="I328" s="57"/>
    </row>
    <row r="329" spans="1:9" x14ac:dyDescent="0.3">
      <c r="A329" s="66" t="s">
        <v>663</v>
      </c>
      <c r="B329" s="2" t="s">
        <v>512</v>
      </c>
      <c r="C329"/>
      <c r="D329" s="2" t="s">
        <v>513</v>
      </c>
      <c r="I329" s="57"/>
    </row>
    <row r="330" spans="1:9" ht="12.5" x14ac:dyDescent="0.25">
      <c r="A330" s="209" t="s">
        <v>514</v>
      </c>
      <c r="B330" s="29">
        <f>'Design Regulator'!E82/1000</f>
        <v>8.0000000000000002E-3</v>
      </c>
      <c r="C330" s="210" t="s">
        <v>116</v>
      </c>
      <c r="D330" s="29">
        <f>'Design Regulator'!F82/1000</f>
        <v>5.4999999999999997E-3</v>
      </c>
      <c r="E330" s="210" t="s">
        <v>116</v>
      </c>
      <c r="F330" s="113" t="s">
        <v>668</v>
      </c>
      <c r="I330" s="57"/>
    </row>
    <row r="331" spans="1:9" ht="12.5" x14ac:dyDescent="0.25">
      <c r="A331" s="56" t="s">
        <v>79</v>
      </c>
      <c r="B331" s="59">
        <f>4000/1000000</f>
        <v>4.0000000000000001E-3</v>
      </c>
      <c r="C331" s="113" t="s">
        <v>271</v>
      </c>
      <c r="D331" s="395">
        <v>4.0000000000000001E-3</v>
      </c>
      <c r="E331" s="113" t="s">
        <v>271</v>
      </c>
      <c r="F331" s="113" t="s">
        <v>394</v>
      </c>
      <c r="I331" s="57"/>
    </row>
    <row r="332" spans="1:9" ht="12.5" x14ac:dyDescent="0.25">
      <c r="A332" s="209" t="s">
        <v>122</v>
      </c>
      <c r="B332" s="72">
        <f>'Design Regulator'!E83/1000000000</f>
        <v>2E-8</v>
      </c>
      <c r="C332" t="s">
        <v>134</v>
      </c>
      <c r="D332" s="72">
        <f>'Design Regulator'!F83/1000000000</f>
        <v>2E-8</v>
      </c>
      <c r="E332" t="s">
        <v>134</v>
      </c>
      <c r="F332" s="113" t="s">
        <v>667</v>
      </c>
      <c r="I332" s="57"/>
    </row>
    <row r="333" spans="1:9" ht="12.5" x14ac:dyDescent="0.25">
      <c r="A333" s="209" t="s">
        <v>515</v>
      </c>
      <c r="B333" s="72">
        <f>'Design Regulator'!E84/1000000000</f>
        <v>1.5E-10</v>
      </c>
      <c r="C333" t="s">
        <v>134</v>
      </c>
      <c r="D333" s="72">
        <f>'Design Regulator'!F84/1000000000</f>
        <v>1.5E-10</v>
      </c>
      <c r="E333" t="s">
        <v>134</v>
      </c>
      <c r="F333" t="s">
        <v>121</v>
      </c>
      <c r="I333" s="57"/>
    </row>
    <row r="334" spans="1:9" ht="12.5" x14ac:dyDescent="0.25">
      <c r="A334" s="209" t="s">
        <v>516</v>
      </c>
      <c r="B334" s="72">
        <f>'Design Regulator'!E85/1000000000</f>
        <v>2.8500000000000003E-9</v>
      </c>
      <c r="C334" t="s">
        <v>134</v>
      </c>
      <c r="D334" s="72">
        <f>'Design Regulator'!F85/1000000000</f>
        <v>2.8500000000000003E-9</v>
      </c>
      <c r="E334" t="s">
        <v>134</v>
      </c>
      <c r="F334" t="s">
        <v>719</v>
      </c>
      <c r="I334" s="57"/>
    </row>
    <row r="335" spans="1:9" ht="12.5" x14ac:dyDescent="0.25">
      <c r="A335" s="585" t="s">
        <v>715</v>
      </c>
      <c r="B335" s="72">
        <f>'Design Regulator'!E86/1000000000</f>
        <v>0</v>
      </c>
      <c r="C335" t="s">
        <v>134</v>
      </c>
      <c r="D335" s="72">
        <f>'Design Regulator'!F86/1000000000</f>
        <v>1.1699999999999999E-8</v>
      </c>
      <c r="E335" t="s">
        <v>134</v>
      </c>
      <c r="F335" s="113" t="s">
        <v>717</v>
      </c>
      <c r="I335" s="57"/>
    </row>
    <row r="336" spans="1:9" ht="12.5" x14ac:dyDescent="0.25">
      <c r="A336" s="585" t="s">
        <v>716</v>
      </c>
      <c r="B336" s="72">
        <f>'Design Regulator'!E87/1000000000000</f>
        <v>5.9999999999999997E-13</v>
      </c>
      <c r="C336" t="s">
        <v>24</v>
      </c>
      <c r="D336" s="72">
        <f>'Design Regulator'!F87/1000000000000</f>
        <v>5.9999999999999997E-13</v>
      </c>
      <c r="E336" t="s">
        <v>24</v>
      </c>
      <c r="F336" s="113" t="s">
        <v>718</v>
      </c>
      <c r="I336" s="57"/>
    </row>
    <row r="337" spans="1:9" ht="12.5" x14ac:dyDescent="0.25">
      <c r="A337" s="209" t="s">
        <v>517</v>
      </c>
      <c r="B337" s="29">
        <f>'Design Regulator'!E88</f>
        <v>1.8</v>
      </c>
      <c r="C337" s="210" t="s">
        <v>116</v>
      </c>
      <c r="D337" s="29">
        <f>'Design Regulator'!F88</f>
        <v>1.8</v>
      </c>
      <c r="E337" s="210" t="s">
        <v>116</v>
      </c>
      <c r="F337" t="s">
        <v>100</v>
      </c>
      <c r="I337" s="57"/>
    </row>
    <row r="338" spans="1:9" ht="12.5" x14ac:dyDescent="0.25">
      <c r="A338" s="209" t="s">
        <v>518</v>
      </c>
      <c r="B338" s="29">
        <f>'Design Regulator'!E89</f>
        <v>78</v>
      </c>
      <c r="C338" t="s">
        <v>66</v>
      </c>
      <c r="D338" s="29">
        <f>'Design Regulator'!F89</f>
        <v>78</v>
      </c>
      <c r="E338" t="s">
        <v>66</v>
      </c>
      <c r="F338" s="113" t="s">
        <v>670</v>
      </c>
      <c r="I338" s="57"/>
    </row>
    <row r="339" spans="1:9" ht="12.5" x14ac:dyDescent="0.25">
      <c r="A339" s="209" t="s">
        <v>519</v>
      </c>
      <c r="B339" s="29">
        <f>'Design Regulator'!E90</f>
        <v>1.3</v>
      </c>
      <c r="C339" t="s">
        <v>0</v>
      </c>
      <c r="D339" s="29">
        <f>'Design Regulator'!F90</f>
        <v>1.3</v>
      </c>
      <c r="E339" t="s">
        <v>0</v>
      </c>
      <c r="F339" s="113" t="s">
        <v>671</v>
      </c>
      <c r="I339" s="57"/>
    </row>
    <row r="340" spans="1:9" ht="12.5" x14ac:dyDescent="0.25">
      <c r="A340" s="209" t="s">
        <v>520</v>
      </c>
      <c r="B340" s="376">
        <f>Vth_Q1+(Iout/Number_of_Phases)/Gfs_Q1</f>
        <v>1.3224358974358974</v>
      </c>
      <c r="C340" t="s">
        <v>0</v>
      </c>
      <c r="D340" s="376">
        <f>Vth_Q2+(Iout/Number_of_Phases)/Gfs_Q2</f>
        <v>1.3224358974358974</v>
      </c>
      <c r="E340" t="s">
        <v>0</v>
      </c>
      <c r="F340" s="113" t="s">
        <v>672</v>
      </c>
      <c r="I340" s="57"/>
    </row>
    <row r="341" spans="1:9" ht="12.5" x14ac:dyDescent="0.25">
      <c r="A341" s="56"/>
      <c r="C341"/>
      <c r="F341" s="113"/>
      <c r="I341" s="57"/>
    </row>
    <row r="342" spans="1:9" ht="12.5" x14ac:dyDescent="0.25">
      <c r="A342" s="209" t="s">
        <v>522</v>
      </c>
      <c r="B342" s="29">
        <f>'Design Regulator'!E91</f>
        <v>0.8</v>
      </c>
      <c r="C342" t="s">
        <v>0</v>
      </c>
      <c r="D342" s="29">
        <f>'Design Regulator'!F91</f>
        <v>0.8</v>
      </c>
      <c r="E342" t="s">
        <v>0</v>
      </c>
      <c r="F342" s="113" t="s">
        <v>521</v>
      </c>
      <c r="I342" s="57"/>
    </row>
    <row r="343" spans="1:9" ht="12.5" x14ac:dyDescent="0.25">
      <c r="A343" s="209" t="s">
        <v>482</v>
      </c>
      <c r="B343" s="72"/>
      <c r="C343" t="s">
        <v>134</v>
      </c>
      <c r="D343" s="72">
        <f>'Design Regulator'!F92/1000000000</f>
        <v>1.0199999999999999E-8</v>
      </c>
      <c r="E343" t="s">
        <v>134</v>
      </c>
      <c r="F343" t="s">
        <v>110</v>
      </c>
      <c r="I343" s="57"/>
    </row>
    <row r="344" spans="1:9" ht="12.5" x14ac:dyDescent="0.25">
      <c r="A344" s="209" t="s">
        <v>483</v>
      </c>
      <c r="B344" s="72">
        <v>4.0000000000000001E-8</v>
      </c>
      <c r="C344" t="s">
        <v>133</v>
      </c>
      <c r="D344" s="72">
        <v>4.0000000000000001E-8</v>
      </c>
      <c r="E344" t="s">
        <v>133</v>
      </c>
      <c r="F344" t="s">
        <v>106</v>
      </c>
      <c r="I344" s="57"/>
    </row>
    <row r="345" spans="1:9" ht="12.5" x14ac:dyDescent="0.25">
      <c r="A345" s="209" t="s">
        <v>579</v>
      </c>
      <c r="B345" s="29">
        <f>'Design Regulator'!E93</f>
        <v>55</v>
      </c>
      <c r="C345" s="113" t="s">
        <v>202</v>
      </c>
      <c r="D345" s="29">
        <f>'Design Regulator'!F93</f>
        <v>55</v>
      </c>
      <c r="E345" s="113" t="s">
        <v>202</v>
      </c>
      <c r="F345" s="113" t="s">
        <v>669</v>
      </c>
      <c r="I345" s="57"/>
    </row>
    <row r="346" spans="1:9" ht="12.5" x14ac:dyDescent="0.25">
      <c r="A346" s="209"/>
      <c r="B346" s="29"/>
      <c r="C346" s="113"/>
      <c r="D346" s="29"/>
      <c r="E346" s="113"/>
      <c r="I346" s="57"/>
    </row>
    <row r="347" spans="1:9" ht="12.5" x14ac:dyDescent="0.25">
      <c r="A347" s="209"/>
      <c r="B347" s="113"/>
      <c r="C347" s="113"/>
      <c r="D347" s="113"/>
      <c r="E347" s="113"/>
      <c r="I347" s="57"/>
    </row>
    <row r="348" spans="1:9" ht="12.5" x14ac:dyDescent="0.25">
      <c r="A348" s="209"/>
      <c r="B348" s="29"/>
      <c r="C348" s="113"/>
      <c r="D348" s="29"/>
      <c r="E348" s="113"/>
      <c r="I348" s="57"/>
    </row>
    <row r="349" spans="1:9" x14ac:dyDescent="0.3">
      <c r="A349" s="66" t="s">
        <v>506</v>
      </c>
      <c r="B349" s="472"/>
      <c r="D349" s="472"/>
      <c r="I349" s="57"/>
    </row>
    <row r="350" spans="1:9" ht="12.5" x14ac:dyDescent="0.25">
      <c r="A350" s="56" t="s">
        <v>192</v>
      </c>
      <c r="B350" s="29">
        <f>'Design Regulator'!F96</f>
        <v>0</v>
      </c>
      <c r="C350" t="s">
        <v>0</v>
      </c>
      <c r="D350" s="29" t="e">
        <f>'Design Regulator'!#REF!</f>
        <v>#REF!</v>
      </c>
      <c r="E350" t="s">
        <v>0</v>
      </c>
      <c r="F350" t="s">
        <v>195</v>
      </c>
      <c r="I350" s="57"/>
    </row>
    <row r="351" spans="1:9" ht="12.5" x14ac:dyDescent="0.25">
      <c r="A351" s="56" t="s">
        <v>193</v>
      </c>
      <c r="B351" s="72">
        <f>'Design Regulator'!F97/1000000000</f>
        <v>0</v>
      </c>
      <c r="C351" t="s">
        <v>134</v>
      </c>
      <c r="D351" s="72" t="e">
        <f>'Design Regulator'!#REF!/1000000000</f>
        <v>#REF!</v>
      </c>
      <c r="E351" t="s">
        <v>134</v>
      </c>
      <c r="F351" t="s">
        <v>196</v>
      </c>
      <c r="I351" s="57"/>
    </row>
    <row r="352" spans="1:9" ht="12.5" x14ac:dyDescent="0.25">
      <c r="A352" s="56" t="s">
        <v>194</v>
      </c>
      <c r="B352" s="29">
        <v>0</v>
      </c>
      <c r="C352" t="s">
        <v>1</v>
      </c>
      <c r="D352" s="29">
        <v>0</v>
      </c>
      <c r="E352" t="s">
        <v>1</v>
      </c>
      <c r="F352" t="s">
        <v>197</v>
      </c>
      <c r="I352" s="57"/>
    </row>
    <row r="353" spans="1:9" ht="12.5" x14ac:dyDescent="0.25">
      <c r="A353" s="56"/>
      <c r="C353"/>
      <c r="I353" s="57"/>
    </row>
    <row r="354" spans="1:9" x14ac:dyDescent="0.3">
      <c r="A354" s="66" t="s">
        <v>117</v>
      </c>
      <c r="C354"/>
      <c r="I354" s="57"/>
    </row>
    <row r="355" spans="1:9" ht="12.5" x14ac:dyDescent="0.25">
      <c r="A355" s="209" t="s">
        <v>457</v>
      </c>
      <c r="B355" s="395">
        <v>34.1</v>
      </c>
      <c r="C355" s="113" t="s">
        <v>202</v>
      </c>
      <c r="D355" s="113"/>
      <c r="E355" s="113"/>
      <c r="F355" t="s">
        <v>461</v>
      </c>
      <c r="I355" s="57"/>
    </row>
    <row r="356" spans="1:9" x14ac:dyDescent="0.3">
      <c r="A356" s="66" t="s">
        <v>77</v>
      </c>
      <c r="C356"/>
      <c r="I356" s="57"/>
    </row>
    <row r="357" spans="1:9" ht="12.5" x14ac:dyDescent="0.25">
      <c r="A357" s="209" t="s">
        <v>59</v>
      </c>
      <c r="C357"/>
      <c r="I357" s="57"/>
    </row>
    <row r="358" spans="1:9" ht="12.5" x14ac:dyDescent="0.25">
      <c r="A358" s="56" t="s">
        <v>88</v>
      </c>
      <c r="B358" s="69">
        <f>(Qgd_Q1+Qgs_Q1/2)*(RdsonDRT+Rgate1)/(VCC-Vsp_Q1)</f>
        <v>1.1991633257800243E-9</v>
      </c>
      <c r="C358" t="s">
        <v>133</v>
      </c>
      <c r="D358" s="30"/>
      <c r="I358" s="57"/>
    </row>
    <row r="359" spans="1:9" ht="12.5" x14ac:dyDescent="0.25">
      <c r="A359" s="56" t="s">
        <v>89</v>
      </c>
      <c r="B359" s="69">
        <f>(Qgd_Q1+Qgs_Q1/2)*(RdsonDRT2+Rgate1)/(Vsp_Q1)</f>
        <v>2.7392632089190498E-9</v>
      </c>
      <c r="C359" t="s">
        <v>133</v>
      </c>
      <c r="D359" s="30"/>
      <c r="I359" s="57"/>
    </row>
    <row r="360" spans="1:9" ht="12.5" x14ac:dyDescent="0.25">
      <c r="A360" s="56"/>
      <c r="C360"/>
      <c r="I360" s="57"/>
    </row>
    <row r="361" spans="1:9" x14ac:dyDescent="0.3">
      <c r="A361" s="66" t="s">
        <v>400</v>
      </c>
      <c r="B361" s="2" t="s">
        <v>7</v>
      </c>
      <c r="C361" s="2" t="s">
        <v>76</v>
      </c>
      <c r="I361" s="57"/>
    </row>
    <row r="362" spans="1:9" ht="12.5" x14ac:dyDescent="0.25">
      <c r="A362" s="58" t="s">
        <v>115</v>
      </c>
      <c r="B362" s="3">
        <f>CHOOSE(Ext_VCC, (Qg_Q1+Qg_Q2)*Fsw*VCC, (Qg_Q1+Qg_Q2)*Fsw*Vin)</f>
        <v>0.10709952</v>
      </c>
      <c r="C362" s="3" t="s">
        <v>116</v>
      </c>
      <c r="I362" s="57"/>
    </row>
    <row r="363" spans="1:9" ht="12.5" x14ac:dyDescent="0.25">
      <c r="A363" s="58" t="s">
        <v>119</v>
      </c>
      <c r="B363" s="584">
        <f>B362*ThetaJaCtrl</f>
        <v>3.6520936320000001</v>
      </c>
      <c r="C363" s="113" t="s">
        <v>223</v>
      </c>
      <c r="I363" s="57"/>
    </row>
    <row r="364" spans="1:9" ht="12.5" x14ac:dyDescent="0.25">
      <c r="A364" s="209" t="s">
        <v>703</v>
      </c>
      <c r="B364" s="584">
        <f>B363 + Ta</f>
        <v>28.652093632</v>
      </c>
      <c r="C364" s="113" t="s">
        <v>223</v>
      </c>
      <c r="I364" s="57"/>
    </row>
    <row r="365" spans="1:9" ht="12.5" x14ac:dyDescent="0.25">
      <c r="A365" s="585"/>
      <c r="B365" s="584"/>
      <c r="C365" s="113"/>
      <c r="I365" s="57"/>
    </row>
    <row r="366" spans="1:9" ht="12.5" x14ac:dyDescent="0.25">
      <c r="A366" s="58" t="s">
        <v>207</v>
      </c>
      <c r="B366" s="42">
        <f>(Qg_Q1+Qg_Q2)*Fsw+Iq</f>
        <v>1.6229400000000001E-2</v>
      </c>
      <c r="C366" t="s">
        <v>1</v>
      </c>
      <c r="I366" s="57"/>
    </row>
    <row r="367" spans="1:9" ht="12.5" x14ac:dyDescent="0.25">
      <c r="A367" s="58" t="s">
        <v>208</v>
      </c>
      <c r="B367">
        <f>Qrr_Q2*Fsw</f>
        <v>4.1379359999999992E-3</v>
      </c>
      <c r="C367" t="s">
        <v>1</v>
      </c>
      <c r="I367" s="57"/>
    </row>
    <row r="368" spans="1:9" ht="12.5" x14ac:dyDescent="0.25">
      <c r="A368" s="58" t="s">
        <v>209</v>
      </c>
      <c r="B368" t="e">
        <f>C368/Vin</f>
        <v>#NAME?</v>
      </c>
      <c r="C368" t="e">
        <f>Deadtime*Fsw*(Ipp/2)*(Vsd_Q1+Vsd_Q2)</f>
        <v>#NAME?</v>
      </c>
      <c r="I368" s="57"/>
    </row>
    <row r="369" spans="1:9" ht="12.5" x14ac:dyDescent="0.25">
      <c r="A369" s="58" t="s">
        <v>211</v>
      </c>
      <c r="B369" t="e">
        <f>SUM(B366:B368)</f>
        <v>#NAME?</v>
      </c>
      <c r="C369" t="s">
        <v>1</v>
      </c>
      <c r="I369" s="57"/>
    </row>
    <row r="370" spans="1:9" x14ac:dyDescent="0.3">
      <c r="A370" s="56"/>
      <c r="I370" s="57"/>
    </row>
    <row r="371" spans="1:9" x14ac:dyDescent="0.3">
      <c r="A371" s="66" t="s">
        <v>427</v>
      </c>
      <c r="I371" s="57"/>
    </row>
    <row r="372" spans="1:9" x14ac:dyDescent="0.3">
      <c r="A372" s="56" t="s">
        <v>114</v>
      </c>
      <c r="I372" s="57"/>
    </row>
    <row r="373" spans="1:9" ht="13.5" thickBot="1" x14ac:dyDescent="0.35">
      <c r="A373" s="60" t="s">
        <v>115</v>
      </c>
      <c r="B373" s="61"/>
      <c r="C373" s="289"/>
      <c r="D373" s="61"/>
      <c r="E373" s="61"/>
      <c r="F373" s="61"/>
      <c r="G373" s="61"/>
      <c r="H373" s="61"/>
      <c r="I373" s="62"/>
    </row>
    <row r="374" spans="1:9" x14ac:dyDescent="0.3">
      <c r="A374" s="1"/>
      <c r="B374" s="1"/>
      <c r="C374" s="1"/>
    </row>
    <row r="375" spans="1:9" ht="21.75" customHeight="1" thickBot="1" x14ac:dyDescent="0.4">
      <c r="A375" s="88" t="s">
        <v>203</v>
      </c>
      <c r="D375" s="2"/>
    </row>
    <row r="376" spans="1:9" x14ac:dyDescent="0.3">
      <c r="A376" s="89" t="str">
        <f>"RC1 = "&amp;'Design Regulator'!D71&amp;"kΩ"</f>
        <v>RC1 = 5.11kΩ</v>
      </c>
      <c r="B376" s="63" t="str">
        <f>'Design Regulator'!D71&amp;"kΩ"</f>
        <v>5.11kΩ</v>
      </c>
      <c r="C376" s="288"/>
      <c r="D376" s="283" t="str">
        <f>'Design Regulator'!D74&amp;"kΩ"</f>
        <v>kΩ</v>
      </c>
      <c r="E376" s="63"/>
      <c r="F376" s="63"/>
      <c r="G376" s="63"/>
      <c r="H376" s="63"/>
      <c r="I376" s="64"/>
    </row>
    <row r="377" spans="1:9" x14ac:dyDescent="0.3">
      <c r="A377" s="56" t="str">
        <f>"RC2 = "&amp;'Design Regulator'!D74&amp;"kΩ"</f>
        <v>RC2 = kΩ</v>
      </c>
      <c r="B377" t="str">
        <f>'Design Regulator'!D74&amp;"kΩ"</f>
        <v>kΩ</v>
      </c>
      <c r="I377" s="57"/>
    </row>
    <row r="378" spans="1:9" x14ac:dyDescent="0.3">
      <c r="A378" s="56"/>
      <c r="I378" s="57"/>
    </row>
    <row r="379" spans="1:9" x14ac:dyDescent="0.3">
      <c r="A379" s="56" t="str">
        <f>"Lo = "&amp;'Design Regulator'!E27&amp;"µH"</f>
        <v>Lo = 6.8µH</v>
      </c>
      <c r="B379" t="str">
        <f>'Design Regulator'!E27&amp;"µH"</f>
        <v>6.8µH</v>
      </c>
      <c r="D379" t="str">
        <f>IF(MODE = 1, 'Design Regulator'!I27&amp;"µH", 'Design Regulator'!E27&amp;"µH")</f>
        <v>µH</v>
      </c>
      <c r="I379" s="57"/>
    </row>
    <row r="380" spans="1:9" x14ac:dyDescent="0.3">
      <c r="A380" s="56" t="str">
        <f>"Rdcr = "&amp;Rdcr*1000&amp;"mΩ"</f>
        <v>Rdcr = 4.1mΩ</v>
      </c>
      <c r="B380" t="str">
        <f>Rdcr*1000&amp;"mΩ"</f>
        <v>4.1mΩ</v>
      </c>
      <c r="D380" t="str">
        <f>IF(MODE=1, Rdcr2*1000&amp;"mΩ", Rdcr*1000&amp;"mΩ")</f>
        <v>0mΩ</v>
      </c>
      <c r="I380" s="57"/>
    </row>
    <row r="381" spans="1:9" x14ac:dyDescent="0.3">
      <c r="A381" s="56" t="str">
        <f>"Rs = "&amp;'Design Regulator'!E18&amp;"mΩ"</f>
        <v>Rs = 25mΩ</v>
      </c>
      <c r="B381" t="str">
        <f>'Design Regulator'!E18&amp;"mΩ"</f>
        <v>25mΩ</v>
      </c>
      <c r="D381" t="str">
        <f>IF(MODE = 1, 'Design Regulator'!I18&amp;"mΩ", 'Design Regulator'!E18&amp;"mΩ")</f>
        <v>mΩ</v>
      </c>
      <c r="I381" s="57"/>
    </row>
    <row r="382" spans="1:9" x14ac:dyDescent="0.3">
      <c r="A382" s="670"/>
      <c r="I382" s="57"/>
    </row>
    <row r="383" spans="1:9" x14ac:dyDescent="0.3">
      <c r="A383" s="585" t="s">
        <v>917</v>
      </c>
      <c r="B383" t="str">
        <f>IF(VIN_max&gt;42,"LM5148(-Q1)","LM25148(-Q1)")</f>
        <v>LM25148(-Q1)</v>
      </c>
      <c r="I383" s="57"/>
    </row>
    <row r="384" spans="1:9" x14ac:dyDescent="0.3">
      <c r="A384" s="56"/>
      <c r="I384" s="57"/>
    </row>
    <row r="385" spans="1:9" ht="12.5" x14ac:dyDescent="0.25">
      <c r="A385" s="670" t="str">
        <f>IF((INFILTER_TYPE=1),"AEF IS DISABLED!","AEF")</f>
        <v>AEF IS DISABLED!</v>
      </c>
      <c r="B385" s="113" t="str">
        <f>IF((INFILTER_TYPE=1),"","0.1µF")</f>
        <v/>
      </c>
      <c r="C385" s="113" t="str">
        <f>IF((INFILTER_TYPE=1),"","0.47Ω")</f>
        <v/>
      </c>
      <c r="D385" t="str">
        <f>IF((INFILTER_TYPE=1),"","3Ω")</f>
        <v/>
      </c>
      <c r="E385" t="str">
        <f>IF((INFILTER_TYPE=1),"","50kΩ")</f>
        <v/>
      </c>
      <c r="I385" s="57"/>
    </row>
    <row r="386" spans="1:9" ht="12.5" x14ac:dyDescent="0.25">
      <c r="A386" s="670" t="str">
        <f>"LAEF ="&amp;L_infilter&amp;" uF"</f>
        <v>LAEF =0.68 uF</v>
      </c>
      <c r="B386" s="113" t="str">
        <f>IF((INFILTER_TYPE=1),"",L_infilter&amp;"µH")</f>
        <v/>
      </c>
      <c r="C386" s="113"/>
      <c r="I386" s="57"/>
    </row>
    <row r="387" spans="1:9" x14ac:dyDescent="0.3">
      <c r="A387" s="670"/>
      <c r="B387" t="str">
        <f>IF((INFILTER_TYPE=1),"",CinjSel*1000000&amp;"µF")</f>
        <v/>
      </c>
      <c r="I387" s="57"/>
    </row>
    <row r="388" spans="1:9" x14ac:dyDescent="0.3">
      <c r="A388" s="670"/>
      <c r="B388" t="str">
        <f>IF((INFILTER_TYPE=1),"",IF(OSC=1,"DNP",CdampSel*1000000&amp;"µF"))</f>
        <v/>
      </c>
      <c r="I388" s="57"/>
    </row>
    <row r="389" spans="1:9" x14ac:dyDescent="0.3">
      <c r="A389" s="670"/>
      <c r="B389" t="str">
        <f>IF((INFILTER_TYPE=1),"",RdampSel&amp;"Ω")</f>
        <v/>
      </c>
      <c r="I389" s="57"/>
    </row>
    <row r="390" spans="1:9" x14ac:dyDescent="0.3">
      <c r="A390" s="670" t="e">
        <f>"Rcomp ="&amp;Rcomp_AEF&amp;"Ω"</f>
        <v>#VALUE!</v>
      </c>
      <c r="B390" t="str">
        <f>IF((INFILTER_TYPE=1),"",Rcomp_AEF&amp;"Ω")</f>
        <v/>
      </c>
      <c r="I390" s="57"/>
    </row>
    <row r="391" spans="1:9" x14ac:dyDescent="0.3">
      <c r="A391" s="670" t="e">
        <f>"Ccomp ="&amp;Ccomp_AEF*1000000000000&amp;"pF"</f>
        <v>#VALUE!</v>
      </c>
      <c r="B391" t="str">
        <f>IF((INFILTER_TYPE=1),"",Ccomp_AEF*1000000000000&amp;"pF")</f>
        <v/>
      </c>
      <c r="I391" s="57"/>
    </row>
    <row r="392" spans="1:9" x14ac:dyDescent="0.3">
      <c r="A392" s="670" t="e">
        <f>"Csen ="&amp;Csen_AEF*1000000&amp;"µF"</f>
        <v>#VALUE!</v>
      </c>
      <c r="B392" t="str">
        <f>IF((INFILTER_TYPE=1),"",Csen_AEF*1000000&amp;"µF")</f>
        <v/>
      </c>
      <c r="I392" s="57"/>
    </row>
    <row r="393" spans="1:9" ht="15.5" x14ac:dyDescent="0.4">
      <c r="A393" s="670"/>
      <c r="B393" s="113" t="s">
        <v>887</v>
      </c>
      <c r="I393" s="57"/>
    </row>
    <row r="394" spans="1:9" x14ac:dyDescent="0.3">
      <c r="A394" s="670"/>
      <c r="I394" s="57"/>
    </row>
    <row r="395" spans="1:9" x14ac:dyDescent="0.3">
      <c r="A395" s="56" t="str">
        <f>"VOUT = "&amp;'Design Regulator'!E9&amp;"V"</f>
        <v>VOUT = 3.3V</v>
      </c>
      <c r="B395" t="str">
        <f>'Design Regulator'!E9&amp;"V"</f>
        <v>3.3V</v>
      </c>
      <c r="D395" t="str">
        <f>IF(MODE=1, 'Design Regulator'!I10&amp;"V", "")</f>
        <v>V</v>
      </c>
      <c r="I395" s="57"/>
    </row>
    <row r="396" spans="1:9" x14ac:dyDescent="0.3">
      <c r="A396" s="56"/>
      <c r="I396" s="57"/>
    </row>
    <row r="397" spans="1:9" x14ac:dyDescent="0.3">
      <c r="A397" s="56" t="str">
        <f>"COUT = "&amp;'Design Regulator'!$E$35&amp;"µF"</f>
        <v>COUT = 66µF</v>
      </c>
      <c r="B397" t="str">
        <f>ROUND('Design Regulator'!$E$35/Number_of_Phases, 0)&amp;"µF"</f>
        <v>66µF</v>
      </c>
      <c r="D397" t="str">
        <f>IF(MODE=1, 'Design Regulator'!$I$35&amp;"µF", ROUND('Design Regulator'!$E$35/Number_of_Phases, 0)&amp;"µF")</f>
        <v>µF</v>
      </c>
      <c r="I397" s="57"/>
    </row>
    <row r="398" spans="1:9" x14ac:dyDescent="0.3">
      <c r="A398" s="209" t="s">
        <v>258</v>
      </c>
      <c r="B398" t="str">
        <f>"22µF"</f>
        <v>22µF</v>
      </c>
      <c r="I398" s="57"/>
    </row>
    <row r="399" spans="1:9" x14ac:dyDescent="0.3">
      <c r="A399" s="209" t="s">
        <v>259</v>
      </c>
      <c r="B399" s="115" t="str">
        <f>ROUNDUP(Cout*1000000/22,0)&amp;" x"</f>
        <v>3 x</v>
      </c>
      <c r="C399" s="290"/>
      <c r="I399" s="57"/>
    </row>
    <row r="400" spans="1:9" x14ac:dyDescent="0.3">
      <c r="A400" s="56"/>
      <c r="I400" s="57"/>
    </row>
    <row r="401" spans="1:9" x14ac:dyDescent="0.3">
      <c r="A401" s="56" t="s">
        <v>212</v>
      </c>
      <c r="B401" t="str">
        <f>Cin*1000000&amp;"µF"</f>
        <v>4.7µF</v>
      </c>
      <c r="I401" s="57"/>
    </row>
    <row r="402" spans="1:9" x14ac:dyDescent="0.3">
      <c r="A402" s="209" t="s">
        <v>257</v>
      </c>
      <c r="B402" t="str">
        <f>"10µF"</f>
        <v>10µF</v>
      </c>
      <c r="I402" s="57"/>
    </row>
    <row r="403" spans="1:9" x14ac:dyDescent="0.3">
      <c r="A403" s="209" t="s">
        <v>256</v>
      </c>
      <c r="B403" s="115" t="str">
        <f>ROUNDUP(Cin*1000000/10,0)&amp;" x"</f>
        <v>1 x</v>
      </c>
      <c r="C403" s="290"/>
      <c r="I403" s="57"/>
    </row>
    <row r="404" spans="1:9" x14ac:dyDescent="0.3">
      <c r="A404" s="585" t="s">
        <v>753</v>
      </c>
      <c r="B404" s="115" t="str">
        <f>CHOOSE(INFILTER_TYPE,"",4*Cin*1000000&amp;"µF")</f>
        <v/>
      </c>
      <c r="C404" s="290"/>
      <c r="E404">
        <f>COMP_TYPE</f>
        <v>2</v>
      </c>
      <c r="I404" s="57"/>
    </row>
    <row r="405" spans="1:9" x14ac:dyDescent="0.3">
      <c r="A405" s="585" t="s">
        <v>832</v>
      </c>
      <c r="B405" s="115" t="str">
        <f>CHOOSE(INFILTER_TYPE,"",D301&amp;"Ω")</f>
        <v/>
      </c>
      <c r="C405" s="290"/>
      <c r="I405" s="57"/>
    </row>
    <row r="406" spans="1:9" x14ac:dyDescent="0.3">
      <c r="A406" s="209"/>
      <c r="B406" s="115"/>
      <c r="C406" s="290"/>
      <c r="I406" s="57"/>
    </row>
    <row r="407" spans="1:9" ht="12.5" x14ac:dyDescent="0.25">
      <c r="A407" s="56" t="str">
        <f>"RC1 = "&amp;Rcea1_u/1000&amp;"kΩ"</f>
        <v>RC1 = 5.11kΩ</v>
      </c>
      <c r="B407" t="str">
        <f>IF(COMP_TYPE=1,"",ROUND(Rcea1_u/1000,2)&amp;"kΩ")</f>
        <v>5.11kΩ</v>
      </c>
      <c r="C407" t="str">
        <f>IF(OR(Vout=3.3,Vout=5,Vout=12),"",IF(COMP_TYPE=1,"100kΩ",""))</f>
        <v/>
      </c>
      <c r="D407" s="366" t="str">
        <f>IF(OR(Vout=3.3,Vout=5,Vout=12), IF(COMP_TYPE=1,"",ROUND(Rcea1_u/1000,2)&amp;"kΩ"), "")</f>
        <v>5.11kΩ</v>
      </c>
      <c r="E407" t="str">
        <f>IF(OR(Vout=3.3,Vout=5,Vout=12),IF(COMP_TYPE=1,"100kΩ",""),"")</f>
        <v/>
      </c>
      <c r="I407" s="57"/>
    </row>
    <row r="408" spans="1:9" ht="12.5" x14ac:dyDescent="0.25">
      <c r="A408" s="56" t="str">
        <f>"CC1 = "&amp;Cc1ea_u*10^9&amp;"nF"</f>
        <v>CC1 = 3.9nF</v>
      </c>
      <c r="B408" t="str">
        <f>IF(COMP_TYPE=1,"",Cc1ea_u*10^9&amp;"nF")</f>
        <v>3.9nF</v>
      </c>
      <c r="C408" s="113"/>
      <c r="I408" s="57"/>
    </row>
    <row r="409" spans="1:9" ht="12.5" x14ac:dyDescent="0.25">
      <c r="A409" s="56" t="str">
        <f>"CC2 = "&amp;IF(Cc2ea_u&gt;0, Cc2ea_u*10^12&amp;"pF", "OPEN")</f>
        <v>CC2 = 150pF</v>
      </c>
      <c r="B409" t="str">
        <f>IF(COMP_TYPE=1,"",IF(Cc2ea_u&gt;0, ROUND(Cc2ea_u*10^12,1)&amp;"pF", "N/A"))</f>
        <v>150pF</v>
      </c>
      <c r="C409" s="113"/>
      <c r="I409" s="57"/>
    </row>
    <row r="410" spans="1:9" x14ac:dyDescent="0.3">
      <c r="A410" s="56"/>
      <c r="I410" s="57"/>
    </row>
    <row r="411" spans="1:9" x14ac:dyDescent="0.3">
      <c r="A411" s="56" t="str">
        <f>"gm = "&amp;$B$200*1000&amp;"mS"</f>
        <v>gm = 1.2mS</v>
      </c>
      <c r="B411" t="str">
        <f>$B$200*1000&amp;"mS"</f>
        <v>1.2mS</v>
      </c>
      <c r="I411" s="57"/>
    </row>
    <row r="412" spans="1:9" x14ac:dyDescent="0.3">
      <c r="A412" s="56" t="str">
        <f>"RoEA = "&amp;RoEA/1000000&amp;"MΩ"</f>
        <v>RoEA = 64MΩ</v>
      </c>
      <c r="B412" t="str">
        <f>RoEA/1000000&amp;"MΩ"</f>
        <v>64MΩ</v>
      </c>
      <c r="I412" s="57"/>
    </row>
    <row r="413" spans="1:9" x14ac:dyDescent="0.3">
      <c r="A413" s="56" t="str">
        <f>"GBW = "&amp;GBW&amp;"MHz"</f>
        <v>GBW = 6MHz</v>
      </c>
      <c r="B413" t="str">
        <f>GBW&amp;"MHz"</f>
        <v>6MHz</v>
      </c>
      <c r="I413" s="57"/>
    </row>
    <row r="414" spans="1:9" x14ac:dyDescent="0.3">
      <c r="A414" s="56"/>
      <c r="I414" s="57"/>
    </row>
    <row r="415" spans="1:9" x14ac:dyDescent="0.3">
      <c r="A415" s="56"/>
      <c r="I415" s="57"/>
    </row>
    <row r="416" spans="1:9" x14ac:dyDescent="0.3">
      <c r="A416" s="209" t="s">
        <v>753</v>
      </c>
      <c r="B416" t="str">
        <f>IF(DITHER=1, ROUND(Cdither*1000000000,1)&amp;"nF", "")</f>
        <v>2.2nF</v>
      </c>
      <c r="C416" s="2" t="str">
        <f>IF(DITHER=1, "Cd", "")</f>
        <v>Cd</v>
      </c>
      <c r="I416" s="57"/>
    </row>
    <row r="417" spans="1:9" x14ac:dyDescent="0.3">
      <c r="A417" s="56" t="str">
        <f>"RFB1 = "&amp;'Design Regulator'!E65&amp;"kΩ"</f>
        <v>RFB1 = 78.7kΩ</v>
      </c>
      <c r="B417" t="str">
        <f>IF(VOUT_setting=1, 'Design Regulator'!E65&amp;"kΩ", "")</f>
        <v/>
      </c>
      <c r="D417" t="str">
        <f>'Design Regulator'!I65&amp;"kΩ"</f>
        <v>kΩ</v>
      </c>
      <c r="I417" s="57"/>
    </row>
    <row r="418" spans="1:9" x14ac:dyDescent="0.3">
      <c r="A418" s="56" t="str">
        <f>"RFB2 = "&amp;IF(Vout=Vref,"OPEN",'Design Regulator'!E66&amp;"kΩ")</f>
        <v>RFB2 = 792kΩ</v>
      </c>
      <c r="B418" t="str">
        <f>IF(VOUT_setting=1, IF(Vout=Vref,"OPEN",Rfb2_u/1000&amp;"kΩ"), "")</f>
        <v/>
      </c>
      <c r="D418" t="str">
        <f>IF(Vout2=Vref,"OPEN",Rfb4_u/1000&amp;"kΩ")</f>
        <v>0kΩ</v>
      </c>
      <c r="I418" s="57"/>
    </row>
    <row r="419" spans="1:9" x14ac:dyDescent="0.3">
      <c r="A419" s="585" t="str">
        <f>"RFBSET = "&amp;CHOOSE(VOUT_setting,"","24.9kΩ","0Ω","48.7kΩ")</f>
        <v>RFBSET = 0Ω</v>
      </c>
      <c r="D419" t="str">
        <f>CHOOSE(VOUT_setting,"","24.9kΩ","0Ω","48.7kΩ")</f>
        <v>0Ω</v>
      </c>
      <c r="I419" s="57"/>
    </row>
    <row r="420" spans="1:9" x14ac:dyDescent="0.3">
      <c r="A420" s="585"/>
      <c r="I420" s="57"/>
    </row>
    <row r="421" spans="1:9" x14ac:dyDescent="0.3">
      <c r="A421" s="585" t="s">
        <v>872</v>
      </c>
      <c r="B421" t="str">
        <f>IF((UVLO_TYPE=1),B188&amp;"kΩ","0Ω")</f>
        <v>0Ω</v>
      </c>
      <c r="I421" s="57"/>
    </row>
    <row r="422" spans="1:9" x14ac:dyDescent="0.3">
      <c r="A422" s="585" t="s">
        <v>873</v>
      </c>
      <c r="B422" t="str">
        <f>IF((UVLO_TYPE=1),B189&amp;"kΩ","N/A")</f>
        <v>N/A</v>
      </c>
      <c r="I422" s="57"/>
    </row>
    <row r="423" spans="1:9" x14ac:dyDescent="0.3">
      <c r="A423" s="670"/>
      <c r="I423" s="57"/>
    </row>
    <row r="424" spans="1:9" x14ac:dyDescent="0.3">
      <c r="A424" s="56" t="str">
        <f>"Crossover frequency = "&amp;ROUND('Stability Calculations'!U4,0)&amp;"kHz"</f>
        <v>Crossover frequency = 16kHz</v>
      </c>
      <c r="B424" t="str">
        <f>ROUND('Stability Calculations'!U4,0)&amp;"kHz"</f>
        <v>16kHz</v>
      </c>
      <c r="D424" s="114">
        <f>'Stability Calculations'!U4</f>
        <v>15.6685</v>
      </c>
      <c r="I424" s="57"/>
    </row>
    <row r="425" spans="1:9" x14ac:dyDescent="0.3">
      <c r="A425" s="56" t="str">
        <f>CHOOSE(BODE_PLOT_TYPE, "Phase margin = "&amp;ROUND('Stability Calculations'!U5,0)&amp;"°", "°")</f>
        <v>Phase margin = 55°</v>
      </c>
      <c r="B425" s="115" t="str">
        <f>ROUND('Stability Calculations'!U5,0)&amp;"°"</f>
        <v>55°</v>
      </c>
      <c r="C425" s="290"/>
      <c r="E425" s="210"/>
      <c r="I425" s="57"/>
    </row>
    <row r="426" spans="1:9" x14ac:dyDescent="0.3">
      <c r="A426" s="56" t="str">
        <f>IF(loopPM&lt;45,CHOOSE(COMP_TYPE,"Phase margin is LOW, increase Cout","Phase margin is LOW, recompensate"),"")</f>
        <v/>
      </c>
      <c r="B426" s="115"/>
      <c r="C426" s="290"/>
      <c r="E426" s="210"/>
      <c r="I426" s="57"/>
    </row>
    <row r="427" spans="1:9" x14ac:dyDescent="0.3">
      <c r="A427" s="670"/>
      <c r="B427" s="115"/>
      <c r="C427" s="290"/>
      <c r="E427" s="210"/>
      <c r="I427" s="57"/>
    </row>
    <row r="428" spans="1:9" x14ac:dyDescent="0.3">
      <c r="A428" s="66" t="s">
        <v>577</v>
      </c>
      <c r="B428" s="476" t="str">
        <f>IF(PLOT_TYPE=1, ROUND('Efficiency Calculations'!AZ109,1)&amp;"%", ROUND(#REF!,1)&amp;"%")</f>
        <v>91.7%</v>
      </c>
      <c r="C428" s="290"/>
      <c r="D428" s="476"/>
      <c r="E428" s="210"/>
      <c r="I428" s="57"/>
    </row>
    <row r="429" spans="1:9" x14ac:dyDescent="0.3">
      <c r="A429" s="66" t="s">
        <v>578</v>
      </c>
      <c r="B429" s="476" t="str">
        <f>IF(PLOT_TYPE=1, ROUND('Efficiency Calculations'!AZ59,1)&amp;"%", ROUND(#REF!,1)&amp;"%")</f>
        <v>87.8%</v>
      </c>
      <c r="C429" s="290"/>
      <c r="D429" s="476"/>
      <c r="E429" s="210"/>
      <c r="I429" s="57"/>
    </row>
    <row r="430" spans="1:9" x14ac:dyDescent="0.3">
      <c r="A430" s="631"/>
      <c r="B430" s="476" t="str">
        <f>IF(VOUT_setting=1, "", IF(OSC=1, "Tie OSC to VDDA", "Tie OSC to AGND"))</f>
        <v>Tie OSC to AGND</v>
      </c>
      <c r="C430" s="290"/>
      <c r="D430" s="476"/>
      <c r="E430" s="210"/>
      <c r="I430" s="57"/>
    </row>
    <row r="431" spans="1:9" x14ac:dyDescent="0.3">
      <c r="A431" s="56"/>
      <c r="B431" s="115"/>
      <c r="C431" s="290"/>
      <c r="E431" s="210"/>
      <c r="I431" s="57"/>
    </row>
    <row r="432" spans="1:9" x14ac:dyDescent="0.3">
      <c r="A432" s="56"/>
      <c r="I432" s="57"/>
    </row>
    <row r="433" spans="1:9" x14ac:dyDescent="0.3">
      <c r="A433" s="56" t="str">
        <f>"Rs = "&amp;Rs&amp;"Ω"</f>
        <v>Rs = 0.025Ω</v>
      </c>
      <c r="B433" t="str">
        <f>'Standard Value Calculator'!S6&amp;"Ω"</f>
        <v>Ω</v>
      </c>
      <c r="I433" s="57"/>
    </row>
    <row r="434" spans="1:9" x14ac:dyDescent="0.3">
      <c r="A434" s="56" t="s">
        <v>186</v>
      </c>
      <c r="B434" t="str">
        <f>'Standard Value Calculator'!S16&amp;"mΩ"</f>
        <v>29.4mΩ</v>
      </c>
      <c r="I434" s="57"/>
    </row>
    <row r="435" spans="1:9" x14ac:dyDescent="0.3">
      <c r="A435" s="56" t="s">
        <v>164</v>
      </c>
      <c r="B435" t="str">
        <f>'Standard Value Calculator'!S6&amp;"mΩ"</f>
        <v>mΩ</v>
      </c>
      <c r="I435" s="57"/>
    </row>
    <row r="436" spans="1:9" x14ac:dyDescent="0.3">
      <c r="A436" s="56" t="e">
        <f>"Rshunt = "&amp;ROUND(Rshunt,1)&amp;"mΩ"</f>
        <v>#NAME?</v>
      </c>
      <c r="B436" t="e">
        <f>IF(Rshunt="0", "N/A",ROUND(Rshunt,1)&amp;"mΩ")</f>
        <v>#NAME?</v>
      </c>
      <c r="I436" s="57"/>
    </row>
    <row r="437" spans="1:9" x14ac:dyDescent="0.3">
      <c r="A437" s="56"/>
      <c r="I437" s="57"/>
    </row>
    <row r="438" spans="1:9" x14ac:dyDescent="0.3">
      <c r="A438" s="209" t="s">
        <v>254</v>
      </c>
      <c r="B438" s="113" t="s">
        <v>255</v>
      </c>
      <c r="I438" s="57"/>
    </row>
    <row r="439" spans="1:9" ht="15.5" x14ac:dyDescent="0.4">
      <c r="A439" s="209" t="s">
        <v>888</v>
      </c>
      <c r="B439" s="113"/>
      <c r="I439" s="57"/>
    </row>
    <row r="440" spans="1:9" x14ac:dyDescent="0.3">
      <c r="A440" s="585"/>
      <c r="B440" s="113"/>
      <c r="I440" s="57"/>
    </row>
    <row r="441" spans="1:9" x14ac:dyDescent="0.3">
      <c r="A441" s="585" t="s">
        <v>891</v>
      </c>
      <c r="B441" s="113" t="str">
        <f>IF((Ext_VCC=1),"5V","GND")</f>
        <v>GND</v>
      </c>
      <c r="I441" s="57"/>
    </row>
    <row r="442" spans="1:9" x14ac:dyDescent="0.3">
      <c r="A442" s="209" t="s">
        <v>890</v>
      </c>
      <c r="B442" s="113" t="str">
        <f xml:space="preserve"> 'Design Regulator'!E57&amp;"kΩ"</f>
        <v>41.2kΩ</v>
      </c>
      <c r="I442" s="57"/>
    </row>
    <row r="443" spans="1:9" x14ac:dyDescent="0.3">
      <c r="A443" s="209" t="s">
        <v>272</v>
      </c>
      <c r="B443" t="str">
        <f xml:space="preserve"> Rfadj&amp;"kΩ"</f>
        <v>53.6kΩ</v>
      </c>
      <c r="C443" s="2">
        <f>Rfadj</f>
        <v>53.6</v>
      </c>
      <c r="D443">
        <f>Fsw</f>
        <v>405680</v>
      </c>
      <c r="F443" t="b">
        <f>OR((Fsw=440000),(Fsw=2200000))</f>
        <v>0</v>
      </c>
      <c r="H443" t="b">
        <f>OR(OR(AND(OSC=1, OR(Fsw/1000&gt;2530, Fsw/1000&lt;1800)), AND(OSC=2, OR(Fsw/1000&gt;500, Fsw/1000&lt;300))), OR((Fsw=440000),(Fsw=2200000)))</f>
        <v>0</v>
      </c>
      <c r="I443" s="57"/>
    </row>
    <row r="444" spans="1:9" ht="12.5" x14ac:dyDescent="0.25">
      <c r="A444" s="56" t="s">
        <v>150</v>
      </c>
      <c r="B444" s="630" t="str">
        <f>'Standard Value Calculator'!B4*1000000000&amp;"nF"</f>
        <v>0nF</v>
      </c>
      <c r="C444" s="113" t="str">
        <f>IF(MODE=1,"Css","")</f>
        <v>Css</v>
      </c>
      <c r="I444" s="57"/>
    </row>
    <row r="445" spans="1:9" ht="12.5" x14ac:dyDescent="0.25">
      <c r="A445" s="209" t="s">
        <v>630</v>
      </c>
      <c r="B445" t="str">
        <f>IF(Cres_u = 0, "N/A", Cres_u*1000000000 &amp;"nF")</f>
        <v>330nF</v>
      </c>
      <c r="C445" t="str">
        <f>IF(Cres_u = 0, "N/A", Cres_u*1000000 &amp;"µF")</f>
        <v>0.33µF</v>
      </c>
      <c r="D445">
        <f>Cres_u</f>
        <v>3.3000000000000002E-7</v>
      </c>
      <c r="I445" s="57"/>
    </row>
    <row r="446" spans="1:9" x14ac:dyDescent="0.3">
      <c r="A446" s="585"/>
      <c r="I446" s="57"/>
    </row>
    <row r="447" spans="1:9" x14ac:dyDescent="0.3">
      <c r="A447" s="56" t="s">
        <v>187</v>
      </c>
      <c r="B447" t="str">
        <f>IF(B76="y","","|")</f>
        <v>|</v>
      </c>
      <c r="I447" s="57"/>
    </row>
    <row r="448" spans="1:9" x14ac:dyDescent="0.3">
      <c r="A448" s="56" t="s">
        <v>204</v>
      </c>
      <c r="B448" t="str">
        <f>'Design Regulator'!$E$10&amp;"A"</f>
        <v>1.75A</v>
      </c>
      <c r="I448" s="57"/>
    </row>
    <row r="449" spans="1:9" x14ac:dyDescent="0.3">
      <c r="A449" s="56" t="s">
        <v>144</v>
      </c>
      <c r="B449" t="str">
        <f>VIN_nom&amp;"V"</f>
        <v>6.6V</v>
      </c>
      <c r="I449" s="57"/>
    </row>
    <row r="450" spans="1:9" x14ac:dyDescent="0.3">
      <c r="A450" s="209" t="s">
        <v>583</v>
      </c>
      <c r="B450" t="str">
        <f>VIN_min&amp;"V"&amp;"..."&amp;VIN_max&amp;"V"</f>
        <v>5V...7.4V</v>
      </c>
      <c r="I450" s="57"/>
    </row>
    <row r="451" spans="1:9" ht="12.5" x14ac:dyDescent="0.25">
      <c r="A451" s="56"/>
      <c r="B451" t="str">
        <f>IF(INFILTER_TYPE=1,B450,"")</f>
        <v>5V...7.4V</v>
      </c>
      <c r="C451" t="str">
        <f>IF(INFILTER_TYPE=1,"",B450)</f>
        <v/>
      </c>
      <c r="I451" s="57"/>
    </row>
    <row r="452" spans="1:9" ht="13.5" thickBot="1" x14ac:dyDescent="0.35">
      <c r="A452" s="60" t="str">
        <f>CHOOSE(Ext_VCC, "", "Tie VCCX to PGND")</f>
        <v>Tie VCCX to PGND</v>
      </c>
      <c r="B452" s="61"/>
      <c r="C452" s="289"/>
      <c r="D452" s="61"/>
      <c r="E452" s="61"/>
      <c r="F452" s="61"/>
      <c r="G452" s="61"/>
      <c r="H452" s="61"/>
      <c r="I452" s="62"/>
    </row>
  </sheetData>
  <sheetProtection selectLockedCells="1"/>
  <mergeCells count="2">
    <mergeCell ref="E5:H5"/>
    <mergeCell ref="A1:I1"/>
  </mergeCells>
  <phoneticPr fontId="5" type="noConversion"/>
  <conditionalFormatting sqref="B393">
    <cfRule type="expression" dxfId="0" priority="1">
      <formula>OSC=1</formula>
    </cfRule>
  </conditionalFormatting>
  <pageMargins left="0.75" right="0.75" top="1" bottom="1" header="0.5" footer="0.5"/>
  <pageSetup orientation="portrait" r:id="rId1"/>
  <headerFooter alignWithMargins="0"/>
  <ignoredErrors>
    <ignoredError sqref="K13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02465" r:id="rId4" name="Drop Down 1">
              <controlPr defaultSize="0" autoLine="0" autoPict="0">
                <anchor>
                  <from>
                    <xdr:col>9</xdr:col>
                    <xdr:colOff>368300</xdr:colOff>
                    <xdr:row>18</xdr:row>
                    <xdr:rowOff>63500</xdr:rowOff>
                  </from>
                  <to>
                    <xdr:col>11</xdr:col>
                    <xdr:colOff>0</xdr:colOff>
                    <xdr:row>19</xdr:row>
                    <xdr:rowOff>139700</xdr:rowOff>
                  </to>
                </anchor>
              </controlPr>
            </control>
          </mc:Choice>
        </mc:AlternateContent>
        <mc:AlternateContent xmlns:mc="http://schemas.openxmlformats.org/markup-compatibility/2006">
          <mc:Choice Requires="x14">
            <control shapeId="702468" r:id="rId5" name="Drop Down 4">
              <controlPr defaultSize="0" autoLine="0" autoPict="0">
                <anchor moveWithCells="1">
                  <from>
                    <xdr:col>17</xdr:col>
                    <xdr:colOff>368300</xdr:colOff>
                    <xdr:row>15</xdr:row>
                    <xdr:rowOff>139700</xdr:rowOff>
                  </from>
                  <to>
                    <xdr:col>20</xdr:col>
                    <xdr:colOff>31750</xdr:colOff>
                    <xdr:row>17</xdr:row>
                    <xdr:rowOff>0</xdr:rowOff>
                  </to>
                </anchor>
              </controlPr>
            </control>
          </mc:Choice>
        </mc:AlternateContent>
        <mc:AlternateContent xmlns:mc="http://schemas.openxmlformats.org/markup-compatibility/2006">
          <mc:Choice Requires="x14">
            <control shapeId="702470" r:id="rId6" name="Drop Down 6">
              <controlPr defaultSize="0" autoLine="0" autoPict="0">
                <anchor moveWithCells="1">
                  <from>
                    <xdr:col>22</xdr:col>
                    <xdr:colOff>412750</xdr:colOff>
                    <xdr:row>31</xdr:row>
                    <xdr:rowOff>38100</xdr:rowOff>
                  </from>
                  <to>
                    <xdr:col>25</xdr:col>
                    <xdr:colOff>69850</xdr:colOff>
                    <xdr:row>32</xdr:row>
                    <xdr:rowOff>177800</xdr:rowOff>
                  </to>
                </anchor>
              </controlPr>
            </control>
          </mc:Choice>
        </mc:AlternateContent>
        <mc:AlternateContent xmlns:mc="http://schemas.openxmlformats.org/markup-compatibility/2006">
          <mc:Choice Requires="x14">
            <control shapeId="702471" r:id="rId7" name="Drop Down 7">
              <controlPr defaultSize="0" autoLine="0" autoPict="0">
                <anchor moveWithCells="1">
                  <from>
                    <xdr:col>9</xdr:col>
                    <xdr:colOff>228600</xdr:colOff>
                    <xdr:row>51</xdr:row>
                    <xdr:rowOff>38100</xdr:rowOff>
                  </from>
                  <to>
                    <xdr:col>10</xdr:col>
                    <xdr:colOff>527050</xdr:colOff>
                    <xdr:row>52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29"/>
  <sheetViews>
    <sheetView topLeftCell="A4" zoomScale="70" zoomScaleNormal="70" workbookViewId="0">
      <selection activeCell="G5" sqref="G5"/>
    </sheetView>
  </sheetViews>
  <sheetFormatPr defaultRowHeight="12.5" x14ac:dyDescent="0.25"/>
  <cols>
    <col min="1" max="1" width="10.54296875" customWidth="1"/>
    <col min="2" max="2" width="102.08984375" customWidth="1"/>
  </cols>
  <sheetData>
    <row r="1" spans="1:14" x14ac:dyDescent="0.25">
      <c r="J1" s="113"/>
      <c r="N1" s="113" t="s">
        <v>592</v>
      </c>
    </row>
    <row r="2" spans="1:14" x14ac:dyDescent="0.25">
      <c r="A2" t="str">
        <f>IF(MODE=1, CHOOSE(SCH_SETTING, "SCH_SetVout_IntComp_nAEF","SCH_SetVout_IntComp_AEF","SCH_SetVout_ExtComp_nAEF","SCH_SetVout_ExtComp_AEF","SCH_AdjVout_IntComp_nAEF","SCH_AdjVout_IntComp_AEF","SCH_AdjVout_ExtComp_nAEF","SCH_AdjVout_ExtComp_AEF"))</f>
        <v>SCH_SetVout_ExtComp_nAEF</v>
      </c>
      <c r="J2" s="113"/>
      <c r="N2" s="113" t="s">
        <v>682</v>
      </c>
    </row>
    <row r="3" spans="1:14" x14ac:dyDescent="0.25">
      <c r="J3" s="113"/>
    </row>
    <row r="4" spans="1:14" ht="19.5" customHeight="1" x14ac:dyDescent="0.25">
      <c r="J4" s="113"/>
    </row>
    <row r="5" spans="1:14" ht="311.14999999999998" customHeight="1" x14ac:dyDescent="0.25">
      <c r="B5" s="521"/>
    </row>
    <row r="6" spans="1:14" ht="12" customHeight="1" x14ac:dyDescent="0.25">
      <c r="B6" s="521"/>
    </row>
    <row r="7" spans="1:14" ht="34.5" customHeight="1" x14ac:dyDescent="0.25"/>
    <row r="8" spans="1:14" ht="311.14999999999998" customHeight="1" x14ac:dyDescent="0.25">
      <c r="B8" s="521"/>
    </row>
    <row r="9" spans="1:14" x14ac:dyDescent="0.25">
      <c r="B9" s="521"/>
    </row>
    <row r="10" spans="1:14" ht="312" customHeight="1" x14ac:dyDescent="0.25">
      <c r="B10" s="521"/>
    </row>
    <row r="12" spans="1:14" ht="311.75" customHeight="1" x14ac:dyDescent="0.25">
      <c r="B12" s="521"/>
    </row>
    <row r="14" spans="1:14" ht="309.75" customHeight="1" x14ac:dyDescent="0.25">
      <c r="B14" s="521"/>
    </row>
    <row r="16" spans="1:14" ht="15" customHeight="1" x14ac:dyDescent="0.25"/>
    <row r="17" spans="2:2" ht="311.75" customHeight="1" x14ac:dyDescent="0.25">
      <c r="B17" s="521" t="s">
        <v>175</v>
      </c>
    </row>
    <row r="18" spans="2:2" ht="9.75" customHeight="1" x14ac:dyDescent="0.25"/>
    <row r="19" spans="2:2" ht="312" customHeight="1" x14ac:dyDescent="0.25">
      <c r="B19" s="521"/>
    </row>
    <row r="20" spans="2:2" ht="16.25" customHeight="1" x14ac:dyDescent="0.25"/>
    <row r="21" spans="2:2" ht="312" customHeight="1" x14ac:dyDescent="0.25">
      <c r="B21" s="521"/>
    </row>
    <row r="23" spans="2:2" ht="409.5" customHeight="1" x14ac:dyDescent="0.25">
      <c r="B23" s="521"/>
    </row>
    <row r="25" spans="2:2" ht="408.75" customHeight="1" x14ac:dyDescent="0.25">
      <c r="B25" s="521"/>
    </row>
    <row r="27" spans="2:2" ht="409.5" customHeight="1" x14ac:dyDescent="0.25">
      <c r="B27" s="521"/>
    </row>
    <row r="29" spans="2:2" ht="409.5" customHeight="1" x14ac:dyDescent="0.25">
      <c r="B29" s="521"/>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I687"/>
  <sheetViews>
    <sheetView topLeftCell="M1" zoomScaleNormal="100" workbookViewId="0">
      <pane ySplit="11" topLeftCell="A12" activePane="bottomLeft" state="frozen"/>
      <selection activeCell="A93" sqref="A93"/>
      <selection pane="bottomLeft" activeCell="AI9" sqref="AI9"/>
    </sheetView>
  </sheetViews>
  <sheetFormatPr defaultColWidth="9.08984375" defaultRowHeight="12.5" x14ac:dyDescent="0.25"/>
  <cols>
    <col min="1" max="1" width="16.08984375" style="307" customWidth="1"/>
    <col min="2" max="2" width="15.6328125" style="307" customWidth="1"/>
    <col min="3" max="3" width="10" style="307" customWidth="1"/>
    <col min="4" max="4" width="10.6328125" style="307" customWidth="1"/>
    <col min="5" max="5" width="10.08984375" style="307" customWidth="1"/>
    <col min="6" max="8" width="11.6328125" style="307" customWidth="1"/>
    <col min="9" max="9" width="14.36328125" style="307" customWidth="1"/>
    <col min="10" max="10" width="11" style="307" customWidth="1"/>
    <col min="11" max="11" width="12" style="307" customWidth="1"/>
    <col min="12" max="12" width="11.453125" style="307" customWidth="1"/>
    <col min="13" max="13" width="10.6328125" style="307" customWidth="1"/>
    <col min="14" max="18" width="11.453125" style="307" customWidth="1"/>
    <col min="19" max="19" width="12.36328125" style="307" customWidth="1"/>
    <col min="20" max="20" width="12.08984375" style="307" customWidth="1"/>
    <col min="21" max="21" width="9.453125" style="307" customWidth="1"/>
    <col min="22" max="22" width="16.08984375" style="307" bestFit="1" customWidth="1"/>
    <col min="23" max="23" width="16.08984375" style="347" customWidth="1"/>
    <col min="24" max="24" width="9.08984375" style="307"/>
    <col min="25" max="25" width="13.453125" style="307" bestFit="1" customWidth="1"/>
    <col min="26" max="26" width="9.36328125" style="307" bestFit="1" customWidth="1"/>
    <col min="27" max="27" width="9.08984375" style="307"/>
    <col min="28" max="28" width="13.54296875" style="307" customWidth="1"/>
    <col min="29" max="29" width="10.54296875" style="307" customWidth="1"/>
    <col min="30" max="30" width="9.08984375" style="307"/>
    <col min="31" max="31" width="9.36328125" style="307" bestFit="1" customWidth="1"/>
    <col min="32" max="32" width="11.36328125" style="307" bestFit="1" customWidth="1"/>
    <col min="33" max="33" width="9.08984375" style="307"/>
    <col min="34" max="34" width="12.36328125" customWidth="1"/>
    <col min="35" max="35" width="8.6328125" customWidth="1"/>
    <col min="36" max="16384" width="9.08984375" style="307"/>
  </cols>
  <sheetData>
    <row r="1" spans="1:35" ht="13" thickBot="1" x14ac:dyDescent="0.3"/>
    <row r="2" spans="1:35" ht="13" x14ac:dyDescent="0.3">
      <c r="A2" s="860" t="s">
        <v>409</v>
      </c>
      <c r="B2" s="861"/>
      <c r="C2" s="862"/>
      <c r="D2" s="863"/>
      <c r="E2" s="860" t="s">
        <v>315</v>
      </c>
      <c r="F2" s="861"/>
      <c r="G2" s="861"/>
      <c r="H2" s="388"/>
      <c r="I2" s="404"/>
      <c r="J2" s="860" t="s">
        <v>407</v>
      </c>
      <c r="K2" s="862"/>
      <c r="L2" s="863"/>
      <c r="M2" s="860" t="s">
        <v>408</v>
      </c>
      <c r="N2" s="861"/>
      <c r="O2" s="861"/>
      <c r="P2" s="875" t="s">
        <v>835</v>
      </c>
      <c r="Q2" s="861"/>
      <c r="R2" s="861"/>
      <c r="S2" s="869"/>
      <c r="T2" s="860" t="s">
        <v>316</v>
      </c>
      <c r="U2" s="861"/>
      <c r="V2" s="869"/>
      <c r="W2" s="689"/>
      <c r="AH2" s="113"/>
      <c r="AI2" s="113"/>
    </row>
    <row r="3" spans="1:35" x14ac:dyDescent="0.25">
      <c r="B3" s="308" t="s">
        <v>317</v>
      </c>
      <c r="C3" s="391">
        <f>Afb</f>
        <v>0.23917927852198953</v>
      </c>
      <c r="D3" s="310" t="s">
        <v>28</v>
      </c>
      <c r="E3" s="311" t="s">
        <v>318</v>
      </c>
      <c r="F3" s="309">
        <f>Acs</f>
        <v>4</v>
      </c>
      <c r="G3" s="310" t="s">
        <v>406</v>
      </c>
      <c r="H3" s="402" t="s">
        <v>334</v>
      </c>
      <c r="I3" s="414">
        <f>gm</f>
        <v>1.1999999999999999E-3</v>
      </c>
      <c r="J3" s="311" t="s">
        <v>425</v>
      </c>
      <c r="K3" s="312">
        <f>Fesr</f>
        <v>2411438.5344508542</v>
      </c>
      <c r="L3" s="310" t="s">
        <v>9</v>
      </c>
      <c r="M3" s="311" t="s">
        <v>320</v>
      </c>
      <c r="N3" s="312">
        <f>Fsw/2</f>
        <v>202840</v>
      </c>
      <c r="O3" s="310" t="s">
        <v>9</v>
      </c>
      <c r="P3" s="680" t="s">
        <v>844</v>
      </c>
      <c r="Q3" s="681">
        <f>((1/wffHz)+(1/wfftHz))</f>
        <v>5.8109410928520001E-6</v>
      </c>
      <c r="S3" s="680"/>
      <c r="T3" s="313" t="s">
        <v>321</v>
      </c>
      <c r="U3" s="312">
        <f>IF(VOUT_setting=1,Am*Afb*AEA,Am*AEA)</f>
        <v>461778.17351126909</v>
      </c>
      <c r="V3" s="310" t="s">
        <v>28</v>
      </c>
    </row>
    <row r="4" spans="1:35" x14ac:dyDescent="0.25">
      <c r="B4" s="308" t="s">
        <v>430</v>
      </c>
      <c r="C4" s="312">
        <f>Fz1_u</f>
        <v>7986.0978109165717</v>
      </c>
      <c r="D4" s="310" t="s">
        <v>9</v>
      </c>
      <c r="E4" s="311" t="s">
        <v>323</v>
      </c>
      <c r="F4" s="317">
        <f>Am</f>
        <v>6.0127366342613167</v>
      </c>
      <c r="G4" s="310" t="s">
        <v>28</v>
      </c>
      <c r="H4" s="403"/>
      <c r="I4" s="403"/>
      <c r="J4" s="311" t="s">
        <v>424</v>
      </c>
      <c r="K4" s="312">
        <f>Fp_dominant</f>
        <v>1604.2202951050137</v>
      </c>
      <c r="L4" s="310" t="s">
        <v>9</v>
      </c>
      <c r="M4" s="311" t="s">
        <v>325</v>
      </c>
      <c r="N4" s="389">
        <f>Q*pole3</f>
        <v>173433.76658050602</v>
      </c>
      <c r="O4" s="681"/>
      <c r="P4" s="681" t="s">
        <v>845</v>
      </c>
      <c r="Q4" s="681">
        <f>((1/wfbtHz)+(1/wffHz)+(1/wfftHz)+(Afbr/wffHz))</f>
        <v>4.051403656893155E-5</v>
      </c>
      <c r="R4" s="681"/>
      <c r="T4" s="313" t="s">
        <v>326</v>
      </c>
      <c r="U4" s="353">
        <f>AI7</f>
        <v>15.6685</v>
      </c>
      <c r="V4" s="310" t="s">
        <v>2</v>
      </c>
    </row>
    <row r="5" spans="1:35" x14ac:dyDescent="0.25">
      <c r="B5" s="308" t="s">
        <v>429</v>
      </c>
      <c r="C5" s="317">
        <f>Fp1_u</f>
        <v>0.6375890895864984</v>
      </c>
      <c r="D5" s="310" t="s">
        <v>9</v>
      </c>
      <c r="E5" s="311" t="s">
        <v>27</v>
      </c>
      <c r="F5" s="391">
        <f>Q</f>
        <v>0.85502744320896285</v>
      </c>
      <c r="G5" s="310"/>
      <c r="H5" s="403"/>
      <c r="I5" s="403"/>
      <c r="J5" s="311"/>
      <c r="K5" s="312"/>
      <c r="L5" s="310"/>
      <c r="M5" s="311" t="s">
        <v>328</v>
      </c>
      <c r="N5" s="309">
        <f>pole3^2</f>
        <v>41144065600</v>
      </c>
      <c r="O5" s="402"/>
      <c r="P5" s="402" t="s">
        <v>846</v>
      </c>
      <c r="Q5" s="402">
        <f>1/(wffHz*wfbtHz)</f>
        <v>1.5937437150456741E-12</v>
      </c>
      <c r="R5" s="402"/>
      <c r="S5" s="310"/>
      <c r="T5" s="313" t="s">
        <v>329</v>
      </c>
      <c r="U5" s="317">
        <f>AI9</f>
        <v>55.311743224361408</v>
      </c>
      <c r="V5" s="375" t="s">
        <v>386</v>
      </c>
    </row>
    <row r="6" spans="1:35" x14ac:dyDescent="0.25">
      <c r="B6" s="308" t="s">
        <v>330</v>
      </c>
      <c r="C6" s="309">
        <f>AEA</f>
        <v>76800</v>
      </c>
      <c r="D6" s="310" t="s">
        <v>28</v>
      </c>
      <c r="E6" s="311" t="s">
        <v>358</v>
      </c>
      <c r="F6" s="391">
        <f>mc</f>
        <v>1.7599515151515153</v>
      </c>
      <c r="G6" s="402"/>
      <c r="H6" s="405"/>
      <c r="I6" s="316"/>
      <c r="J6" s="314"/>
      <c r="K6" s="315"/>
      <c r="L6" s="316"/>
      <c r="M6" s="314"/>
      <c r="N6" s="417"/>
      <c r="O6" s="682"/>
      <c r="P6" s="682" t="s">
        <v>847</v>
      </c>
      <c r="Q6" s="688">
        <f>Rfb1_/Rfb2_u</f>
        <v>3.1565656565656566</v>
      </c>
      <c r="R6" s="682"/>
      <c r="S6" s="316"/>
      <c r="T6" s="387" t="s">
        <v>331</v>
      </c>
      <c r="U6" s="315">
        <f>180/Pi</f>
        <v>57.295779578552292</v>
      </c>
      <c r="V6" s="316"/>
      <c r="AH6" s="5" t="s">
        <v>46</v>
      </c>
      <c r="AI6" s="5"/>
    </row>
    <row r="7" spans="1:35" ht="13" thickBot="1" x14ac:dyDescent="0.3">
      <c r="B7" s="383" t="s">
        <v>428</v>
      </c>
      <c r="C7" s="390">
        <f>Fp2_u</f>
        <v>171289.73280628308</v>
      </c>
      <c r="D7" s="385" t="s">
        <v>9</v>
      </c>
      <c r="E7" s="384" t="s">
        <v>333</v>
      </c>
      <c r="F7" s="386">
        <f>k</f>
        <v>0.87228031576726828</v>
      </c>
      <c r="G7" s="386"/>
      <c r="H7" s="406"/>
      <c r="I7" s="385"/>
      <c r="J7" s="384"/>
      <c r="K7" s="384"/>
      <c r="L7" s="385"/>
      <c r="M7" s="384"/>
      <c r="N7" s="384"/>
      <c r="O7" s="384"/>
      <c r="P7" s="384"/>
      <c r="Q7" s="384"/>
      <c r="R7" s="384"/>
      <c r="S7" s="385"/>
      <c r="T7" s="384"/>
      <c r="U7" s="384"/>
      <c r="V7" s="385"/>
      <c r="AH7" t="s">
        <v>43</v>
      </c>
      <c r="AI7">
        <f>SUM(AH12:AH613)/1000</f>
        <v>15.6685</v>
      </c>
    </row>
    <row r="8" spans="1:35" x14ac:dyDescent="0.25">
      <c r="B8" s="392"/>
      <c r="C8" s="393"/>
      <c r="F8" s="394"/>
      <c r="G8" s="394"/>
      <c r="H8" s="394"/>
    </row>
    <row r="9" spans="1:35" ht="13" thickBot="1" x14ac:dyDescent="0.3">
      <c r="AH9" t="s">
        <v>44</v>
      </c>
      <c r="AI9" s="4">
        <f>SUM(AI13:AI613)</f>
        <v>55.311743224361408</v>
      </c>
    </row>
    <row r="10" spans="1:35" ht="14" x14ac:dyDescent="0.3">
      <c r="A10" s="864" t="s">
        <v>437</v>
      </c>
      <c r="B10" s="858"/>
      <c r="C10" s="870" t="s">
        <v>335</v>
      </c>
      <c r="D10" s="871"/>
      <c r="E10" s="871"/>
      <c r="F10" s="871"/>
      <c r="G10" s="871"/>
      <c r="H10" s="872"/>
      <c r="I10" s="870" t="s">
        <v>336</v>
      </c>
      <c r="J10" s="871"/>
      <c r="K10" s="871"/>
      <c r="L10" s="871"/>
      <c r="M10" s="871"/>
      <c r="N10" s="872"/>
      <c r="O10" s="870" t="s">
        <v>833</v>
      </c>
      <c r="P10" s="871"/>
      <c r="Q10" s="871"/>
      <c r="R10" s="871"/>
      <c r="S10" s="867" t="s">
        <v>337</v>
      </c>
      <c r="T10" s="868"/>
      <c r="U10" s="867" t="s">
        <v>338</v>
      </c>
      <c r="V10" s="873"/>
      <c r="W10" s="874"/>
      <c r="AB10" s="851" t="s">
        <v>339</v>
      </c>
      <c r="AC10" s="852"/>
      <c r="AE10" s="851" t="s">
        <v>340</v>
      </c>
      <c r="AF10" s="852"/>
    </row>
    <row r="11" spans="1:35" ht="13" x14ac:dyDescent="0.3">
      <c r="A11" s="865"/>
      <c r="B11" s="859"/>
      <c r="C11" s="853" t="s">
        <v>424</v>
      </c>
      <c r="D11" s="854"/>
      <c r="E11" s="854" t="s">
        <v>425</v>
      </c>
      <c r="F11" s="855"/>
      <c r="G11" s="856" t="s">
        <v>426</v>
      </c>
      <c r="H11" s="857"/>
      <c r="I11" s="853" t="s">
        <v>324</v>
      </c>
      <c r="J11" s="854"/>
      <c r="K11" s="854" t="s">
        <v>319</v>
      </c>
      <c r="L11" s="855"/>
      <c r="M11" s="856" t="s">
        <v>327</v>
      </c>
      <c r="N11" s="857"/>
      <c r="O11" s="853" t="s">
        <v>319</v>
      </c>
      <c r="P11" s="854"/>
      <c r="Q11" s="854" t="s">
        <v>834</v>
      </c>
      <c r="R11" s="855"/>
      <c r="S11" s="853" t="s">
        <v>320</v>
      </c>
      <c r="T11" s="855"/>
      <c r="U11" s="311"/>
      <c r="V11" s="309"/>
      <c r="W11" s="354"/>
      <c r="AB11" s="311"/>
      <c r="AC11" s="310"/>
      <c r="AE11" s="311"/>
      <c r="AF11" s="310"/>
    </row>
    <row r="12" spans="1:35" ht="13.5" thickBot="1" x14ac:dyDescent="0.35">
      <c r="A12" s="866"/>
      <c r="B12" s="351"/>
      <c r="C12" s="318" t="s">
        <v>341</v>
      </c>
      <c r="D12" s="319" t="s">
        <v>342</v>
      </c>
      <c r="E12" s="319" t="s">
        <v>341</v>
      </c>
      <c r="F12" s="320" t="s">
        <v>342</v>
      </c>
      <c r="G12" s="319" t="s">
        <v>341</v>
      </c>
      <c r="H12" s="320" t="s">
        <v>342</v>
      </c>
      <c r="I12" s="318" t="s">
        <v>341</v>
      </c>
      <c r="J12" s="319" t="s">
        <v>342</v>
      </c>
      <c r="K12" s="319" t="s">
        <v>341</v>
      </c>
      <c r="L12" s="320" t="s">
        <v>342</v>
      </c>
      <c r="M12" s="318" t="s">
        <v>341</v>
      </c>
      <c r="N12" s="319" t="s">
        <v>342</v>
      </c>
      <c r="O12" s="318" t="s">
        <v>341</v>
      </c>
      <c r="P12" s="319" t="s">
        <v>342</v>
      </c>
      <c r="Q12" s="319" t="s">
        <v>341</v>
      </c>
      <c r="R12" s="320" t="s">
        <v>342</v>
      </c>
      <c r="S12" s="318" t="s">
        <v>341</v>
      </c>
      <c r="T12" s="320" t="s">
        <v>342</v>
      </c>
      <c r="U12" s="318" t="s">
        <v>343</v>
      </c>
      <c r="V12" s="319" t="s">
        <v>345</v>
      </c>
      <c r="W12" s="355" t="s">
        <v>344</v>
      </c>
      <c r="Z12" s="321" t="s">
        <v>346</v>
      </c>
      <c r="AB12" s="322" t="s">
        <v>347</v>
      </c>
      <c r="AC12" s="323" t="s">
        <v>348</v>
      </c>
      <c r="AE12" s="322" t="s">
        <v>347</v>
      </c>
      <c r="AF12" s="323" t="s">
        <v>348</v>
      </c>
    </row>
    <row r="13" spans="1:35" x14ac:dyDescent="0.25">
      <c r="A13" s="324">
        <v>1</v>
      </c>
      <c r="B13" s="352">
        <f>A13/1000</f>
        <v>1E-3</v>
      </c>
      <c r="C13" s="325">
        <f t="shared" ref="C13:C76" si="0">SQRT(1+(A13/pole1)^2)</f>
        <v>1.000000194286198</v>
      </c>
      <c r="D13" s="326">
        <f t="shared" ref="D13:D76" si="1">ATAN(A13/pole1)</f>
        <v>6.2335570340757017E-4</v>
      </c>
      <c r="E13" s="326">
        <f t="shared" ref="E13:E76" si="2">SQRT(1+(A13/Zero1)^2)</f>
        <v>1.0000000000000859</v>
      </c>
      <c r="F13" s="327">
        <f t="shared" ref="F13:F76" si="3">ATAN(A13/Zero1)</f>
        <v>4.1469022979997624E-7</v>
      </c>
      <c r="G13" s="326">
        <f t="shared" ref="G13:G76" si="4">IF(VIN_nom&gt;Vout, 1, SQRT(1+(A13/z_RHP)^2))</f>
        <v>1</v>
      </c>
      <c r="H13" s="327">
        <f t="shared" ref="H13:H76" si="5">IF(VIN_nom&gt;Vout, 0, -ATAN(A13/z_RHP))</f>
        <v>0</v>
      </c>
      <c r="I13" s="325">
        <f t="shared" ref="I13:I76" si="6">SQRT(1+(A13/Pole2)^2)</f>
        <v>1.8600818521333791</v>
      </c>
      <c r="J13" s="328">
        <f t="shared" ref="J13:J76" si="7">ATAN(A13/Pole2)</f>
        <v>1.0031953590117497</v>
      </c>
      <c r="K13" s="326">
        <f t="shared" ref="K13:K76" si="8">SQRT(1+(A13/Zero2)^2)</f>
        <v>1.0000000078397235</v>
      </c>
      <c r="L13" s="327">
        <f t="shared" ref="L13:L76" si="9">ATAN(A13/Zero2)</f>
        <v>1.2521759918925245E-4</v>
      </c>
      <c r="M13" s="325">
        <f t="shared" ref="M13:M76" si="10">SQRT(1+(A13/pole4)^2)</f>
        <v>1.0000000000170415</v>
      </c>
      <c r="N13" s="690">
        <f t="shared" ref="N13:N76" si="11">ATAN(A13/pole4)</f>
        <v>5.8380615323836736E-6</v>
      </c>
      <c r="O13" s="683">
        <f t="shared" ref="O13:O76" si="12">IF(VOUT_setting=1,1,SQRT(1+(A13*zterm1)^2))</f>
        <v>1.0000000000168834</v>
      </c>
      <c r="P13" s="684">
        <f t="shared" ref="P13:P76" si="13">IF(VOUT_setting=1,0,ATAN(((A13*zterm1))))</f>
        <v>5.8109410927865939E-6</v>
      </c>
      <c r="Q13" s="683">
        <f>IF(VOUT_setting=1,1,SQRT((1+Afbr-pterm4*(A13)^2)^2+(A13*$Q$4)^2))</f>
        <v>4.1565656567615079</v>
      </c>
      <c r="R13" s="690">
        <f t="shared" ref="R13:R76" si="14">IF(VOUT_setting=1,0,ATAN(A13*$Q$4/(1+Afbr-$Q$5*(A13)^2)))</f>
        <v>9.7469978619653573E-6</v>
      </c>
      <c r="S13" s="329">
        <f t="shared" ref="S13:S76" si="15">SQRT((1-(Z13/pterm2))^2+(A13/pterm1)^2)</f>
        <v>0.99999999999231792</v>
      </c>
      <c r="T13" s="330">
        <f t="shared" ref="T13:T76" si="16">IF((ATAN((A13/pterm1)/(1-A13^2/pterm2))&gt;0),ATAN((A13/pterm1)/(1-A13^2/pterm2)),PI()+ATAN((A13/pterm1)/(1-A13^2/pterm2)))</f>
        <v>5.7658898825162408E-6</v>
      </c>
      <c r="U13" s="331">
        <f t="shared" ref="U13:U76" si="17">20*LOG10(((E13*K13*G13*O13)/(C13*I13*S13*M13*Q13))*Adc)</f>
        <v>95.523332401966883</v>
      </c>
      <c r="V13" s="332">
        <f t="shared" ref="V13:V76" si="18">((F13+L13+H13+P13)-(D13+J13+T13+N13+R13))*radconv</f>
        <v>-57.508267992066386</v>
      </c>
      <c r="W13" s="563">
        <f t="shared" ref="W13:W76" si="19">IF(V13&gt;0,V13,V13+180)</f>
        <v>122.49173200793362</v>
      </c>
      <c r="Y13" s="307">
        <f t="shared" ref="Y13:Y76" si="20">IF(U13&lt;0,A13,1000000000)</f>
        <v>1000000000</v>
      </c>
      <c r="Z13" s="307">
        <f t="shared" ref="Z13:Z76" si="21">A13^2</f>
        <v>1</v>
      </c>
      <c r="AB13" s="333">
        <f t="shared" ref="AB13:AB76" si="22">20*LOG10((K13/(I13*M13))*AEA)</f>
        <v>92.316583356824125</v>
      </c>
      <c r="AC13" s="334">
        <f t="shared" ref="AC13:AC76" si="23">(L13-(J13+N13))*radconv</f>
        <v>-57.472020220488069</v>
      </c>
      <c r="AE13" s="333">
        <f t="shared" ref="AE13:AE76" si="24">20*LOG10((E13*G13/(C13*S13))*Acs*Am)</f>
        <v>27.622641770979396</v>
      </c>
      <c r="AF13" s="334">
        <f t="shared" ref="AF13:AF76" si="25">(F13+H13-(D13+T13))*radconv</f>
        <v>-3.6022252137256412E-2</v>
      </c>
      <c r="AH13">
        <f t="shared" ref="AH13:AH76" si="26">SUM((U14&lt;0)*(U13&gt;0))*A13</f>
        <v>0</v>
      </c>
      <c r="AI13">
        <f t="shared" ref="AI13:AI44" si="27">IF(AH13&gt;0,W11,0)</f>
        <v>0</v>
      </c>
    </row>
    <row r="14" spans="1:35" x14ac:dyDescent="0.25">
      <c r="A14" s="335">
        <v>1.0965</v>
      </c>
      <c r="B14" s="352">
        <f t="shared" ref="B14:B77" si="28">A14/1000</f>
        <v>1.0965E-3</v>
      </c>
      <c r="C14" s="325">
        <f t="shared" si="0"/>
        <v>1.0000002335926712</v>
      </c>
      <c r="D14" s="326">
        <f t="shared" si="1"/>
        <v>6.8350951087550445E-4</v>
      </c>
      <c r="E14" s="326">
        <f t="shared" si="2"/>
        <v>1.0000000000001035</v>
      </c>
      <c r="F14" s="327">
        <f t="shared" si="3"/>
        <v>4.5470783697566868E-7</v>
      </c>
      <c r="G14" s="326">
        <f t="shared" si="4"/>
        <v>1</v>
      </c>
      <c r="H14" s="327">
        <f t="shared" si="5"/>
        <v>0</v>
      </c>
      <c r="I14" s="325">
        <f t="shared" si="6"/>
        <v>1.9893650520041508</v>
      </c>
      <c r="J14" s="328">
        <f t="shared" si="7"/>
        <v>1.0441083341828667</v>
      </c>
      <c r="K14" s="336">
        <f t="shared" si="8"/>
        <v>1.0000000094257957</v>
      </c>
      <c r="L14" s="337">
        <f t="shared" si="9"/>
        <v>1.3730109736583568E-4</v>
      </c>
      <c r="M14" s="325">
        <f t="shared" si="10"/>
        <v>1.0000000000204892</v>
      </c>
      <c r="N14" s="337">
        <f t="shared" si="11"/>
        <v>6.4014344702439846E-6</v>
      </c>
      <c r="O14" s="343">
        <f t="shared" si="12"/>
        <v>1.0000000000202993</v>
      </c>
      <c r="P14" s="691">
        <f t="shared" si="13"/>
        <v>6.3716969082259915E-6</v>
      </c>
      <c r="Q14" s="336">
        <f>IF(VOUT_setting=1,1,SQRT((1+Afbr-pterm4*(A14)^2)^2+(A14*$Q$4)^2))</f>
        <v>4.1565656568011313</v>
      </c>
      <c r="R14" s="692">
        <f t="shared" si="14"/>
        <v>1.068758315557737E-5</v>
      </c>
      <c r="S14" s="329">
        <f t="shared" si="15"/>
        <v>0.99999999999076383</v>
      </c>
      <c r="T14" s="330">
        <f t="shared" si="16"/>
        <v>6.3222982561959704E-6</v>
      </c>
      <c r="U14" s="331">
        <f t="shared" si="17"/>
        <v>94.939683501164353</v>
      </c>
      <c r="V14" s="332">
        <f t="shared" si="18"/>
        <v>-59.855246653748182</v>
      </c>
      <c r="W14" s="334">
        <f t="shared" si="19"/>
        <v>120.14475334625182</v>
      </c>
      <c r="Y14" s="307">
        <f t="shared" si="20"/>
        <v>1000000000</v>
      </c>
      <c r="Z14" s="307">
        <f t="shared" si="21"/>
        <v>1.2023122500000001</v>
      </c>
      <c r="AB14" s="333">
        <f t="shared" si="22"/>
        <v>91.732934797472709</v>
      </c>
      <c r="AC14" s="334">
        <f t="shared" si="23"/>
        <v>-59.815500973238784</v>
      </c>
      <c r="AE14" s="333">
        <f t="shared" si="24"/>
        <v>27.622641429581432</v>
      </c>
      <c r="AF14" s="334">
        <f t="shared" si="25"/>
        <v>-3.9498398442283866E-2</v>
      </c>
      <c r="AH14">
        <f t="shared" si="26"/>
        <v>0</v>
      </c>
      <c r="AI14">
        <f t="shared" si="27"/>
        <v>0</v>
      </c>
    </row>
    <row r="15" spans="1:35" x14ac:dyDescent="0.25">
      <c r="A15" s="335">
        <v>1.2022999999999999</v>
      </c>
      <c r="B15" s="352">
        <f t="shared" si="28"/>
        <v>1.2022999999999999E-3</v>
      </c>
      <c r="C15" s="325">
        <f t="shared" si="0"/>
        <v>1.0000002808456003</v>
      </c>
      <c r="D15" s="326">
        <f t="shared" si="1"/>
        <v>7.4946051895835814E-4</v>
      </c>
      <c r="E15" s="326">
        <f t="shared" si="2"/>
        <v>1.0000000000001243</v>
      </c>
      <c r="F15" s="327">
        <f t="shared" si="3"/>
        <v>4.9858206328849871E-7</v>
      </c>
      <c r="G15" s="326">
        <f t="shared" si="4"/>
        <v>1</v>
      </c>
      <c r="H15" s="327">
        <f t="shared" si="5"/>
        <v>0</v>
      </c>
      <c r="I15" s="325">
        <f t="shared" si="6"/>
        <v>2.1344446961380785</v>
      </c>
      <c r="J15" s="328">
        <f t="shared" si="7"/>
        <v>1.0831974640531865</v>
      </c>
      <c r="K15" s="336">
        <f t="shared" si="8"/>
        <v>1.0000000113325187</v>
      </c>
      <c r="L15" s="337">
        <f t="shared" si="9"/>
        <v>1.5054911915468006E-4</v>
      </c>
      <c r="M15" s="325">
        <f t="shared" si="10"/>
        <v>1.0000000000246339</v>
      </c>
      <c r="N15" s="337">
        <f t="shared" si="11"/>
        <v>7.0191013803493627E-6</v>
      </c>
      <c r="O15" s="343">
        <f t="shared" si="12"/>
        <v>1.0000000000244056</v>
      </c>
      <c r="P15" s="691">
        <f t="shared" si="13"/>
        <v>6.9864944758222864E-6</v>
      </c>
      <c r="Q15" s="336">
        <f t="shared" ref="Q15:Q78" si="29">IF(VOUT_setting=1,1,SQRT((1+Afbr-$Q$5*(A15)^2)^2+(A15*$Q$4)^2))</f>
        <v>4.1565656568487643</v>
      </c>
      <c r="R15" s="692">
        <f t="shared" si="14"/>
        <v>1.1718815529277612E-5</v>
      </c>
      <c r="S15" s="329">
        <f t="shared" si="15"/>
        <v>0.99999999998889533</v>
      </c>
      <c r="T15" s="330">
        <f t="shared" si="16"/>
        <v>6.9323294057901152E-6</v>
      </c>
      <c r="U15" s="331">
        <f t="shared" si="17"/>
        <v>94.328274659372653</v>
      </c>
      <c r="V15" s="332">
        <f t="shared" si="18"/>
        <v>-62.098000169467539</v>
      </c>
      <c r="W15" s="334">
        <f t="shared" si="19"/>
        <v>117.90199983053246</v>
      </c>
      <c r="Y15" s="307">
        <f t="shared" si="20"/>
        <v>1000000000</v>
      </c>
      <c r="Z15" s="307">
        <f t="shared" si="21"/>
        <v>1.4455252899999997</v>
      </c>
      <c r="AB15" s="333">
        <f t="shared" si="22"/>
        <v>91.121526366162087</v>
      </c>
      <c r="AC15" s="334">
        <f t="shared" si="23"/>
        <v>-62.054419476176889</v>
      </c>
      <c r="AE15" s="333">
        <f t="shared" si="24"/>
        <v>27.62264101916422</v>
      </c>
      <c r="AF15" s="334">
        <f t="shared" si="25"/>
        <v>-4.3309551266665573E-2</v>
      </c>
      <c r="AH15">
        <f t="shared" si="26"/>
        <v>0</v>
      </c>
      <c r="AI15">
        <f t="shared" si="27"/>
        <v>0</v>
      </c>
    </row>
    <row r="16" spans="1:35" x14ac:dyDescent="0.25">
      <c r="A16" s="335">
        <v>1.3183</v>
      </c>
      <c r="B16" s="352">
        <f t="shared" si="28"/>
        <v>1.3183000000000001E-3</v>
      </c>
      <c r="C16" s="325">
        <f t="shared" si="0"/>
        <v>1.0000003376528521</v>
      </c>
      <c r="D16" s="326">
        <f t="shared" si="1"/>
        <v>8.2176974525929218E-4</v>
      </c>
      <c r="E16" s="326">
        <f t="shared" si="2"/>
        <v>1.0000000000001494</v>
      </c>
      <c r="F16" s="327">
        <f t="shared" si="3"/>
        <v>5.4668612994528567E-7</v>
      </c>
      <c r="G16" s="326">
        <f t="shared" si="4"/>
        <v>1</v>
      </c>
      <c r="H16" s="327">
        <f t="shared" si="5"/>
        <v>0</v>
      </c>
      <c r="I16" s="325">
        <f t="shared" si="6"/>
        <v>2.2967595983649574</v>
      </c>
      <c r="J16" s="328">
        <f t="shared" si="7"/>
        <v>1.1203181856151987</v>
      </c>
      <c r="K16" s="336">
        <f t="shared" si="8"/>
        <v>1.0000000136247724</v>
      </c>
      <c r="L16" s="337">
        <f t="shared" si="9"/>
        <v>1.6507436037454935E-4</v>
      </c>
      <c r="M16" s="325">
        <f t="shared" si="10"/>
        <v>1.0000000000296168</v>
      </c>
      <c r="N16" s="337">
        <f t="shared" si="11"/>
        <v>7.6963165180768753E-6</v>
      </c>
      <c r="O16" s="343">
        <f t="shared" si="12"/>
        <v>1.0000000000293421</v>
      </c>
      <c r="P16" s="691">
        <f t="shared" si="13"/>
        <v>7.6605636425569403E-6</v>
      </c>
      <c r="Q16" s="336">
        <f t="shared" si="29"/>
        <v>4.1565656569060287</v>
      </c>
      <c r="R16" s="692">
        <f t="shared" si="14"/>
        <v>1.2849467281132298E-5</v>
      </c>
      <c r="S16" s="329">
        <f t="shared" si="15"/>
        <v>0.99999999998664912</v>
      </c>
      <c r="T16" s="330">
        <f t="shared" si="16"/>
        <v>7.6011726321953292E-6</v>
      </c>
      <c r="U16" s="331">
        <f t="shared" si="17"/>
        <v>93.691661518312671</v>
      </c>
      <c r="V16" s="332">
        <f t="shared" si="18"/>
        <v>-64.228272155912265</v>
      </c>
      <c r="W16" s="334">
        <f t="shared" si="19"/>
        <v>115.77172784408774</v>
      </c>
      <c r="Y16" s="307">
        <f t="shared" si="20"/>
        <v>1000000000</v>
      </c>
      <c r="Z16" s="307">
        <f t="shared" si="21"/>
        <v>1.7379148900000001</v>
      </c>
      <c r="AB16" s="333">
        <f t="shared" si="22"/>
        <v>90.484913718580515</v>
      </c>
      <c r="AC16" s="334">
        <f t="shared" si="23"/>
        <v>-64.18048672314076</v>
      </c>
      <c r="AE16" s="333">
        <f t="shared" si="24"/>
        <v>27.622640525762581</v>
      </c>
      <c r="AF16" s="334">
        <f t="shared" si="25"/>
        <v>-4.7488130492372257E-2</v>
      </c>
      <c r="AH16">
        <f t="shared" si="26"/>
        <v>0</v>
      </c>
      <c r="AI16">
        <f t="shared" si="27"/>
        <v>0</v>
      </c>
    </row>
    <row r="17" spans="1:35" x14ac:dyDescent="0.25">
      <c r="A17" s="335">
        <v>1.4454</v>
      </c>
      <c r="B17" s="352">
        <f t="shared" si="28"/>
        <v>1.4454000000000001E-3</v>
      </c>
      <c r="C17" s="325">
        <f t="shared" si="0"/>
        <v>1.0000004058990215</v>
      </c>
      <c r="D17" s="326">
        <f t="shared" si="1"/>
        <v>9.0099820659680474E-4</v>
      </c>
      <c r="E17" s="326">
        <f t="shared" si="2"/>
        <v>1.0000000000001796</v>
      </c>
      <c r="F17" s="327">
        <f t="shared" si="3"/>
        <v>5.993932581528483E-7</v>
      </c>
      <c r="G17" s="326">
        <f t="shared" si="4"/>
        <v>1</v>
      </c>
      <c r="H17" s="327">
        <f t="shared" si="5"/>
        <v>0</v>
      </c>
      <c r="I17" s="325">
        <f t="shared" si="6"/>
        <v>2.4777381075834253</v>
      </c>
      <c r="J17" s="328">
        <f t="shared" si="7"/>
        <v>1.1553548369482514</v>
      </c>
      <c r="K17" s="336">
        <f t="shared" si="8"/>
        <v>1.0000000163786027</v>
      </c>
      <c r="L17" s="337">
        <f t="shared" si="9"/>
        <v>1.8098951683784707E-4</v>
      </c>
      <c r="M17" s="325">
        <f t="shared" si="10"/>
        <v>1.0000000000356026</v>
      </c>
      <c r="N17" s="337">
        <f t="shared" si="11"/>
        <v>8.4383341388029433E-6</v>
      </c>
      <c r="O17" s="343">
        <f t="shared" si="12"/>
        <v>1.0000000000352727</v>
      </c>
      <c r="P17" s="691">
        <f t="shared" si="13"/>
        <v>8.3991342554107729E-6</v>
      </c>
      <c r="Q17" s="336">
        <f t="shared" si="29"/>
        <v>4.1565656569748253</v>
      </c>
      <c r="R17" s="692">
        <f t="shared" si="14"/>
        <v>1.4088310709204675E-5</v>
      </c>
      <c r="S17" s="329">
        <f t="shared" si="15"/>
        <v>0.99999999998395062</v>
      </c>
      <c r="T17" s="330">
        <f t="shared" si="16"/>
        <v>8.334017236309004E-6</v>
      </c>
      <c r="U17" s="331">
        <f t="shared" si="17"/>
        <v>93.032863742906329</v>
      </c>
      <c r="V17" s="332">
        <f t="shared" si="18"/>
        <v>-66.239462140027783</v>
      </c>
      <c r="W17" s="334">
        <f t="shared" si="19"/>
        <v>113.76053785997222</v>
      </c>
      <c r="Y17" s="307">
        <f t="shared" si="20"/>
        <v>1000000000</v>
      </c>
      <c r="Z17" s="307">
        <f t="shared" si="21"/>
        <v>2.0891811599999999</v>
      </c>
      <c r="AB17" s="333">
        <f t="shared" si="22"/>
        <v>89.826116536021189</v>
      </c>
      <c r="AC17" s="334">
        <f t="shared" si="23"/>
        <v>-66.187069618271281</v>
      </c>
      <c r="AE17" s="333">
        <f t="shared" si="24"/>
        <v>27.622639933007807</v>
      </c>
      <c r="AF17" s="334">
        <f t="shared" si="25"/>
        <v>-5.2066555956416863E-2</v>
      </c>
      <c r="AH17">
        <f t="shared" si="26"/>
        <v>0</v>
      </c>
      <c r="AI17">
        <f t="shared" si="27"/>
        <v>0</v>
      </c>
    </row>
    <row r="18" spans="1:35" x14ac:dyDescent="0.25">
      <c r="A18" s="335">
        <v>1.5849</v>
      </c>
      <c r="B18" s="352">
        <f t="shared" si="28"/>
        <v>1.5849E-3</v>
      </c>
      <c r="C18" s="325">
        <f t="shared" si="0"/>
        <v>1.0000004880289852</v>
      </c>
      <c r="D18" s="326">
        <f t="shared" si="1"/>
        <v>9.8795626086067042E-4</v>
      </c>
      <c r="E18" s="326">
        <f t="shared" si="2"/>
        <v>1.0000000000002158</v>
      </c>
      <c r="F18" s="327">
        <f t="shared" si="3"/>
        <v>6.5724254520992536E-7</v>
      </c>
      <c r="G18" s="326">
        <f t="shared" si="4"/>
        <v>1</v>
      </c>
      <c r="H18" s="327">
        <f t="shared" si="5"/>
        <v>0</v>
      </c>
      <c r="I18" s="325">
        <f t="shared" si="6"/>
        <v>2.6793756378930595</v>
      </c>
      <c r="J18" s="328">
        <f t="shared" si="7"/>
        <v>1.1883175519477029</v>
      </c>
      <c r="K18" s="336">
        <f t="shared" si="8"/>
        <v>1.0000000196926644</v>
      </c>
      <c r="L18" s="337">
        <f t="shared" si="9"/>
        <v>1.9845737138684386E-4</v>
      </c>
      <c r="M18" s="325">
        <f t="shared" si="10"/>
        <v>1.0000000000428066</v>
      </c>
      <c r="N18" s="337">
        <f t="shared" si="11"/>
        <v>9.2527437225159527E-6</v>
      </c>
      <c r="O18" s="343">
        <f t="shared" si="12"/>
        <v>1.0000000000424099</v>
      </c>
      <c r="P18" s="691">
        <f t="shared" si="13"/>
        <v>9.2097605378007458E-6</v>
      </c>
      <c r="Q18" s="336">
        <f t="shared" si="29"/>
        <v>4.1565656570576177</v>
      </c>
      <c r="R18" s="692">
        <f t="shared" si="14"/>
        <v>1.5448016910698209E-5</v>
      </c>
      <c r="S18" s="329">
        <f t="shared" si="15"/>
        <v>0.99999999998070332</v>
      </c>
      <c r="T18" s="330">
        <f t="shared" si="16"/>
        <v>9.138358874982682E-6</v>
      </c>
      <c r="U18" s="331">
        <f t="shared" si="17"/>
        <v>92.353298979748018</v>
      </c>
      <c r="V18" s="332">
        <f t="shared" si="18"/>
        <v>-68.132188981167971</v>
      </c>
      <c r="W18" s="334">
        <f t="shared" si="19"/>
        <v>111.86781101883203</v>
      </c>
      <c r="Y18" s="307">
        <f t="shared" si="20"/>
        <v>1000000000</v>
      </c>
      <c r="Z18" s="307">
        <f t="shared" si="21"/>
        <v>2.51190801</v>
      </c>
      <c r="AB18" s="333">
        <f t="shared" si="22"/>
        <v>89.146552486316878</v>
      </c>
      <c r="AC18" s="334">
        <f t="shared" si="23"/>
        <v>-68.074739899078551</v>
      </c>
      <c r="AE18" s="333">
        <f t="shared" si="24"/>
        <v>27.622639219664844</v>
      </c>
      <c r="AF18" s="334">
        <f t="shared" si="25"/>
        <v>-5.70916563273344E-2</v>
      </c>
      <c r="AH18">
        <f t="shared" si="26"/>
        <v>0</v>
      </c>
      <c r="AI18">
        <f t="shared" si="27"/>
        <v>0</v>
      </c>
    </row>
    <row r="19" spans="1:35" x14ac:dyDescent="0.25">
      <c r="A19" s="335">
        <v>1.7378</v>
      </c>
      <c r="B19" s="352">
        <f t="shared" si="28"/>
        <v>1.7378000000000001E-3</v>
      </c>
      <c r="C19" s="325">
        <f t="shared" si="0"/>
        <v>1.000000586734263</v>
      </c>
      <c r="D19" s="326">
        <f t="shared" si="1"/>
        <v>1.0832672579642933E-3</v>
      </c>
      <c r="E19" s="326">
        <f t="shared" si="2"/>
        <v>1.0000000000002598</v>
      </c>
      <c r="F19" s="327">
        <f t="shared" si="3"/>
        <v>7.2064868134631537E-7</v>
      </c>
      <c r="G19" s="326">
        <f t="shared" si="4"/>
        <v>1</v>
      </c>
      <c r="H19" s="327">
        <f t="shared" si="5"/>
        <v>0</v>
      </c>
      <c r="I19" s="325">
        <f t="shared" si="6"/>
        <v>2.9032371124533554</v>
      </c>
      <c r="J19" s="328">
        <f t="shared" si="7"/>
        <v>1.2191508025584015</v>
      </c>
      <c r="K19" s="336">
        <f t="shared" si="8"/>
        <v>1.0000000236755642</v>
      </c>
      <c r="L19" s="337">
        <f t="shared" si="9"/>
        <v>2.1760314157379714E-4</v>
      </c>
      <c r="M19" s="325">
        <f t="shared" si="10"/>
        <v>1.0000000000514644</v>
      </c>
      <c r="N19" s="337">
        <f t="shared" si="11"/>
        <v>1.0145383330743524E-5</v>
      </c>
      <c r="O19" s="343">
        <f t="shared" si="12"/>
        <v>1.0000000000509872</v>
      </c>
      <c r="P19" s="691">
        <f t="shared" si="13"/>
        <v>1.0098253430814951E-5</v>
      </c>
      <c r="Q19" s="336">
        <f t="shared" si="29"/>
        <v>4.1565656571571177</v>
      </c>
      <c r="R19" s="692">
        <f t="shared" si="14"/>
        <v>1.693833288345301E-5</v>
      </c>
      <c r="S19" s="329">
        <f t="shared" si="15"/>
        <v>0.99999999997680045</v>
      </c>
      <c r="T19" s="330">
        <f t="shared" si="16"/>
        <v>1.0019963438104356E-5</v>
      </c>
      <c r="U19" s="331">
        <f t="shared" si="17"/>
        <v>91.656320104411989</v>
      </c>
      <c r="V19" s="332">
        <f t="shared" si="18"/>
        <v>-69.90330056362329</v>
      </c>
      <c r="W19" s="334">
        <f t="shared" si="19"/>
        <v>110.09669943637671</v>
      </c>
      <c r="Y19" s="307">
        <f t="shared" si="20"/>
        <v>1000000000</v>
      </c>
      <c r="Z19" s="307">
        <f t="shared" si="21"/>
        <v>3.0199488400000001</v>
      </c>
      <c r="AB19" s="333">
        <f t="shared" si="22"/>
        <v>88.449574468422654</v>
      </c>
      <c r="AC19" s="334">
        <f t="shared" si="23"/>
        <v>-69.840309202413152</v>
      </c>
      <c r="AE19" s="333">
        <f t="shared" si="24"/>
        <v>27.622638362356437</v>
      </c>
      <c r="AF19" s="334">
        <f t="shared" si="25"/>
        <v>-6.2599453525519669E-2</v>
      </c>
      <c r="AH19">
        <f t="shared" si="26"/>
        <v>0</v>
      </c>
      <c r="AI19">
        <f t="shared" si="27"/>
        <v>0</v>
      </c>
    </row>
    <row r="20" spans="1:35" x14ac:dyDescent="0.25">
      <c r="A20" s="335">
        <v>1.9055</v>
      </c>
      <c r="B20" s="352">
        <f t="shared" si="28"/>
        <v>1.9055000000000001E-3</v>
      </c>
      <c r="C20" s="325">
        <f t="shared" si="0"/>
        <v>1.0000007054394529</v>
      </c>
      <c r="D20" s="326">
        <f t="shared" si="1"/>
        <v>1.1878038880766403E-3</v>
      </c>
      <c r="E20" s="326">
        <f t="shared" si="2"/>
        <v>1.0000000000003122</v>
      </c>
      <c r="F20" s="327">
        <f t="shared" si="3"/>
        <v>7.9019223288373558E-7</v>
      </c>
      <c r="G20" s="326">
        <f t="shared" si="4"/>
        <v>1</v>
      </c>
      <c r="H20" s="327">
        <f t="shared" si="5"/>
        <v>0</v>
      </c>
      <c r="I20" s="325">
        <f t="shared" si="6"/>
        <v>3.1514665869950873</v>
      </c>
      <c r="J20" s="328">
        <f t="shared" si="7"/>
        <v>1.247902057620526</v>
      </c>
      <c r="K20" s="336">
        <f t="shared" si="8"/>
        <v>1.0000000284654893</v>
      </c>
      <c r="L20" s="337">
        <f t="shared" si="9"/>
        <v>2.3860213197421943E-4</v>
      </c>
      <c r="M20" s="325">
        <f t="shared" si="10"/>
        <v>1.0000000000618763</v>
      </c>
      <c r="N20" s="337">
        <f t="shared" si="11"/>
        <v>1.1124426249624581E-5</v>
      </c>
      <c r="O20" s="343">
        <f t="shared" si="12"/>
        <v>1.000000000061303</v>
      </c>
      <c r="P20" s="691">
        <f t="shared" si="13"/>
        <v>1.1072748251976958E-5</v>
      </c>
      <c r="Q20" s="336">
        <f t="shared" si="29"/>
        <v>4.1565656572767793</v>
      </c>
      <c r="R20" s="692">
        <f t="shared" si="14"/>
        <v>1.85729044244463E-5</v>
      </c>
      <c r="S20" s="329">
        <f t="shared" si="15"/>
        <v>0.99999999997210676</v>
      </c>
      <c r="T20" s="330">
        <f t="shared" si="16"/>
        <v>1.0986903171516919E-5</v>
      </c>
      <c r="U20" s="331">
        <f t="shared" si="17"/>
        <v>90.943715113419074</v>
      </c>
      <c r="V20" s="332">
        <f t="shared" si="18"/>
        <v>-71.555557822112306</v>
      </c>
      <c r="W20" s="334">
        <f t="shared" si="19"/>
        <v>108.44444217788769</v>
      </c>
      <c r="Y20" s="307">
        <f t="shared" si="20"/>
        <v>1000000000</v>
      </c>
      <c r="Z20" s="307">
        <f t="shared" si="21"/>
        <v>3.63093025</v>
      </c>
      <c r="AB20" s="333">
        <f t="shared" si="22"/>
        <v>87.736970508608493</v>
      </c>
      <c r="AC20" s="334">
        <f t="shared" si="23"/>
        <v>-71.486487716561285</v>
      </c>
      <c r="AE20" s="333">
        <f t="shared" si="24"/>
        <v>27.622637331338147</v>
      </c>
      <c r="AF20" s="334">
        <f t="shared" si="25"/>
        <v>-6.8640378256152712E-2</v>
      </c>
      <c r="AH20">
        <f t="shared" si="26"/>
        <v>0</v>
      </c>
      <c r="AI20">
        <f t="shared" si="27"/>
        <v>0</v>
      </c>
    </row>
    <row r="21" spans="1:35" x14ac:dyDescent="0.25">
      <c r="A21" s="335">
        <v>2.0893000000000002</v>
      </c>
      <c r="B21" s="352">
        <f t="shared" si="28"/>
        <v>2.0893000000000001E-3</v>
      </c>
      <c r="C21" s="325">
        <f t="shared" si="0"/>
        <v>1.0000008480928777</v>
      </c>
      <c r="D21" s="326">
        <f t="shared" si="1"/>
        <v>1.3023765034612246E-3</v>
      </c>
      <c r="E21" s="326">
        <f t="shared" si="2"/>
        <v>1.0000000000003753</v>
      </c>
      <c r="F21" s="327">
        <f t="shared" si="3"/>
        <v>8.6641229712092328E-7</v>
      </c>
      <c r="G21" s="326">
        <f t="shared" si="4"/>
        <v>1</v>
      </c>
      <c r="H21" s="327">
        <f t="shared" si="5"/>
        <v>0</v>
      </c>
      <c r="I21" s="325">
        <f t="shared" si="6"/>
        <v>3.4260636825008821</v>
      </c>
      <c r="J21" s="328">
        <f t="shared" si="7"/>
        <v>1.2746043226895865</v>
      </c>
      <c r="K21" s="336">
        <f t="shared" si="8"/>
        <v>1.0000000342217612</v>
      </c>
      <c r="L21" s="337">
        <f t="shared" si="9"/>
        <v>2.6161712538477663E-4</v>
      </c>
      <c r="M21" s="325">
        <f t="shared" si="10"/>
        <v>1.0000000000743889</v>
      </c>
      <c r="N21" s="337">
        <f t="shared" si="11"/>
        <v>1.219746195914288E-5</v>
      </c>
      <c r="O21" s="343">
        <f t="shared" si="12"/>
        <v>1.0000000000736995</v>
      </c>
      <c r="P21" s="691">
        <f t="shared" si="13"/>
        <v>1.214079922469917E-5</v>
      </c>
      <c r="Q21" s="336">
        <f t="shared" si="29"/>
        <v>4.1565656574205816</v>
      </c>
      <c r="R21" s="692">
        <f t="shared" si="14"/>
        <v>2.03644026308603E-5</v>
      </c>
      <c r="S21" s="329">
        <f t="shared" si="15"/>
        <v>0.99999999996646627</v>
      </c>
      <c r="T21" s="330">
        <f t="shared" si="16"/>
        <v>1.2046673732077234E-5</v>
      </c>
      <c r="U21" s="331">
        <f t="shared" si="17"/>
        <v>90.218059438388337</v>
      </c>
      <c r="V21" s="332">
        <f t="shared" si="18"/>
        <v>-73.0908900652678</v>
      </c>
      <c r="W21" s="334">
        <f t="shared" si="19"/>
        <v>106.9091099347322</v>
      </c>
      <c r="Y21" s="307">
        <f t="shared" si="20"/>
        <v>1000000000</v>
      </c>
      <c r="Z21" s="307">
        <f t="shared" si="21"/>
        <v>4.3651744900000002</v>
      </c>
      <c r="AB21" s="333">
        <f t="shared" si="22"/>
        <v>87.011316072791971</v>
      </c>
      <c r="AC21" s="334">
        <f t="shared" si="23"/>
        <v>-73.015157628634284</v>
      </c>
      <c r="AE21" s="333">
        <f t="shared" si="24"/>
        <v>27.622636092316746</v>
      </c>
      <c r="AF21" s="334">
        <f t="shared" si="25"/>
        <v>-7.5261258865407812E-2</v>
      </c>
      <c r="AH21">
        <f t="shared" si="26"/>
        <v>0</v>
      </c>
      <c r="AI21">
        <f t="shared" si="27"/>
        <v>0</v>
      </c>
    </row>
    <row r="22" spans="1:35" x14ac:dyDescent="0.25">
      <c r="A22" s="335">
        <v>2.2909000000000002</v>
      </c>
      <c r="B22" s="352">
        <f t="shared" si="28"/>
        <v>2.2909000000000002E-3</v>
      </c>
      <c r="C22" s="325">
        <f t="shared" si="0"/>
        <v>1.000001019656835</v>
      </c>
      <c r="D22" s="326">
        <f t="shared" si="1"/>
        <v>1.4280447951590413E-3</v>
      </c>
      <c r="E22" s="326">
        <f t="shared" si="2"/>
        <v>1.0000000000004512</v>
      </c>
      <c r="F22" s="327">
        <f t="shared" si="3"/>
        <v>9.5001384744853439E-7</v>
      </c>
      <c r="G22" s="326">
        <f t="shared" si="4"/>
        <v>1</v>
      </c>
      <c r="H22" s="327">
        <f t="shared" si="5"/>
        <v>0</v>
      </c>
      <c r="I22" s="325">
        <f t="shared" si="6"/>
        <v>3.7296282508671448</v>
      </c>
      <c r="J22" s="328">
        <f t="shared" si="7"/>
        <v>1.2993519179663786</v>
      </c>
      <c r="K22" s="336">
        <f t="shared" si="8"/>
        <v>1.0000000411446157</v>
      </c>
      <c r="L22" s="337">
        <f t="shared" si="9"/>
        <v>2.868609916134089E-4</v>
      </c>
      <c r="M22" s="325">
        <f t="shared" si="10"/>
        <v>1.0000000000894373</v>
      </c>
      <c r="N22" s="337">
        <f t="shared" si="11"/>
        <v>1.3374415163892255E-5</v>
      </c>
      <c r="O22" s="343">
        <f t="shared" si="12"/>
        <v>1.0000000000886085</v>
      </c>
      <c r="P22" s="691">
        <f t="shared" si="13"/>
        <v>1.3312284948828261E-5</v>
      </c>
      <c r="Q22" s="336">
        <f t="shared" si="29"/>
        <v>4.1565656575935286</v>
      </c>
      <c r="R22" s="692">
        <f t="shared" si="14"/>
        <v>2.2329397399008777E-5</v>
      </c>
      <c r="S22" s="329">
        <f t="shared" si="15"/>
        <v>0.99999999995968269</v>
      </c>
      <c r="T22" s="330">
        <f t="shared" si="16"/>
        <v>1.3209077132598467E-5</v>
      </c>
      <c r="U22" s="331">
        <f t="shared" si="17"/>
        <v>89.480655715562165</v>
      </c>
      <c r="V22" s="332">
        <f t="shared" si="18"/>
        <v>-74.514751435055771</v>
      </c>
      <c r="W22" s="334">
        <f t="shared" si="19"/>
        <v>105.48524856494423</v>
      </c>
      <c r="Y22" s="307">
        <f t="shared" si="20"/>
        <v>1000000000</v>
      </c>
      <c r="Z22" s="307">
        <f t="shared" si="21"/>
        <v>5.2482228100000006</v>
      </c>
      <c r="AB22" s="333">
        <f t="shared" si="22"/>
        <v>86.273913840322351</v>
      </c>
      <c r="AC22" s="334">
        <f t="shared" si="23"/>
        <v>-74.431711460168842</v>
      </c>
      <c r="AE22" s="333">
        <f t="shared" si="24"/>
        <v>27.622634602192122</v>
      </c>
      <c r="AF22" s="334">
        <f t="shared" si="25"/>
        <v>-8.2523332399556754E-2</v>
      </c>
      <c r="AH22">
        <f t="shared" si="26"/>
        <v>0</v>
      </c>
      <c r="AI22">
        <f t="shared" si="27"/>
        <v>0</v>
      </c>
    </row>
    <row r="23" spans="1:35" x14ac:dyDescent="0.25">
      <c r="A23" s="335">
        <v>2.5118999999999998</v>
      </c>
      <c r="B23" s="352">
        <f t="shared" si="28"/>
        <v>2.5118999999999996E-3</v>
      </c>
      <c r="C23" s="325">
        <f t="shared" si="0"/>
        <v>1.0000012258756465</v>
      </c>
      <c r="D23" s="326">
        <f t="shared" si="1"/>
        <v>1.5658061145436216E-3</v>
      </c>
      <c r="E23" s="326">
        <f t="shared" si="2"/>
        <v>1.0000000000005427</v>
      </c>
      <c r="F23" s="327">
        <f t="shared" si="3"/>
        <v>1.0416603882342434E-6</v>
      </c>
      <c r="G23" s="326">
        <f t="shared" si="4"/>
        <v>1</v>
      </c>
      <c r="H23" s="327">
        <f t="shared" si="5"/>
        <v>0</v>
      </c>
      <c r="I23" s="325">
        <f t="shared" si="6"/>
        <v>4.0646175427216082</v>
      </c>
      <c r="J23" s="328">
        <f t="shared" si="7"/>
        <v>1.3222186452526781</v>
      </c>
      <c r="K23" s="336">
        <f t="shared" si="8"/>
        <v>1.0000000494658454</v>
      </c>
      <c r="L23" s="337">
        <f t="shared" si="9"/>
        <v>3.1453407867492735E-4</v>
      </c>
      <c r="M23" s="325">
        <f t="shared" si="10"/>
        <v>1.0000000001075255</v>
      </c>
      <c r="N23" s="337">
        <f t="shared" si="11"/>
        <v>1.4664626762309938E-5</v>
      </c>
      <c r="O23" s="343">
        <f t="shared" si="12"/>
        <v>1.000000000106529</v>
      </c>
      <c r="P23" s="691">
        <f t="shared" si="13"/>
        <v>1.4596502930098304E-5</v>
      </c>
      <c r="Q23" s="336">
        <f t="shared" si="29"/>
        <v>4.1565656578014085</v>
      </c>
      <c r="R23" s="692">
        <f t="shared" si="14"/>
        <v>2.4483483925403831E-5</v>
      </c>
      <c r="S23" s="329">
        <f t="shared" si="15"/>
        <v>0.99999999995152866</v>
      </c>
      <c r="T23" s="330">
        <f t="shared" si="16"/>
        <v>1.4483338796909413E-5</v>
      </c>
      <c r="U23" s="331">
        <f t="shared" si="17"/>
        <v>88.733571168709886</v>
      </c>
      <c r="V23" s="332">
        <f t="shared" si="18"/>
        <v>-75.831417514759053</v>
      </c>
      <c r="W23" s="334">
        <f t="shared" si="19"/>
        <v>104.16858248524095</v>
      </c>
      <c r="Y23" s="307">
        <f t="shared" si="20"/>
        <v>1000000000</v>
      </c>
      <c r="Z23" s="307">
        <f t="shared" si="21"/>
        <v>6.309641609999999</v>
      </c>
      <c r="AB23" s="333">
        <f t="shared" si="22"/>
        <v>85.526831084869031</v>
      </c>
      <c r="AC23" s="334">
        <f t="shared" si="23"/>
        <v>-75.74036679903034</v>
      </c>
      <c r="AE23" s="333">
        <f t="shared" si="24"/>
        <v>27.622632811071913</v>
      </c>
      <c r="AF23" s="334">
        <f t="shared" si="25"/>
        <v>-9.0484233444909981E-2</v>
      </c>
      <c r="AH23">
        <f t="shared" si="26"/>
        <v>0</v>
      </c>
      <c r="AI23">
        <f t="shared" si="27"/>
        <v>0</v>
      </c>
    </row>
    <row r="24" spans="1:35" x14ac:dyDescent="0.25">
      <c r="A24" s="335">
        <v>2.7542</v>
      </c>
      <c r="B24" s="352">
        <f t="shared" si="28"/>
        <v>2.7542000000000001E-3</v>
      </c>
      <c r="C24" s="325">
        <f t="shared" si="0"/>
        <v>1.0000014737798675</v>
      </c>
      <c r="D24" s="326">
        <f t="shared" si="1"/>
        <v>1.7168448138640202E-3</v>
      </c>
      <c r="E24" s="326">
        <f t="shared" si="2"/>
        <v>1.0000000000006524</v>
      </c>
      <c r="F24" s="327">
        <f t="shared" si="3"/>
        <v>1.1421398309146636E-6</v>
      </c>
      <c r="G24" s="326">
        <f t="shared" si="4"/>
        <v>1</v>
      </c>
      <c r="H24" s="327">
        <f t="shared" si="5"/>
        <v>0</v>
      </c>
      <c r="I24" s="325">
        <f t="shared" si="6"/>
        <v>4.4339480085356122</v>
      </c>
      <c r="J24" s="328">
        <f t="shared" si="7"/>
        <v>1.3433065991180291</v>
      </c>
      <c r="K24" s="336">
        <f t="shared" si="8"/>
        <v>1.0000000594691443</v>
      </c>
      <c r="L24" s="337">
        <f t="shared" si="9"/>
        <v>3.4487429981659896E-4</v>
      </c>
      <c r="M24" s="325">
        <f t="shared" si="10"/>
        <v>1.0000000001292702</v>
      </c>
      <c r="N24" s="337">
        <f t="shared" si="11"/>
        <v>1.6079189071288085E-5</v>
      </c>
      <c r="O24" s="343">
        <f t="shared" si="12"/>
        <v>1.0000000001280718</v>
      </c>
      <c r="P24" s="691">
        <f t="shared" si="13"/>
        <v>1.6004493956566494E-5</v>
      </c>
      <c r="Q24" s="336">
        <f t="shared" si="29"/>
        <v>4.15656565805131</v>
      </c>
      <c r="R24" s="692">
        <f t="shared" si="14"/>
        <v>2.6845181505894124E-5</v>
      </c>
      <c r="S24" s="329">
        <f t="shared" si="15"/>
        <v>0.99999999994172661</v>
      </c>
      <c r="T24" s="330">
        <f t="shared" si="16"/>
        <v>1.5880413915809123E-5</v>
      </c>
      <c r="U24" s="331">
        <f t="shared" si="17"/>
        <v>87.978150918972801</v>
      </c>
      <c r="V24" s="332">
        <f t="shared" si="18"/>
        <v>-77.046793765862915</v>
      </c>
      <c r="W24" s="334">
        <f t="shared" si="19"/>
        <v>102.95320623413708</v>
      </c>
      <c r="Y24" s="307">
        <f t="shared" si="20"/>
        <v>1000000000</v>
      </c>
      <c r="Z24" s="307">
        <f t="shared" si="21"/>
        <v>7.5856176399999997</v>
      </c>
      <c r="AB24" s="333">
        <f t="shared" si="22"/>
        <v>84.771412988646745</v>
      </c>
      <c r="AC24" s="334">
        <f t="shared" si="23"/>
        <v>-76.946960237289531</v>
      </c>
      <c r="AE24" s="333">
        <f t="shared" si="24"/>
        <v>27.622630657892206</v>
      </c>
      <c r="AF24" s="334">
        <f t="shared" si="25"/>
        <v>-9.9212402929069951E-2</v>
      </c>
      <c r="AH24">
        <f t="shared" si="26"/>
        <v>0</v>
      </c>
      <c r="AI24">
        <f t="shared" si="27"/>
        <v>0</v>
      </c>
    </row>
    <row r="25" spans="1:35" x14ac:dyDescent="0.25">
      <c r="A25" s="335">
        <v>3.02</v>
      </c>
      <c r="B25" s="352">
        <f t="shared" si="28"/>
        <v>3.0200000000000001E-3</v>
      </c>
      <c r="C25" s="325">
        <f t="shared" si="0"/>
        <v>1.000001771966442</v>
      </c>
      <c r="D25" s="326">
        <f t="shared" si="1"/>
        <v>1.8825322442686278E-3</v>
      </c>
      <c r="E25" s="326">
        <f t="shared" si="2"/>
        <v>1.0000000000007843</v>
      </c>
      <c r="F25" s="327">
        <f t="shared" si="3"/>
        <v>1.2523644939953454E-6</v>
      </c>
      <c r="G25" s="326">
        <f t="shared" si="4"/>
        <v>1</v>
      </c>
      <c r="H25" s="327">
        <f t="shared" si="5"/>
        <v>0</v>
      </c>
      <c r="I25" s="325">
        <f t="shared" si="6"/>
        <v>4.8410033021181098</v>
      </c>
      <c r="J25" s="328">
        <f t="shared" si="7"/>
        <v>1.362729559810445</v>
      </c>
      <c r="K25" s="336">
        <f t="shared" si="8"/>
        <v>1.000000071501413</v>
      </c>
      <c r="L25" s="337">
        <f t="shared" si="9"/>
        <v>3.7815713350212787E-4</v>
      </c>
      <c r="M25" s="325">
        <f t="shared" si="10"/>
        <v>1.000000000155425</v>
      </c>
      <c r="N25" s="337">
        <f t="shared" si="11"/>
        <v>1.7630945826172139E-5</v>
      </c>
      <c r="O25" s="343">
        <f t="shared" si="12"/>
        <v>1.0000000001539844</v>
      </c>
      <c r="P25" s="691">
        <f t="shared" si="13"/>
        <v>1.7549042098611521E-5</v>
      </c>
      <c r="Q25" s="336">
        <f t="shared" si="29"/>
        <v>4.1565656583518988</v>
      </c>
      <c r="R25" s="692">
        <f t="shared" si="14"/>
        <v>2.9435933535657382E-5</v>
      </c>
      <c r="S25" s="329">
        <f t="shared" si="15"/>
        <v>0.99999999992993616</v>
      </c>
      <c r="T25" s="330">
        <f t="shared" si="16"/>
        <v>1.7412987447068789E-5</v>
      </c>
      <c r="U25" s="331">
        <f t="shared" si="17"/>
        <v>87.21525278275837</v>
      </c>
      <c r="V25" s="332">
        <f t="shared" si="18"/>
        <v>-78.167464011814815</v>
      </c>
      <c r="W25" s="334">
        <f t="shared" si="19"/>
        <v>101.83253598818519</v>
      </c>
      <c r="Y25" s="307">
        <f t="shared" si="20"/>
        <v>1000000000</v>
      </c>
      <c r="Z25" s="307">
        <f t="shared" si="21"/>
        <v>9.1204000000000001</v>
      </c>
      <c r="AB25" s="333">
        <f t="shared" si="22"/>
        <v>84.008517442743312</v>
      </c>
      <c r="AC25" s="334">
        <f t="shared" si="23"/>
        <v>-78.05799585509547</v>
      </c>
      <c r="AE25" s="333">
        <f t="shared" si="24"/>
        <v>27.622628067984291</v>
      </c>
      <c r="AF25" s="334">
        <f t="shared" si="25"/>
        <v>-0.10878708800770405</v>
      </c>
      <c r="AH25">
        <f t="shared" si="26"/>
        <v>0</v>
      </c>
      <c r="AI25">
        <f t="shared" si="27"/>
        <v>0</v>
      </c>
    </row>
    <row r="26" spans="1:35" x14ac:dyDescent="0.25">
      <c r="A26" s="335">
        <v>3.3113000000000001</v>
      </c>
      <c r="B26" s="352">
        <f t="shared" si="28"/>
        <v>3.3113000000000001E-3</v>
      </c>
      <c r="C26" s="325">
        <f t="shared" si="0"/>
        <v>1.0000021302893065</v>
      </c>
      <c r="D26" s="326">
        <f t="shared" si="1"/>
        <v>2.0641150766052357E-3</v>
      </c>
      <c r="E26" s="326">
        <f t="shared" si="2"/>
        <v>1.0000000000009428</v>
      </c>
      <c r="F26" s="327">
        <f t="shared" si="3"/>
        <v>1.3731637579358769E-6</v>
      </c>
      <c r="G26" s="326">
        <f t="shared" si="4"/>
        <v>1</v>
      </c>
      <c r="H26" s="327">
        <f t="shared" si="5"/>
        <v>0</v>
      </c>
      <c r="I26" s="325">
        <f t="shared" si="6"/>
        <v>5.2888688536330433</v>
      </c>
      <c r="J26" s="328">
        <f t="shared" si="7"/>
        <v>1.3805748856289262</v>
      </c>
      <c r="K26" s="336">
        <f t="shared" si="8"/>
        <v>1.0000000859602745</v>
      </c>
      <c r="L26" s="337">
        <f t="shared" si="9"/>
        <v>4.1463301460113212E-4</v>
      </c>
      <c r="M26" s="325">
        <f t="shared" si="10"/>
        <v>1.000000000186855</v>
      </c>
      <c r="N26" s="337">
        <f t="shared" si="11"/>
        <v>1.9331573149993552E-5</v>
      </c>
      <c r="O26" s="343">
        <f t="shared" si="12"/>
        <v>1.0000000001851228</v>
      </c>
      <c r="P26" s="691">
        <f t="shared" si="13"/>
        <v>1.9241769238386101E-5</v>
      </c>
      <c r="Q26" s="336">
        <f t="shared" si="29"/>
        <v>4.1565656587131095</v>
      </c>
      <c r="R26" s="692">
        <f t="shared" si="14"/>
        <v>3.2275234010264357E-5</v>
      </c>
      <c r="S26" s="329">
        <f t="shared" si="15"/>
        <v>0.99999999991576805</v>
      </c>
      <c r="T26" s="330">
        <f t="shared" si="16"/>
        <v>1.9092591170491736E-5</v>
      </c>
      <c r="U26" s="331">
        <f t="shared" si="17"/>
        <v>86.446701411097493</v>
      </c>
      <c r="V26" s="332">
        <f t="shared" si="18"/>
        <v>-79.198492327809461</v>
      </c>
      <c r="W26" s="334">
        <f t="shared" si="19"/>
        <v>100.80150767219054</v>
      </c>
      <c r="Y26" s="307">
        <f t="shared" si="20"/>
        <v>1000000000</v>
      </c>
      <c r="Z26" s="307">
        <f t="shared" si="21"/>
        <v>10.964707690000001</v>
      </c>
      <c r="AB26" s="333">
        <f t="shared" si="22"/>
        <v>83.2399691837891</v>
      </c>
      <c r="AC26" s="334">
        <f t="shared" si="23"/>
        <v>-79.078465234423533</v>
      </c>
      <c r="AE26" s="333">
        <f t="shared" si="24"/>
        <v>27.622624955761946</v>
      </c>
      <c r="AF26" s="334">
        <f t="shared" si="25"/>
        <v>-0.11928033086122811</v>
      </c>
      <c r="AH26">
        <f t="shared" si="26"/>
        <v>0</v>
      </c>
      <c r="AI26">
        <f t="shared" si="27"/>
        <v>0</v>
      </c>
    </row>
    <row r="27" spans="1:35" x14ac:dyDescent="0.25">
      <c r="A27" s="335">
        <v>3.6307999999999998</v>
      </c>
      <c r="B27" s="352">
        <f t="shared" si="28"/>
        <v>3.6308E-3</v>
      </c>
      <c r="C27" s="325">
        <f t="shared" si="0"/>
        <v>1.0000025612153092</v>
      </c>
      <c r="D27" s="326">
        <f t="shared" si="1"/>
        <v>2.2632763165899294E-3</v>
      </c>
      <c r="E27" s="326">
        <f t="shared" si="2"/>
        <v>1.0000000000011335</v>
      </c>
      <c r="F27" s="327">
        <f t="shared" si="3"/>
        <v>1.5056572863567022E-6</v>
      </c>
      <c r="G27" s="326">
        <f t="shared" si="4"/>
        <v>1</v>
      </c>
      <c r="H27" s="327">
        <f t="shared" si="5"/>
        <v>0</v>
      </c>
      <c r="I27" s="325">
        <f t="shared" si="6"/>
        <v>5.7817129175857112</v>
      </c>
      <c r="J27" s="328">
        <f t="shared" si="7"/>
        <v>1.3969630421810035</v>
      </c>
      <c r="K27" s="336">
        <f t="shared" si="8"/>
        <v>1.0000001033487873</v>
      </c>
      <c r="L27" s="337">
        <f t="shared" si="9"/>
        <v>4.5464003018817555E-4</v>
      </c>
      <c r="M27" s="325">
        <f t="shared" si="10"/>
        <v>1.0000000002246527</v>
      </c>
      <c r="N27" s="337">
        <f t="shared" si="11"/>
        <v>2.119683380884484E-5</v>
      </c>
      <c r="O27" s="343">
        <f t="shared" si="12"/>
        <v>1.0000000002225704</v>
      </c>
      <c r="P27" s="691">
        <f t="shared" si="13"/>
        <v>2.1098364916796457E-5</v>
      </c>
      <c r="Q27" s="336">
        <f t="shared" si="29"/>
        <v>4.1565656591475078</v>
      </c>
      <c r="R27" s="692">
        <f t="shared" si="14"/>
        <v>3.5389399823735829E-5</v>
      </c>
      <c r="S27" s="329">
        <f t="shared" si="15"/>
        <v>0.99999999989872923</v>
      </c>
      <c r="T27" s="330">
        <f t="shared" si="16"/>
        <v>2.0934792988812395E-5</v>
      </c>
      <c r="U27" s="331">
        <f t="shared" si="17"/>
        <v>85.672823307883192</v>
      </c>
      <c r="V27" s="332">
        <f t="shared" si="18"/>
        <v>-80.146860282770334</v>
      </c>
      <c r="W27" s="334">
        <f t="shared" si="19"/>
        <v>99.853139717229666</v>
      </c>
      <c r="Y27" s="307">
        <f t="shared" si="20"/>
        <v>1000000000</v>
      </c>
      <c r="Z27" s="307">
        <f t="shared" si="21"/>
        <v>13.182708639999998</v>
      </c>
      <c r="AB27" s="333">
        <f t="shared" si="22"/>
        <v>82.466094823974572</v>
      </c>
      <c r="AC27" s="334">
        <f t="shared" si="23"/>
        <v>-80.015252078347061</v>
      </c>
      <c r="AE27" s="333">
        <f t="shared" si="24"/>
        <v>27.622621212944679</v>
      </c>
      <c r="AF27" s="334">
        <f t="shared" si="25"/>
        <v>-0.13078938843730403</v>
      </c>
      <c r="AH27">
        <f t="shared" si="26"/>
        <v>0</v>
      </c>
      <c r="AI27">
        <f t="shared" si="27"/>
        <v>0</v>
      </c>
    </row>
    <row r="28" spans="1:35" x14ac:dyDescent="0.25">
      <c r="A28" s="335">
        <v>3.9811000000000001</v>
      </c>
      <c r="B28" s="352">
        <f t="shared" si="28"/>
        <v>3.9811000000000004E-3</v>
      </c>
      <c r="C28" s="325">
        <f t="shared" si="0"/>
        <v>1.0000030792680532</v>
      </c>
      <c r="D28" s="326">
        <f t="shared" si="1"/>
        <v>2.4816366178526078E-3</v>
      </c>
      <c r="E28" s="326">
        <f t="shared" si="2"/>
        <v>1.0000000000013629</v>
      </c>
      <c r="F28" s="327">
        <f t="shared" si="3"/>
        <v>1.6509232738552803E-6</v>
      </c>
      <c r="G28" s="326">
        <f t="shared" si="4"/>
        <v>1</v>
      </c>
      <c r="H28" s="327">
        <f t="shared" si="5"/>
        <v>0</v>
      </c>
      <c r="I28" s="325">
        <f t="shared" si="6"/>
        <v>6.323560159338169</v>
      </c>
      <c r="J28" s="328">
        <f t="shared" si="7"/>
        <v>1.4119909121651144</v>
      </c>
      <c r="K28" s="336">
        <f t="shared" si="8"/>
        <v>1.000000124253005</v>
      </c>
      <c r="L28" s="337">
        <f t="shared" si="9"/>
        <v>4.9850374544402874E-4</v>
      </c>
      <c r="M28" s="325">
        <f t="shared" si="10"/>
        <v>1.0000000002700933</v>
      </c>
      <c r="N28" s="337">
        <f t="shared" si="11"/>
        <v>2.324190676265171E-5</v>
      </c>
      <c r="O28" s="343">
        <f t="shared" si="12"/>
        <v>1.0000000002675895</v>
      </c>
      <c r="P28" s="691">
        <f t="shared" si="13"/>
        <v>2.3133937580626164E-5</v>
      </c>
      <c r="Q28" s="336">
        <f t="shared" si="29"/>
        <v>4.1565656596697353</v>
      </c>
      <c r="R28" s="692">
        <f t="shared" si="14"/>
        <v>3.8803773170244016E-5</v>
      </c>
      <c r="S28" s="329">
        <f t="shared" si="15"/>
        <v>0.99999999987824517</v>
      </c>
      <c r="T28" s="330">
        <f t="shared" si="16"/>
        <v>2.2954584215792555E-5</v>
      </c>
      <c r="U28" s="331">
        <f t="shared" si="17"/>
        <v>84.894716369489473</v>
      </c>
      <c r="V28" s="332">
        <f t="shared" si="18"/>
        <v>-81.018195302738278</v>
      </c>
      <c r="W28" s="334">
        <f t="shared" si="19"/>
        <v>98.981804697261722</v>
      </c>
      <c r="Y28" s="307">
        <f t="shared" si="20"/>
        <v>1000000000</v>
      </c>
      <c r="Z28" s="307">
        <f t="shared" si="21"/>
        <v>15.849157210000001</v>
      </c>
      <c r="AB28" s="333">
        <f t="shared" si="22"/>
        <v>81.687992385837447</v>
      </c>
      <c r="AC28" s="334">
        <f t="shared" si="23"/>
        <v>-80.8738895727802</v>
      </c>
      <c r="AE28" s="333">
        <f t="shared" si="24"/>
        <v>27.622616713388322</v>
      </c>
      <c r="AF28" s="334">
        <f t="shared" si="25"/>
        <v>-0.14340791451209248</v>
      </c>
      <c r="AH28">
        <f t="shared" si="26"/>
        <v>0</v>
      </c>
      <c r="AI28">
        <f t="shared" si="27"/>
        <v>0</v>
      </c>
    </row>
    <row r="29" spans="1:35" x14ac:dyDescent="0.25">
      <c r="A29" s="335">
        <v>4.3651999999999997</v>
      </c>
      <c r="B29" s="352">
        <f t="shared" si="28"/>
        <v>4.3651999999999996E-3</v>
      </c>
      <c r="C29" s="325">
        <f t="shared" si="0"/>
        <v>1.0000037021113821</v>
      </c>
      <c r="D29" s="326">
        <f t="shared" si="1"/>
        <v>2.7210659531672573E-3</v>
      </c>
      <c r="E29" s="326">
        <f t="shared" si="2"/>
        <v>1.0000000000016385</v>
      </c>
      <c r="F29" s="327">
        <f t="shared" si="3"/>
        <v>1.8102057911209828E-6</v>
      </c>
      <c r="G29" s="326">
        <f t="shared" si="4"/>
        <v>1</v>
      </c>
      <c r="H29" s="327">
        <f t="shared" si="5"/>
        <v>0</v>
      </c>
      <c r="I29" s="325">
        <f t="shared" si="6"/>
        <v>6.9190612762544346</v>
      </c>
      <c r="J29" s="328">
        <f t="shared" si="7"/>
        <v>1.4257600999237796</v>
      </c>
      <c r="K29" s="336">
        <f t="shared" si="8"/>
        <v>1.000000149385696</v>
      </c>
      <c r="L29" s="337">
        <f t="shared" si="9"/>
        <v>5.465998124015906E-4</v>
      </c>
      <c r="M29" s="325">
        <f t="shared" si="10"/>
        <v>1.0000000003247249</v>
      </c>
      <c r="N29" s="337">
        <f t="shared" si="11"/>
        <v>2.5484306195933814E-5</v>
      </c>
      <c r="O29" s="343">
        <f t="shared" si="12"/>
        <v>1.0000000003217151</v>
      </c>
      <c r="P29" s="691">
        <f t="shared" si="13"/>
        <v>2.536592005307715E-5</v>
      </c>
      <c r="Q29" s="336">
        <f t="shared" si="29"/>
        <v>4.1565656602975984</v>
      </c>
      <c r="R29" s="692">
        <f t="shared" si="14"/>
        <v>4.2547595043018512E-5</v>
      </c>
      <c r="S29" s="329">
        <f t="shared" si="15"/>
        <v>0.99999999985361776</v>
      </c>
      <c r="T29" s="330">
        <f t="shared" si="16"/>
        <v>2.5169262521168831E-5</v>
      </c>
      <c r="U29" s="331">
        <f t="shared" si="17"/>
        <v>84.113000732489169</v>
      </c>
      <c r="V29" s="332">
        <f t="shared" si="18"/>
        <v>-81.818407105849005</v>
      </c>
      <c r="W29" s="334">
        <f t="shared" si="19"/>
        <v>98.181592894150995</v>
      </c>
      <c r="Y29" s="307">
        <f t="shared" si="20"/>
        <v>1000000000</v>
      </c>
      <c r="Z29" s="307">
        <f t="shared" si="21"/>
        <v>19.054971039999998</v>
      </c>
      <c r="AB29" s="333">
        <f t="shared" si="22"/>
        <v>80.906282159392816</v>
      </c>
      <c r="AC29" s="334">
        <f t="shared" si="23"/>
        <v>-81.660178697949036</v>
      </c>
      <c r="AE29" s="333">
        <f t="shared" si="24"/>
        <v>27.622611303674553</v>
      </c>
      <c r="AF29" s="334">
        <f t="shared" si="25"/>
        <v>-0.15724397043694219</v>
      </c>
      <c r="AH29">
        <f t="shared" si="26"/>
        <v>0</v>
      </c>
      <c r="AI29">
        <f t="shared" si="27"/>
        <v>0</v>
      </c>
    </row>
    <row r="30" spans="1:35" x14ac:dyDescent="0.25">
      <c r="A30" s="335">
        <v>4.7862999999999998</v>
      </c>
      <c r="B30" s="352">
        <f t="shared" si="28"/>
        <v>4.7862999999999994E-3</v>
      </c>
      <c r="C30" s="325">
        <f t="shared" si="0"/>
        <v>1.0000044508284729</v>
      </c>
      <c r="D30" s="326">
        <f t="shared" si="1"/>
        <v>2.9835589367922313E-3</v>
      </c>
      <c r="E30" s="326">
        <f t="shared" si="2"/>
        <v>1.0000000000019698</v>
      </c>
      <c r="F30" s="327">
        <f t="shared" si="3"/>
        <v>1.9848318468891336E-6</v>
      </c>
      <c r="G30" s="326">
        <f t="shared" si="4"/>
        <v>1</v>
      </c>
      <c r="H30" s="327">
        <f t="shared" si="5"/>
        <v>0</v>
      </c>
      <c r="I30" s="325">
        <f t="shared" si="6"/>
        <v>7.573185238891857</v>
      </c>
      <c r="J30" s="328">
        <f t="shared" si="7"/>
        <v>1.4383647301046039</v>
      </c>
      <c r="K30" s="336">
        <f t="shared" si="8"/>
        <v>1.0000001795976079</v>
      </c>
      <c r="L30" s="337">
        <f t="shared" si="9"/>
        <v>5.9932892637320741E-4</v>
      </c>
      <c r="M30" s="325">
        <f t="shared" si="10"/>
        <v>1.0000000003903975</v>
      </c>
      <c r="N30" s="337">
        <f t="shared" si="11"/>
        <v>2.794271390549292E-5</v>
      </c>
      <c r="O30" s="343">
        <f t="shared" si="12"/>
        <v>1.0000000003867788</v>
      </c>
      <c r="P30" s="691">
        <f t="shared" si="13"/>
        <v>2.7812907345545897E-5</v>
      </c>
      <c r="Q30" s="336">
        <f t="shared" si="29"/>
        <v>4.1565656610523503</v>
      </c>
      <c r="R30" s="692">
        <f t="shared" si="14"/>
        <v>4.6652055834749327E-5</v>
      </c>
      <c r="S30" s="329">
        <f t="shared" si="15"/>
        <v>0.99999999982401344</v>
      </c>
      <c r="T30" s="330">
        <f t="shared" si="16"/>
        <v>2.7597278752682375E-5</v>
      </c>
      <c r="U30" s="331">
        <f t="shared" si="17"/>
        <v>83.328366431747995</v>
      </c>
      <c r="V30" s="332">
        <f t="shared" si="18"/>
        <v>-82.552982735167191</v>
      </c>
      <c r="W30" s="334">
        <f t="shared" si="19"/>
        <v>97.447017264832809</v>
      </c>
      <c r="Y30" s="307">
        <f t="shared" si="20"/>
        <v>1000000000</v>
      </c>
      <c r="Z30" s="307">
        <f t="shared" si="21"/>
        <v>22.908667689999998</v>
      </c>
      <c r="AB30" s="333">
        <f t="shared" si="22"/>
        <v>80.121654362651199</v>
      </c>
      <c r="AC30" s="334">
        <f t="shared" si="23"/>
        <v>-82.379490511153463</v>
      </c>
      <c r="AE30" s="333">
        <f t="shared" si="24"/>
        <v>27.622604800687061</v>
      </c>
      <c r="AF30" s="334">
        <f t="shared" si="25"/>
        <v>-0.17241282031444921</v>
      </c>
      <c r="AH30">
        <f t="shared" si="26"/>
        <v>0</v>
      </c>
      <c r="AI30">
        <f t="shared" si="27"/>
        <v>0</v>
      </c>
    </row>
    <row r="31" spans="1:35" x14ac:dyDescent="0.25">
      <c r="A31" s="335">
        <v>5.2481</v>
      </c>
      <c r="B31" s="352">
        <f t="shared" si="28"/>
        <v>5.2481000000000003E-3</v>
      </c>
      <c r="C31" s="325">
        <f t="shared" si="0"/>
        <v>1.0000053511242251</v>
      </c>
      <c r="D31" s="326">
        <f t="shared" si="1"/>
        <v>3.2714218202618411E-3</v>
      </c>
      <c r="E31" s="326">
        <f t="shared" si="2"/>
        <v>1.0000000000023683</v>
      </c>
      <c r="F31" s="327">
        <f t="shared" si="3"/>
        <v>2.1763357950099443E-6</v>
      </c>
      <c r="G31" s="326">
        <f t="shared" si="4"/>
        <v>1</v>
      </c>
      <c r="H31" s="327">
        <f t="shared" si="5"/>
        <v>0</v>
      </c>
      <c r="I31" s="325">
        <f t="shared" si="6"/>
        <v>8.2916856835070334</v>
      </c>
      <c r="J31" s="328">
        <f t="shared" si="7"/>
        <v>1.4498992964541257</v>
      </c>
      <c r="K31" s="336">
        <f t="shared" si="8"/>
        <v>1.0000002159259858</v>
      </c>
      <c r="L31" s="337">
        <f t="shared" si="9"/>
        <v>6.5715439114191624E-4</v>
      </c>
      <c r="M31" s="325">
        <f t="shared" si="10"/>
        <v>1.0000000004693659</v>
      </c>
      <c r="N31" s="337">
        <f t="shared" si="11"/>
        <v>3.0638730718863659E-5</v>
      </c>
      <c r="O31" s="343">
        <f t="shared" si="12"/>
        <v>1.0000000004650151</v>
      </c>
      <c r="P31" s="691">
        <f t="shared" si="13"/>
        <v>3.0496399939942391E-5</v>
      </c>
      <c r="Q31" s="336">
        <f t="shared" si="29"/>
        <v>4.1565656619599034</v>
      </c>
      <c r="R31" s="692">
        <f t="shared" si="14"/>
        <v>5.1153219436904177E-5</v>
      </c>
      <c r="S31" s="329">
        <f t="shared" si="15"/>
        <v>0.99999999978841536</v>
      </c>
      <c r="T31" s="330">
        <f t="shared" si="16"/>
        <v>3.0259966703053903E-5</v>
      </c>
      <c r="U31" s="331">
        <f t="shared" si="17"/>
        <v>82.541073905498465</v>
      </c>
      <c r="V31" s="332">
        <f t="shared" si="18"/>
        <v>-83.227445083176676</v>
      </c>
      <c r="W31" s="334">
        <f t="shared" si="19"/>
        <v>96.772554916823324</v>
      </c>
      <c r="Y31" s="307">
        <f t="shared" si="20"/>
        <v>1000000000</v>
      </c>
      <c r="Z31" s="307">
        <f t="shared" si="21"/>
        <v>27.542553609999999</v>
      </c>
      <c r="AB31" s="333">
        <f t="shared" si="22"/>
        <v>79.334369657137159</v>
      </c>
      <c r="AC31" s="334">
        <f t="shared" si="23"/>
        <v>-83.03721379755153</v>
      </c>
      <c r="AE31" s="333">
        <f t="shared" si="24"/>
        <v>27.622596981168503</v>
      </c>
      <c r="AF31" s="334">
        <f t="shared" si="25"/>
        <v>-0.18904773704846148</v>
      </c>
      <c r="AH31">
        <f t="shared" si="26"/>
        <v>0</v>
      </c>
      <c r="AI31">
        <f t="shared" si="27"/>
        <v>0</v>
      </c>
    </row>
    <row r="32" spans="1:35" x14ac:dyDescent="0.25">
      <c r="A32" s="335">
        <v>5.7544000000000004</v>
      </c>
      <c r="B32" s="352">
        <f t="shared" si="28"/>
        <v>5.7544000000000007E-3</v>
      </c>
      <c r="C32" s="325">
        <f t="shared" si="0"/>
        <v>1.0000064334019931</v>
      </c>
      <c r="D32" s="326">
        <f t="shared" si="1"/>
        <v>3.5870231397919315E-3</v>
      </c>
      <c r="E32" s="326">
        <f t="shared" si="2"/>
        <v>1.0000000000028471</v>
      </c>
      <c r="F32" s="327">
        <f t="shared" si="3"/>
        <v>2.3862934583565908E-6</v>
      </c>
      <c r="G32" s="326">
        <f t="shared" si="4"/>
        <v>1</v>
      </c>
      <c r="H32" s="327">
        <f t="shared" si="5"/>
        <v>0</v>
      </c>
      <c r="I32" s="325">
        <f t="shared" si="6"/>
        <v>9.0804796795822789</v>
      </c>
      <c r="J32" s="328">
        <f t="shared" si="7"/>
        <v>1.460446163723774</v>
      </c>
      <c r="K32" s="336">
        <f t="shared" si="8"/>
        <v>1.0000002595976714</v>
      </c>
      <c r="L32" s="337">
        <f t="shared" si="9"/>
        <v>7.2055203183816877E-4</v>
      </c>
      <c r="M32" s="325">
        <f t="shared" si="10"/>
        <v>1.0000000005642966</v>
      </c>
      <c r="N32" s="337">
        <f t="shared" si="11"/>
        <v>3.3594541269692089E-5</v>
      </c>
      <c r="O32" s="343">
        <f t="shared" si="12"/>
        <v>1.0000000005590659</v>
      </c>
      <c r="P32" s="691">
        <f t="shared" si="13"/>
        <v>3.3438479412244672E-5</v>
      </c>
      <c r="Q32" s="336">
        <f t="shared" si="29"/>
        <v>4.1565656630509062</v>
      </c>
      <c r="R32" s="692">
        <f t="shared" si="14"/>
        <v>5.6088124440544812E-5</v>
      </c>
      <c r="S32" s="329">
        <f t="shared" si="15"/>
        <v>0.9999999997456217</v>
      </c>
      <c r="T32" s="330">
        <f t="shared" si="16"/>
        <v>3.3179236754040426E-5</v>
      </c>
      <c r="U32" s="331">
        <f t="shared" si="17"/>
        <v>81.751745679586037</v>
      </c>
      <c r="V32" s="332">
        <f t="shared" si="18"/>
        <v>-83.846625040021607</v>
      </c>
      <c r="W32" s="334">
        <f t="shared" si="19"/>
        <v>96.153374959978393</v>
      </c>
      <c r="Y32" s="307">
        <f t="shared" si="20"/>
        <v>1000000000</v>
      </c>
      <c r="Z32" s="307">
        <f t="shared" si="21"/>
        <v>33.113119360000006</v>
      </c>
      <c r="AB32" s="333">
        <f t="shared" si="22"/>
        <v>78.54505083280165</v>
      </c>
      <c r="AC32" s="334">
        <f t="shared" si="23"/>
        <v>-83.638041718100212</v>
      </c>
      <c r="AE32" s="333">
        <f t="shared" si="24"/>
        <v>27.6225875810545</v>
      </c>
      <c r="AF32" s="334">
        <f t="shared" si="25"/>
        <v>-0.20728559285232942</v>
      </c>
      <c r="AH32">
        <f t="shared" si="26"/>
        <v>0</v>
      </c>
      <c r="AI32">
        <f t="shared" si="27"/>
        <v>0</v>
      </c>
    </row>
    <row r="33" spans="1:35" x14ac:dyDescent="0.25">
      <c r="A33" s="335">
        <v>6.3095999999999997</v>
      </c>
      <c r="B33" s="352">
        <f t="shared" si="28"/>
        <v>6.3095999999999994E-3</v>
      </c>
      <c r="C33" s="325">
        <f t="shared" si="0"/>
        <v>1.0000077347087988</v>
      </c>
      <c r="D33" s="326">
        <f t="shared" si="1"/>
        <v>3.9331053747104182E-3</v>
      </c>
      <c r="E33" s="326">
        <f t="shared" si="2"/>
        <v>1.000000000003423</v>
      </c>
      <c r="F33" s="327">
        <f t="shared" si="3"/>
        <v>2.6165294739401087E-6</v>
      </c>
      <c r="G33" s="326">
        <f t="shared" si="4"/>
        <v>1</v>
      </c>
      <c r="H33" s="327">
        <f t="shared" si="5"/>
        <v>0</v>
      </c>
      <c r="I33" s="325">
        <f t="shared" si="6"/>
        <v>9.9464258014722056</v>
      </c>
      <c r="J33" s="328">
        <f t="shared" si="7"/>
        <v>1.4700875497335335</v>
      </c>
      <c r="K33" s="336">
        <f t="shared" si="8"/>
        <v>1.0000003121075987</v>
      </c>
      <c r="L33" s="337">
        <f t="shared" si="9"/>
        <v>7.900728035819943E-4</v>
      </c>
      <c r="M33" s="325">
        <f t="shared" si="10"/>
        <v>1.0000000006784393</v>
      </c>
      <c r="N33" s="337">
        <f t="shared" si="11"/>
        <v>3.6835833028485936E-5</v>
      </c>
      <c r="O33" s="343">
        <f t="shared" si="12"/>
        <v>1.0000000006721506</v>
      </c>
      <c r="P33" s="691">
        <f t="shared" si="13"/>
        <v>3.6664713903029506E-5</v>
      </c>
      <c r="Q33" s="336">
        <f t="shared" si="29"/>
        <v>4.1565656643627058</v>
      </c>
      <c r="R33" s="692">
        <f t="shared" si="14"/>
        <v>6.1499657635184538E-5</v>
      </c>
      <c r="S33" s="329">
        <f t="shared" si="15"/>
        <v>0.99999999969416753</v>
      </c>
      <c r="T33" s="330">
        <f t="shared" si="16"/>
        <v>3.6380458821394886E-5</v>
      </c>
      <c r="U33" s="331">
        <f t="shared" si="17"/>
        <v>80.960569703780948</v>
      </c>
      <c r="V33" s="332">
        <f t="shared" si="18"/>
        <v>-84.415362717995464</v>
      </c>
      <c r="W33" s="334">
        <f t="shared" si="19"/>
        <v>95.584637282004536</v>
      </c>
      <c r="Y33" s="307">
        <f t="shared" si="20"/>
        <v>1000000000</v>
      </c>
      <c r="Z33" s="307">
        <f t="shared" si="21"/>
        <v>39.811052159999996</v>
      </c>
      <c r="AB33" s="333">
        <f t="shared" si="22"/>
        <v>77.753886161230881</v>
      </c>
      <c r="AC33" s="334">
        <f t="shared" si="23"/>
        <v>-84.186654911271319</v>
      </c>
      <c r="AE33" s="333">
        <f t="shared" si="24"/>
        <v>27.622576278579203</v>
      </c>
      <c r="AF33" s="334">
        <f t="shared" si="25"/>
        <v>-0.22728486926222502</v>
      </c>
      <c r="AH33">
        <f t="shared" si="26"/>
        <v>0</v>
      </c>
      <c r="AI33">
        <f t="shared" si="27"/>
        <v>0</v>
      </c>
    </row>
    <row r="34" spans="1:35" x14ac:dyDescent="0.25">
      <c r="A34" s="335">
        <v>6.9183000000000003</v>
      </c>
      <c r="B34" s="352">
        <f t="shared" si="28"/>
        <v>6.9183000000000005E-3</v>
      </c>
      <c r="C34" s="325">
        <f t="shared" si="0"/>
        <v>1.000009299053652</v>
      </c>
      <c r="D34" s="326">
        <f t="shared" si="1"/>
        <v>4.3125355864738315E-3</v>
      </c>
      <c r="E34" s="326">
        <f t="shared" si="2"/>
        <v>1.0000000000041154</v>
      </c>
      <c r="F34" s="327">
        <f t="shared" si="3"/>
        <v>2.8689514168174689E-6</v>
      </c>
      <c r="G34" s="326">
        <f t="shared" si="4"/>
        <v>1</v>
      </c>
      <c r="H34" s="327">
        <f t="shared" si="5"/>
        <v>0</v>
      </c>
      <c r="I34" s="325">
        <f t="shared" si="6"/>
        <v>10.896701389128479</v>
      </c>
      <c r="J34" s="328">
        <f t="shared" si="7"/>
        <v>1.4788961305699599</v>
      </c>
      <c r="K34" s="336">
        <f t="shared" si="8"/>
        <v>1.000000375231642</v>
      </c>
      <c r="L34" s="337">
        <f t="shared" si="9"/>
        <v>8.6629270429171659E-4</v>
      </c>
      <c r="M34" s="325">
        <f t="shared" si="10"/>
        <v>1.0000000008156542</v>
      </c>
      <c r="N34" s="337">
        <f t="shared" si="11"/>
        <v>4.038946107798628E-5</v>
      </c>
      <c r="O34" s="343">
        <f t="shared" si="12"/>
        <v>1.0000000008080936</v>
      </c>
      <c r="P34" s="691">
        <f t="shared" si="13"/>
        <v>4.0201833741020095E-5</v>
      </c>
      <c r="Q34" s="336">
        <f t="shared" si="29"/>
        <v>4.1565656659396666</v>
      </c>
      <c r="R34" s="692">
        <f t="shared" si="14"/>
        <v>6.7432655209572959E-5</v>
      </c>
      <c r="S34" s="329">
        <f t="shared" si="15"/>
        <v>0.99999999963231267</v>
      </c>
      <c r="T34" s="330">
        <f t="shared" si="16"/>
        <v>3.9890155998930779E-5</v>
      </c>
      <c r="U34" s="331">
        <f t="shared" si="17"/>
        <v>80.167996611189864</v>
      </c>
      <c r="V34" s="332">
        <f t="shared" si="18"/>
        <v>-84.937957404843289</v>
      </c>
      <c r="W34" s="334">
        <f t="shared" si="19"/>
        <v>95.062042595156711</v>
      </c>
      <c r="Y34" s="307">
        <f t="shared" si="20"/>
        <v>1000000000</v>
      </c>
      <c r="Z34" s="307">
        <f t="shared" si="21"/>
        <v>47.862874890000008</v>
      </c>
      <c r="AB34" s="333">
        <f t="shared" si="22"/>
        <v>76.961326657822099</v>
      </c>
      <c r="AC34" s="334">
        <f t="shared" si="23"/>
        <v>-84.68718594653393</v>
      </c>
      <c r="AE34" s="333">
        <f t="shared" si="24"/>
        <v>27.622562691511451</v>
      </c>
      <c r="AF34" s="334">
        <f t="shared" si="25"/>
        <v>-0.24921124716473664</v>
      </c>
      <c r="AH34">
        <f t="shared" si="26"/>
        <v>0</v>
      </c>
      <c r="AI34">
        <f t="shared" si="27"/>
        <v>0</v>
      </c>
    </row>
    <row r="35" spans="1:35" x14ac:dyDescent="0.25">
      <c r="A35" s="335">
        <v>7.5857999999999999</v>
      </c>
      <c r="B35" s="352">
        <f t="shared" si="28"/>
        <v>7.5858000000000002E-3</v>
      </c>
      <c r="C35" s="325">
        <f t="shared" si="0"/>
        <v>1.0000111800138256</v>
      </c>
      <c r="D35" s="326">
        <f t="shared" si="1"/>
        <v>4.7286170633940184E-3</v>
      </c>
      <c r="E35" s="326">
        <f t="shared" si="2"/>
        <v>1.000000000004948</v>
      </c>
      <c r="F35" s="327">
        <f t="shared" si="3"/>
        <v>3.1457571452064637E-6</v>
      </c>
      <c r="G35" s="326">
        <f t="shared" si="4"/>
        <v>1</v>
      </c>
      <c r="H35" s="327">
        <f t="shared" si="5"/>
        <v>0</v>
      </c>
      <c r="I35" s="325">
        <f t="shared" si="6"/>
        <v>11.939582654108174</v>
      </c>
      <c r="J35" s="328">
        <f t="shared" si="7"/>
        <v>1.4869430728115676</v>
      </c>
      <c r="K35" s="336">
        <f t="shared" si="8"/>
        <v>1.0000004511317915</v>
      </c>
      <c r="L35" s="337">
        <f t="shared" si="9"/>
        <v>9.4987538321502176E-4</v>
      </c>
      <c r="M35" s="325">
        <f t="shared" si="10"/>
        <v>1.0000000009806411</v>
      </c>
      <c r="N35" s="337">
        <f t="shared" si="11"/>
        <v>4.428636714390652E-5</v>
      </c>
      <c r="O35" s="343">
        <f t="shared" si="12"/>
        <v>1.0000000009715513</v>
      </c>
      <c r="P35" s="691">
        <f t="shared" si="13"/>
        <v>4.4080636913605635E-5</v>
      </c>
      <c r="Q35" s="336">
        <f t="shared" si="29"/>
        <v>4.1565656678357987</v>
      </c>
      <c r="R35" s="692">
        <f t="shared" si="14"/>
        <v>7.3938776250501644E-5</v>
      </c>
      <c r="S35" s="329">
        <f t="shared" si="15"/>
        <v>0.9999999995579385</v>
      </c>
      <c r="T35" s="330">
        <f t="shared" si="16"/>
        <v>4.3738887503494687E-5</v>
      </c>
      <c r="U35" s="331">
        <f t="shared" si="17"/>
        <v>79.374098996909979</v>
      </c>
      <c r="V35" s="332">
        <f t="shared" si="18"/>
        <v>-85.418642478408316</v>
      </c>
      <c r="W35" s="334">
        <f t="shared" si="19"/>
        <v>94.581357521591684</v>
      </c>
      <c r="Y35" s="307">
        <f t="shared" si="20"/>
        <v>1000000000</v>
      </c>
      <c r="Z35" s="307">
        <f t="shared" si="21"/>
        <v>57.544361639999998</v>
      </c>
      <c r="AB35" s="333">
        <f t="shared" si="22"/>
        <v>76.167445383076696</v>
      </c>
      <c r="AC35" s="334">
        <f t="shared" si="23"/>
        <v>-85.143676117013229</v>
      </c>
      <c r="AE35" s="333">
        <f t="shared" si="24"/>
        <v>27.622546354519496</v>
      </c>
      <c r="AF35" s="334">
        <f t="shared" si="25"/>
        <v>-0.27325561602501686</v>
      </c>
      <c r="AH35">
        <f t="shared" si="26"/>
        <v>0</v>
      </c>
      <c r="AI35">
        <f t="shared" si="27"/>
        <v>0</v>
      </c>
    </row>
    <row r="36" spans="1:35" x14ac:dyDescent="0.25">
      <c r="A36" s="335">
        <v>8.3176000000000005</v>
      </c>
      <c r="B36" s="352">
        <f t="shared" si="28"/>
        <v>8.3176000000000014E-3</v>
      </c>
      <c r="C36" s="325">
        <f t="shared" si="0"/>
        <v>1.0000134411099879</v>
      </c>
      <c r="D36" s="326">
        <f t="shared" si="1"/>
        <v>5.1847776107992807E-3</v>
      </c>
      <c r="E36" s="326">
        <f t="shared" si="2"/>
        <v>1.0000000000059486</v>
      </c>
      <c r="F36" s="327">
        <f t="shared" si="3"/>
        <v>3.4492274553708019E-6</v>
      </c>
      <c r="G36" s="326">
        <f t="shared" si="4"/>
        <v>1</v>
      </c>
      <c r="H36" s="327">
        <f t="shared" si="5"/>
        <v>0</v>
      </c>
      <c r="I36" s="325">
        <f t="shared" si="6"/>
        <v>13.083664182903966</v>
      </c>
      <c r="J36" s="328">
        <f t="shared" si="7"/>
        <v>1.4942905272372247</v>
      </c>
      <c r="K36" s="336">
        <f t="shared" si="8"/>
        <v>1.0000005423712977</v>
      </c>
      <c r="L36" s="337">
        <f t="shared" si="9"/>
        <v>1.0415095318700486E-3</v>
      </c>
      <c r="M36" s="325">
        <f t="shared" si="10"/>
        <v>1.0000000011789718</v>
      </c>
      <c r="N36" s="337">
        <f t="shared" si="11"/>
        <v>4.8558660564139932E-5</v>
      </c>
      <c r="O36" s="343">
        <f t="shared" si="12"/>
        <v>1.0000000011680434</v>
      </c>
      <c r="P36" s="691">
        <f t="shared" si="13"/>
        <v>4.8333083596269033E-5</v>
      </c>
      <c r="Q36" s="336">
        <f t="shared" si="29"/>
        <v>4.1565656701151381</v>
      </c>
      <c r="R36" s="692">
        <f t="shared" si="14"/>
        <v>8.1071629243752519E-5</v>
      </c>
      <c r="S36" s="329">
        <f t="shared" si="15"/>
        <v>0.99999999946853346</v>
      </c>
      <c r="T36" s="330">
        <f t="shared" si="16"/>
        <v>4.7958365730055281E-5</v>
      </c>
      <c r="U36" s="331">
        <f t="shared" si="17"/>
        <v>78.579275301476031</v>
      </c>
      <c r="V36" s="332">
        <f t="shared" si="18"/>
        <v>-85.861140622071161</v>
      </c>
      <c r="W36" s="334">
        <f t="shared" si="19"/>
        <v>94.138859377928839</v>
      </c>
      <c r="Y36" s="307">
        <f t="shared" si="20"/>
        <v>1000000000</v>
      </c>
      <c r="Z36" s="307">
        <f t="shared" si="21"/>
        <v>69.182469760000004</v>
      </c>
      <c r="AB36" s="333">
        <f t="shared" si="22"/>
        <v>75.372641329303832</v>
      </c>
      <c r="AC36" s="334">
        <f t="shared" si="23"/>
        <v>-85.559648780648033</v>
      </c>
      <c r="AE36" s="333">
        <f t="shared" si="24"/>
        <v>27.622526715914795</v>
      </c>
      <c r="AF36" s="334">
        <f t="shared" si="25"/>
        <v>-0.29961606092798621</v>
      </c>
      <c r="AH36">
        <f t="shared" si="26"/>
        <v>0</v>
      </c>
      <c r="AI36">
        <f t="shared" si="27"/>
        <v>0</v>
      </c>
    </row>
    <row r="37" spans="1:35" x14ac:dyDescent="0.25">
      <c r="A37" s="335">
        <v>9.1201000000000008</v>
      </c>
      <c r="B37" s="352">
        <f t="shared" si="28"/>
        <v>9.1201000000000008E-3</v>
      </c>
      <c r="C37" s="325">
        <f t="shared" si="0"/>
        <v>1.0000161598633213</v>
      </c>
      <c r="D37" s="326">
        <f t="shared" si="1"/>
        <v>5.6850058410887359E-3</v>
      </c>
      <c r="E37" s="326">
        <f t="shared" si="2"/>
        <v>1.0000000000071518</v>
      </c>
      <c r="F37" s="327">
        <f t="shared" si="3"/>
        <v>3.7820163647809483E-6</v>
      </c>
      <c r="G37" s="326">
        <f t="shared" si="4"/>
        <v>1</v>
      </c>
      <c r="H37" s="327">
        <f t="shared" si="5"/>
        <v>0</v>
      </c>
      <c r="I37" s="325">
        <f t="shared" si="6"/>
        <v>14.338952801909818</v>
      </c>
      <c r="J37" s="328">
        <f t="shared" si="7"/>
        <v>1.500999570593671</v>
      </c>
      <c r="K37" s="336">
        <f t="shared" si="8"/>
        <v>1.0000006520783984</v>
      </c>
      <c r="L37" s="337">
        <f t="shared" si="9"/>
        <v>1.1419965358870246E-3</v>
      </c>
      <c r="M37" s="325">
        <f t="shared" si="10"/>
        <v>1.0000000014174459</v>
      </c>
      <c r="N37" s="337">
        <f t="shared" si="11"/>
        <v>5.3243704931783863E-5</v>
      </c>
      <c r="O37" s="343">
        <f t="shared" si="12"/>
        <v>1.0000000014043073</v>
      </c>
      <c r="P37" s="691">
        <f t="shared" si="13"/>
        <v>5.2996363811304073E-5</v>
      </c>
      <c r="Q37" s="336">
        <f t="shared" si="29"/>
        <v>4.1565656728558338</v>
      </c>
      <c r="R37" s="692">
        <f t="shared" si="14"/>
        <v>8.889359497237843E-5</v>
      </c>
      <c r="S37" s="329">
        <f t="shared" si="15"/>
        <v>0.99999999936103201</v>
      </c>
      <c r="T37" s="330">
        <f t="shared" si="16"/>
        <v>5.2585492374676681E-5</v>
      </c>
      <c r="U37" s="331">
        <f t="shared" si="17"/>
        <v>77.783491702679669</v>
      </c>
      <c r="V37" s="332">
        <f t="shared" si="18"/>
        <v>-86.2691394366407</v>
      </c>
      <c r="W37" s="334">
        <f t="shared" si="19"/>
        <v>93.7308605633593</v>
      </c>
      <c r="Y37" s="307">
        <f t="shared" si="20"/>
        <v>1000000000</v>
      </c>
      <c r="Z37" s="307">
        <f t="shared" si="21"/>
        <v>83.176224010000013</v>
      </c>
      <c r="AB37" s="333">
        <f t="shared" si="22"/>
        <v>74.576881347680185</v>
      </c>
      <c r="AC37" s="334">
        <f t="shared" si="23"/>
        <v>-85.938559602018685</v>
      </c>
      <c r="AE37" s="333">
        <f t="shared" si="24"/>
        <v>27.622503102417095</v>
      </c>
      <c r="AF37" s="334">
        <f t="shared" si="25"/>
        <v>-0.32852307477793263</v>
      </c>
      <c r="AH37">
        <f t="shared" si="26"/>
        <v>0</v>
      </c>
      <c r="AI37">
        <f t="shared" si="27"/>
        <v>0</v>
      </c>
    </row>
    <row r="38" spans="1:35" x14ac:dyDescent="0.25">
      <c r="A38" s="335">
        <v>10</v>
      </c>
      <c r="B38" s="352">
        <f t="shared" si="28"/>
        <v>0.01</v>
      </c>
      <c r="C38" s="325">
        <f t="shared" si="0"/>
        <v>1.0000194284329496</v>
      </c>
      <c r="D38" s="326">
        <f t="shared" si="1"/>
        <v>6.2334771037294116E-3</v>
      </c>
      <c r="E38" s="326">
        <f t="shared" si="2"/>
        <v>1.0000000000085985</v>
      </c>
      <c r="F38" s="327">
        <f t="shared" si="3"/>
        <v>4.1469022979762294E-6</v>
      </c>
      <c r="G38" s="326">
        <f t="shared" si="4"/>
        <v>1</v>
      </c>
      <c r="H38" s="327">
        <f t="shared" si="5"/>
        <v>0</v>
      </c>
      <c r="I38" s="325">
        <f t="shared" si="6"/>
        <v>15.715929805887853</v>
      </c>
      <c r="J38" s="328">
        <f t="shared" si="7"/>
        <v>1.5071236052520911</v>
      </c>
      <c r="K38" s="336">
        <f t="shared" si="8"/>
        <v>1.0000007839720584</v>
      </c>
      <c r="L38" s="337">
        <f t="shared" si="9"/>
        <v>1.2521753439900295E-3</v>
      </c>
      <c r="M38" s="325">
        <f t="shared" si="10"/>
        <v>1.0000000017041482</v>
      </c>
      <c r="N38" s="337">
        <f t="shared" si="11"/>
        <v>5.8380615258173856E-5</v>
      </c>
      <c r="O38" s="343">
        <f t="shared" si="12"/>
        <v>1.0000000016883517</v>
      </c>
      <c r="P38" s="691">
        <f t="shared" si="13"/>
        <v>5.8109410863113912E-5</v>
      </c>
      <c r="Q38" s="336">
        <f t="shared" si="29"/>
        <v>4.1565656761507928</v>
      </c>
      <c r="R38" s="692">
        <f t="shared" si="14"/>
        <v>9.7469978317772332E-5</v>
      </c>
      <c r="S38" s="329">
        <f t="shared" si="15"/>
        <v>0.99999999923179017</v>
      </c>
      <c r="T38" s="330">
        <f t="shared" si="16"/>
        <v>5.765889890064242E-5</v>
      </c>
      <c r="U38" s="331">
        <f t="shared" si="17"/>
        <v>76.987011549149372</v>
      </c>
      <c r="V38" s="332">
        <f t="shared" si="18"/>
        <v>-86.645895620619768</v>
      </c>
      <c r="W38" s="334">
        <f t="shared" si="19"/>
        <v>93.354104379380232</v>
      </c>
      <c r="Y38" s="307">
        <f t="shared" si="20"/>
        <v>1000000000</v>
      </c>
      <c r="Z38" s="307">
        <f t="shared" si="21"/>
        <v>100</v>
      </c>
      <c r="AB38" s="333">
        <f t="shared" si="22"/>
        <v>73.78042958736286</v>
      </c>
      <c r="AC38" s="334">
        <f t="shared" si="23"/>
        <v>-86.283422484517402</v>
      </c>
      <c r="AE38" s="333">
        <f t="shared" si="24"/>
        <v>27.622474713622349</v>
      </c>
      <c r="AF38" s="334">
        <f t="shared" si="25"/>
        <v>-0.36021794170538757</v>
      </c>
      <c r="AH38">
        <f t="shared" si="26"/>
        <v>0</v>
      </c>
      <c r="AI38">
        <f t="shared" si="27"/>
        <v>0</v>
      </c>
    </row>
    <row r="39" spans="1:35" x14ac:dyDescent="0.25">
      <c r="A39" s="335">
        <v>10.965</v>
      </c>
      <c r="B39" s="352">
        <f t="shared" si="28"/>
        <v>1.0964999999999999E-2</v>
      </c>
      <c r="C39" s="325">
        <f t="shared" si="0"/>
        <v>1.0000233589970269</v>
      </c>
      <c r="D39" s="326">
        <f t="shared" si="1"/>
        <v>6.834989734253406E-3</v>
      </c>
      <c r="E39" s="326">
        <f t="shared" si="2"/>
        <v>1.000000000010338</v>
      </c>
      <c r="F39" s="327">
        <f t="shared" si="3"/>
        <v>4.5470783697256614E-6</v>
      </c>
      <c r="G39" s="326">
        <f t="shared" si="4"/>
        <v>1</v>
      </c>
      <c r="H39" s="327">
        <f t="shared" si="5"/>
        <v>0</v>
      </c>
      <c r="I39" s="325">
        <f t="shared" si="6"/>
        <v>17.226645959488099</v>
      </c>
      <c r="J39" s="328">
        <f t="shared" si="7"/>
        <v>1.5127140697017947</v>
      </c>
      <c r="K39" s="336">
        <f t="shared" si="8"/>
        <v>1.0000009425791345</v>
      </c>
      <c r="L39" s="337">
        <f t="shared" si="9"/>
        <v>1.3730101195057378E-3</v>
      </c>
      <c r="M39" s="325">
        <f t="shared" si="10"/>
        <v>1.0000000020489181</v>
      </c>
      <c r="N39" s="337">
        <f t="shared" si="11"/>
        <v>6.4014344615874141E-5</v>
      </c>
      <c r="O39" s="343">
        <f t="shared" si="12"/>
        <v>1.000000002029926</v>
      </c>
      <c r="P39" s="691">
        <f t="shared" si="13"/>
        <v>6.3716968996895023E-5</v>
      </c>
      <c r="Q39" s="336">
        <f t="shared" si="29"/>
        <v>4.1565656801131068</v>
      </c>
      <c r="R39" s="692">
        <f t="shared" si="14"/>
        <v>1.0687583115779298E-4</v>
      </c>
      <c r="S39" s="329">
        <f t="shared" si="15"/>
        <v>0.99999999907637183</v>
      </c>
      <c r="T39" s="330">
        <f t="shared" si="16"/>
        <v>6.3222982661467685E-5</v>
      </c>
      <c r="U39" s="331">
        <f t="shared" si="17"/>
        <v>76.189765823555092</v>
      </c>
      <c r="V39" s="332">
        <f t="shared" si="18"/>
        <v>-86.99458273718902</v>
      </c>
      <c r="W39" s="334">
        <f t="shared" si="19"/>
        <v>93.00541726281098</v>
      </c>
      <c r="Y39" s="307">
        <f t="shared" si="20"/>
        <v>1000000000</v>
      </c>
      <c r="Z39" s="307">
        <f t="shared" si="21"/>
        <v>120.23122499999999</v>
      </c>
      <c r="AB39" s="333">
        <f t="shared" si="22"/>
        <v>72.983218005432036</v>
      </c>
      <c r="AC39" s="334">
        <f t="shared" si="23"/>
        <v>-86.597131969621458</v>
      </c>
      <c r="AE39" s="333">
        <f t="shared" si="24"/>
        <v>27.622440575271984</v>
      </c>
      <c r="AF39" s="334">
        <f t="shared" si="25"/>
        <v>-0.39497794691432275</v>
      </c>
      <c r="AH39">
        <f t="shared" si="26"/>
        <v>0</v>
      </c>
      <c r="AI39">
        <f t="shared" si="27"/>
        <v>0</v>
      </c>
    </row>
    <row r="40" spans="1:35" x14ac:dyDescent="0.25">
      <c r="A40" s="335">
        <v>12.023</v>
      </c>
      <c r="B40" s="352">
        <f t="shared" si="28"/>
        <v>1.2022999999999999E-2</v>
      </c>
      <c r="C40" s="325">
        <f t="shared" si="0"/>
        <v>1.0000280841696301</v>
      </c>
      <c r="D40" s="326">
        <f t="shared" si="1"/>
        <v>7.4944662756914011E-3</v>
      </c>
      <c r="E40" s="326">
        <f t="shared" si="2"/>
        <v>1.0000000000124292</v>
      </c>
      <c r="F40" s="327">
        <f t="shared" si="3"/>
        <v>4.985820632844087E-6</v>
      </c>
      <c r="G40" s="326">
        <f t="shared" si="4"/>
        <v>1</v>
      </c>
      <c r="H40" s="327">
        <f t="shared" si="5"/>
        <v>0</v>
      </c>
      <c r="I40" s="325">
        <f t="shared" si="6"/>
        <v>18.883469386931985</v>
      </c>
      <c r="J40" s="328">
        <f t="shared" si="7"/>
        <v>1.5178151734633123</v>
      </c>
      <c r="K40" s="336">
        <f t="shared" si="8"/>
        <v>1.0000011332512388</v>
      </c>
      <c r="L40" s="337">
        <f t="shared" si="9"/>
        <v>1.5054900655218602E-3</v>
      </c>
      <c r="M40" s="325">
        <f t="shared" si="10"/>
        <v>1.000000002463389</v>
      </c>
      <c r="N40" s="337">
        <f t="shared" si="11"/>
        <v>7.0191013689374483E-5</v>
      </c>
      <c r="O40" s="343">
        <f t="shared" si="12"/>
        <v>1.0000000024405551</v>
      </c>
      <c r="P40" s="691">
        <f t="shared" si="13"/>
        <v>6.9864944645686754E-5</v>
      </c>
      <c r="Q40" s="336">
        <f t="shared" si="29"/>
        <v>4.156565684876468</v>
      </c>
      <c r="R40" s="692">
        <f t="shared" si="14"/>
        <v>1.1718815476812008E-4</v>
      </c>
      <c r="S40" s="329">
        <f t="shared" si="15"/>
        <v>0.99999999888953317</v>
      </c>
      <c r="T40" s="330">
        <f t="shared" si="16"/>
        <v>6.9323294189082031E-5</v>
      </c>
      <c r="U40" s="331">
        <f t="shared" si="17"/>
        <v>75.392105223799689</v>
      </c>
      <c r="V40" s="332">
        <f t="shared" si="18"/>
        <v>-87.317966015343515</v>
      </c>
      <c r="W40" s="334">
        <f t="shared" si="19"/>
        <v>92.682033984656485</v>
      </c>
      <c r="Y40" s="307">
        <f t="shared" si="20"/>
        <v>1000000000</v>
      </c>
      <c r="Z40" s="307">
        <f t="shared" si="21"/>
        <v>144.55252899999999</v>
      </c>
      <c r="AB40" s="333">
        <f t="shared" si="22"/>
        <v>72.185598451694929</v>
      </c>
      <c r="AC40" s="334">
        <f t="shared" si="23"/>
        <v>-86.882167041632954</v>
      </c>
      <c r="AE40" s="333">
        <f t="shared" si="24"/>
        <v>27.622399535640906</v>
      </c>
      <c r="AF40" s="334">
        <f t="shared" si="25"/>
        <v>-0.4330875534944274</v>
      </c>
      <c r="AH40">
        <f t="shared" si="26"/>
        <v>0</v>
      </c>
      <c r="AI40">
        <f t="shared" si="27"/>
        <v>0</v>
      </c>
    </row>
    <row r="41" spans="1:35" x14ac:dyDescent="0.25">
      <c r="A41" s="335">
        <v>13.183</v>
      </c>
      <c r="B41" s="352">
        <f t="shared" si="28"/>
        <v>1.3183E-2</v>
      </c>
      <c r="C41" s="325">
        <f t="shared" si="0"/>
        <v>1.0000337647208843</v>
      </c>
      <c r="D41" s="326">
        <f t="shared" si="1"/>
        <v>8.2175143279019751E-3</v>
      </c>
      <c r="E41" s="326">
        <f t="shared" si="2"/>
        <v>1.0000000000149432</v>
      </c>
      <c r="F41" s="327">
        <f t="shared" si="3"/>
        <v>5.4668612993989386E-6</v>
      </c>
      <c r="G41" s="326">
        <f t="shared" si="4"/>
        <v>1</v>
      </c>
      <c r="H41" s="327">
        <f t="shared" si="5"/>
        <v>0</v>
      </c>
      <c r="I41" s="325">
        <f t="shared" si="6"/>
        <v>20.700494324246364</v>
      </c>
      <c r="J41" s="328">
        <f t="shared" si="7"/>
        <v>1.5224694927800508</v>
      </c>
      <c r="K41" s="336">
        <f t="shared" si="8"/>
        <v>1.0000013624763191</v>
      </c>
      <c r="L41" s="337">
        <f t="shared" si="9"/>
        <v>1.6507421193415344E-3</v>
      </c>
      <c r="M41" s="325">
        <f t="shared" si="10"/>
        <v>1.0000000029616642</v>
      </c>
      <c r="N41" s="337">
        <f t="shared" si="11"/>
        <v>7.6963165030328963E-5</v>
      </c>
      <c r="O41" s="343">
        <f t="shared" si="12"/>
        <v>1.0000000029342118</v>
      </c>
      <c r="P41" s="691">
        <f t="shared" si="13"/>
        <v>7.6605636277216478E-5</v>
      </c>
      <c r="Q41" s="336">
        <f t="shared" si="29"/>
        <v>4.1565656906029576</v>
      </c>
      <c r="R41" s="692">
        <f t="shared" si="14"/>
        <v>1.2849467211968491E-4</v>
      </c>
      <c r="S41" s="329">
        <f t="shared" si="15"/>
        <v>0.99999999866491662</v>
      </c>
      <c r="T41" s="330">
        <f t="shared" si="16"/>
        <v>7.6011726494885031E-5</v>
      </c>
      <c r="U41" s="331">
        <f t="shared" si="17"/>
        <v>74.594079307333317</v>
      </c>
      <c r="V41" s="332">
        <f t="shared" si="18"/>
        <v>-87.618749416746397</v>
      </c>
      <c r="W41" s="334">
        <f t="shared" si="19"/>
        <v>92.381250583253603</v>
      </c>
      <c r="Y41" s="307">
        <f t="shared" si="20"/>
        <v>1000000000</v>
      </c>
      <c r="Z41" s="307">
        <f t="shared" si="21"/>
        <v>173.79148899999998</v>
      </c>
      <c r="AB41" s="333">
        <f t="shared" si="22"/>
        <v>71.387621880049906</v>
      </c>
      <c r="AC41" s="334">
        <f t="shared" si="23"/>
        <v>-87.140905581324532</v>
      </c>
      <c r="AE41" s="333">
        <f t="shared" si="24"/>
        <v>27.622350198498246</v>
      </c>
      <c r="AF41" s="334">
        <f t="shared" si="25"/>
        <v>-0.47487081266170605</v>
      </c>
      <c r="AH41">
        <f t="shared" si="26"/>
        <v>0</v>
      </c>
      <c r="AI41">
        <f t="shared" si="27"/>
        <v>0</v>
      </c>
    </row>
    <row r="42" spans="1:35" x14ac:dyDescent="0.25">
      <c r="A42" s="335">
        <v>14.454000000000001</v>
      </c>
      <c r="B42" s="352">
        <f t="shared" si="28"/>
        <v>1.4454E-2</v>
      </c>
      <c r="C42" s="325">
        <f t="shared" si="0"/>
        <v>1.0000405890866446</v>
      </c>
      <c r="D42" s="326">
        <f t="shared" si="1"/>
        <v>9.0097407062956734E-3</v>
      </c>
      <c r="E42" s="326">
        <f t="shared" si="2"/>
        <v>1.0000000000179636</v>
      </c>
      <c r="F42" s="327">
        <f t="shared" si="3"/>
        <v>5.9939325814574188E-6</v>
      </c>
      <c r="G42" s="326">
        <f t="shared" si="4"/>
        <v>1</v>
      </c>
      <c r="H42" s="327">
        <f t="shared" si="5"/>
        <v>0</v>
      </c>
      <c r="I42" s="325">
        <f t="shared" si="6"/>
        <v>22.691818194607269</v>
      </c>
      <c r="J42" s="328">
        <f t="shared" si="7"/>
        <v>1.5267133031092821</v>
      </c>
      <c r="K42" s="336">
        <f t="shared" si="8"/>
        <v>1.0000016378589547</v>
      </c>
      <c r="L42" s="337">
        <f t="shared" si="9"/>
        <v>1.8098932119077454E-3</v>
      </c>
      <c r="M42" s="325">
        <f t="shared" si="10"/>
        <v>1.0000000035602741</v>
      </c>
      <c r="N42" s="337">
        <f t="shared" si="11"/>
        <v>8.4383341189747077E-5</v>
      </c>
      <c r="O42" s="343">
        <f t="shared" si="12"/>
        <v>1.0000000035272727</v>
      </c>
      <c r="P42" s="691">
        <f t="shared" si="13"/>
        <v>8.3991342358575899E-5</v>
      </c>
      <c r="Q42" s="336">
        <f t="shared" si="29"/>
        <v>4.1565656974825558</v>
      </c>
      <c r="R42" s="692">
        <f t="shared" si="14"/>
        <v>1.4088310618045523E-4</v>
      </c>
      <c r="S42" s="329">
        <f t="shared" si="15"/>
        <v>0.99999999839507048</v>
      </c>
      <c r="T42" s="330">
        <f t="shared" si="16"/>
        <v>8.33401725910172E-5</v>
      </c>
      <c r="U42" s="331">
        <f t="shared" si="17"/>
        <v>73.796250835559846</v>
      </c>
      <c r="V42" s="332">
        <f t="shared" si="18"/>
        <v>-87.899275850026058</v>
      </c>
      <c r="W42" s="334">
        <f t="shared" si="19"/>
        <v>92.100724149973942</v>
      </c>
      <c r="Y42" s="307">
        <f t="shared" si="20"/>
        <v>1000000000</v>
      </c>
      <c r="Z42" s="307">
        <f t="shared" si="21"/>
        <v>208.91811600000003</v>
      </c>
      <c r="AB42" s="333">
        <f t="shared" si="22"/>
        <v>70.589852688615466</v>
      </c>
      <c r="AC42" s="334">
        <f t="shared" si="23"/>
        <v>-87.375364461379647</v>
      </c>
      <c r="AE42" s="333">
        <f t="shared" si="24"/>
        <v>27.622290927384093</v>
      </c>
      <c r="AF42" s="334">
        <f t="shared" si="25"/>
        <v>-0.5206517306866445</v>
      </c>
      <c r="AH42">
        <f t="shared" si="26"/>
        <v>0</v>
      </c>
      <c r="AI42">
        <f t="shared" si="27"/>
        <v>0</v>
      </c>
    </row>
    <row r="43" spans="1:35" x14ac:dyDescent="0.25">
      <c r="A43" s="335">
        <v>15.849</v>
      </c>
      <c r="B43" s="352">
        <f t="shared" si="28"/>
        <v>1.5848999999999999E-2</v>
      </c>
      <c r="C43" s="325">
        <f t="shared" si="0"/>
        <v>1.000048801719621</v>
      </c>
      <c r="D43" s="326">
        <f t="shared" si="1"/>
        <v>9.8792444073943376E-3</v>
      </c>
      <c r="E43" s="326">
        <f t="shared" si="2"/>
        <v>1.0000000000215983</v>
      </c>
      <c r="F43" s="327">
        <f t="shared" si="3"/>
        <v>6.5724254520055645E-6</v>
      </c>
      <c r="G43" s="326">
        <f t="shared" si="4"/>
        <v>1</v>
      </c>
      <c r="H43" s="327">
        <f t="shared" si="5"/>
        <v>0</v>
      </c>
      <c r="I43" s="325">
        <f t="shared" si="6"/>
        <v>24.877809005084917</v>
      </c>
      <c r="J43" s="328">
        <f t="shared" si="7"/>
        <v>1.5305890284581132</v>
      </c>
      <c r="K43" s="336">
        <f t="shared" si="8"/>
        <v>1.0000019692645257</v>
      </c>
      <c r="L43" s="337">
        <f t="shared" si="9"/>
        <v>1.9845711344926168E-3</v>
      </c>
      <c r="M43" s="325">
        <f t="shared" si="10"/>
        <v>1.0000000042806632</v>
      </c>
      <c r="N43" s="337">
        <f t="shared" si="11"/>
        <v>9.2527436963747511E-5</v>
      </c>
      <c r="O43" s="343">
        <f t="shared" si="12"/>
        <v>1.0000000042409845</v>
      </c>
      <c r="P43" s="691">
        <f t="shared" si="13"/>
        <v>9.2097605120221667E-5</v>
      </c>
      <c r="Q43" s="336">
        <f t="shared" si="29"/>
        <v>4.156565705761718</v>
      </c>
      <c r="R43" s="692">
        <f t="shared" si="14"/>
        <v>1.5448016790515579E-4</v>
      </c>
      <c r="S43" s="329">
        <f t="shared" si="15"/>
        <v>0.99999999807032747</v>
      </c>
      <c r="T43" s="330">
        <f t="shared" si="16"/>
        <v>9.1383589050322058E-5</v>
      </c>
      <c r="U43" s="331">
        <f t="shared" si="17"/>
        <v>72.997325690538418</v>
      </c>
      <c r="V43" s="332">
        <f t="shared" si="18"/>
        <v>-88.162358070510862</v>
      </c>
      <c r="W43" s="334">
        <f t="shared" si="19"/>
        <v>91.837641929489138</v>
      </c>
      <c r="Y43" s="307">
        <f t="shared" si="20"/>
        <v>1000000000</v>
      </c>
      <c r="Z43" s="307">
        <f t="shared" si="21"/>
        <v>251.19080099999999</v>
      </c>
      <c r="AB43" s="333">
        <f t="shared" si="22"/>
        <v>69.790998882678878</v>
      </c>
      <c r="AC43" s="334">
        <f t="shared" si="23"/>
        <v>-87.587885481239951</v>
      </c>
      <c r="AE43" s="333">
        <f t="shared" si="24"/>
        <v>27.622219599400836</v>
      </c>
      <c r="AF43" s="334">
        <f t="shared" si="25"/>
        <v>-0.57089833170404114</v>
      </c>
      <c r="AH43">
        <f t="shared" si="26"/>
        <v>0</v>
      </c>
      <c r="AI43">
        <f t="shared" si="27"/>
        <v>0</v>
      </c>
    </row>
    <row r="44" spans="1:35" x14ac:dyDescent="0.25">
      <c r="A44" s="335">
        <v>17.378</v>
      </c>
      <c r="B44" s="352">
        <f t="shared" si="28"/>
        <v>1.7378000000000001E-2</v>
      </c>
      <c r="C44" s="325">
        <f t="shared" si="0"/>
        <v>1.0000586717223243</v>
      </c>
      <c r="D44" s="326">
        <f t="shared" si="1"/>
        <v>1.0832253119773433E-2</v>
      </c>
      <c r="E44" s="326">
        <f t="shared" si="2"/>
        <v>1.0000000000259668</v>
      </c>
      <c r="F44" s="327">
        <f t="shared" si="3"/>
        <v>7.2064868133396482E-6</v>
      </c>
      <c r="G44" s="326">
        <f t="shared" si="4"/>
        <v>1</v>
      </c>
      <c r="H44" s="327">
        <f t="shared" si="5"/>
        <v>0</v>
      </c>
      <c r="I44" s="325">
        <f t="shared" si="6"/>
        <v>27.274137440305047</v>
      </c>
      <c r="J44" s="328">
        <f t="shared" si="7"/>
        <v>1.5341233361737125</v>
      </c>
      <c r="K44" s="336">
        <f t="shared" si="8"/>
        <v>1.0000023675536331</v>
      </c>
      <c r="L44" s="337">
        <f t="shared" si="9"/>
        <v>2.176028015508734E-3</v>
      </c>
      <c r="M44" s="325">
        <f t="shared" si="10"/>
        <v>1.0000000051464402</v>
      </c>
      <c r="N44" s="337">
        <f t="shared" si="11"/>
        <v>1.0145383296283204E-4</v>
      </c>
      <c r="O44" s="343">
        <f t="shared" si="12"/>
        <v>1.0000000050987361</v>
      </c>
      <c r="P44" s="691">
        <f t="shared" si="13"/>
        <v>1.0098253396832654E-4</v>
      </c>
      <c r="Q44" s="336">
        <f t="shared" si="29"/>
        <v>4.1565657157117686</v>
      </c>
      <c r="R44" s="692">
        <f t="shared" si="14"/>
        <v>1.6938332725023708E-4</v>
      </c>
      <c r="S44" s="329">
        <f t="shared" si="15"/>
        <v>0.99999999768004544</v>
      </c>
      <c r="T44" s="330">
        <f t="shared" si="16"/>
        <v>1.0019963477716771E-4</v>
      </c>
      <c r="U44" s="331">
        <f t="shared" si="17"/>
        <v>72.198465499528709</v>
      </c>
      <c r="V44" s="332">
        <f t="shared" si="18"/>
        <v>-88.409817749412369</v>
      </c>
      <c r="W44" s="334">
        <f t="shared" si="19"/>
        <v>91.590182250587631</v>
      </c>
      <c r="Y44" s="307">
        <f t="shared" si="20"/>
        <v>1000000000</v>
      </c>
      <c r="Z44" s="307">
        <f t="shared" si="21"/>
        <v>301.99488400000001</v>
      </c>
      <c r="AB44" s="333">
        <f t="shared" si="22"/>
        <v>68.992224426730985</v>
      </c>
      <c r="AC44" s="334">
        <f t="shared" si="23"/>
        <v>-87.779928170639806</v>
      </c>
      <c r="AE44" s="333">
        <f t="shared" si="24"/>
        <v>27.622133877681105</v>
      </c>
      <c r="AF44" s="334">
        <f t="shared" si="25"/>
        <v>-0.62597050199767523</v>
      </c>
      <c r="AH44">
        <f t="shared" si="26"/>
        <v>0</v>
      </c>
      <c r="AI44">
        <f t="shared" si="27"/>
        <v>0</v>
      </c>
    </row>
    <row r="45" spans="1:35" x14ac:dyDescent="0.25">
      <c r="A45" s="335">
        <v>19.055</v>
      </c>
      <c r="B45" s="352">
        <f t="shared" si="28"/>
        <v>1.9054999999999999E-2</v>
      </c>
      <c r="C45" s="325">
        <f t="shared" si="0"/>
        <v>1.0000705414821287</v>
      </c>
      <c r="D45" s="326">
        <f t="shared" si="1"/>
        <v>1.1877485897931646E-2</v>
      </c>
      <c r="E45" s="326">
        <f t="shared" si="2"/>
        <v>1.0000000000312201</v>
      </c>
      <c r="F45" s="327">
        <f t="shared" si="3"/>
        <v>7.9019223286745332E-6</v>
      </c>
      <c r="G45" s="326">
        <f t="shared" si="4"/>
        <v>1</v>
      </c>
      <c r="H45" s="327">
        <f t="shared" si="5"/>
        <v>0</v>
      </c>
      <c r="I45" s="325">
        <f t="shared" si="6"/>
        <v>29.902745106338422</v>
      </c>
      <c r="J45" s="328">
        <f t="shared" si="7"/>
        <v>1.5373483446101319</v>
      </c>
      <c r="K45" s="336">
        <f t="shared" si="8"/>
        <v>1.0000028465449258</v>
      </c>
      <c r="L45" s="337">
        <f t="shared" si="9"/>
        <v>2.3860168370860532E-3</v>
      </c>
      <c r="M45" s="325">
        <f t="shared" si="10"/>
        <v>1.0000000061876428</v>
      </c>
      <c r="N45" s="337">
        <f t="shared" si="11"/>
        <v>1.1124426204194157E-4</v>
      </c>
      <c r="O45" s="343">
        <f t="shared" si="12"/>
        <v>1.0000000061302876</v>
      </c>
      <c r="P45" s="691">
        <f t="shared" si="13"/>
        <v>1.1072748207176732E-4</v>
      </c>
      <c r="Q45" s="336">
        <f t="shared" si="29"/>
        <v>4.156565727677922</v>
      </c>
      <c r="R45" s="692">
        <f t="shared" si="14"/>
        <v>1.8572904215582593E-4</v>
      </c>
      <c r="S45" s="329">
        <f t="shared" si="15"/>
        <v>0.99999999721068367</v>
      </c>
      <c r="T45" s="330">
        <f t="shared" si="16"/>
        <v>1.0986903223739557E-4</v>
      </c>
      <c r="U45" s="331">
        <f t="shared" si="17"/>
        <v>71.399165862002761</v>
      </c>
      <c r="V45" s="332">
        <f t="shared" si="18"/>
        <v>-88.643906392046773</v>
      </c>
      <c r="W45" s="334">
        <f t="shared" si="19"/>
        <v>91.356093607953227</v>
      </c>
      <c r="Y45" s="307">
        <f t="shared" si="20"/>
        <v>1000000000</v>
      </c>
      <c r="Z45" s="307">
        <f t="shared" si="21"/>
        <v>363.09302500000001</v>
      </c>
      <c r="AB45" s="333">
        <f t="shared" si="22"/>
        <v>68.193027893891283</v>
      </c>
      <c r="AC45" s="334">
        <f t="shared" si="23"/>
        <v>-87.953237020183309</v>
      </c>
      <c r="AE45" s="333">
        <f t="shared" si="24"/>
        <v>27.622030789040338</v>
      </c>
      <c r="AF45" s="334">
        <f t="shared" si="25"/>
        <v>-0.68637209900884688</v>
      </c>
      <c r="AH45">
        <f t="shared" si="26"/>
        <v>0</v>
      </c>
      <c r="AI45">
        <f t="shared" ref="AI45:AI76" si="30">IF(AH45&gt;0,W43,0)</f>
        <v>0</v>
      </c>
    </row>
    <row r="46" spans="1:35" x14ac:dyDescent="0.25">
      <c r="A46" s="335">
        <v>20.893000000000001</v>
      </c>
      <c r="B46" s="352">
        <f t="shared" si="28"/>
        <v>2.0893000000000002E-2</v>
      </c>
      <c r="C46" s="325">
        <f t="shared" si="0"/>
        <v>1.0000848057277341</v>
      </c>
      <c r="D46" s="326">
        <f t="shared" si="1"/>
        <v>1.3023036114898167E-2</v>
      </c>
      <c r="E46" s="326">
        <f t="shared" si="2"/>
        <v>1.0000000000375335</v>
      </c>
      <c r="F46" s="327">
        <f t="shared" si="3"/>
        <v>8.6641229709946037E-6</v>
      </c>
      <c r="G46" s="326">
        <f t="shared" si="4"/>
        <v>1</v>
      </c>
      <c r="H46" s="327">
        <f t="shared" si="5"/>
        <v>0</v>
      </c>
      <c r="I46" s="325">
        <f t="shared" si="6"/>
        <v>32.784008840517821</v>
      </c>
      <c r="J46" s="328">
        <f t="shared" si="7"/>
        <v>1.5402889187869102</v>
      </c>
      <c r="K46" s="336">
        <f t="shared" si="8"/>
        <v>1.0000034221703153</v>
      </c>
      <c r="L46" s="337">
        <f t="shared" si="9"/>
        <v>2.6161653448928501E-3</v>
      </c>
      <c r="M46" s="325">
        <f t="shared" si="10"/>
        <v>1.0000000074389039</v>
      </c>
      <c r="N46" s="337">
        <f t="shared" si="11"/>
        <v>1.2197461899257288E-4</v>
      </c>
      <c r="O46" s="343">
        <f t="shared" si="12"/>
        <v>1.0000000073699502</v>
      </c>
      <c r="P46" s="691">
        <f t="shared" si="13"/>
        <v>1.2140799165644294E-4</v>
      </c>
      <c r="Q46" s="336">
        <f t="shared" si="29"/>
        <v>4.1565657420581958</v>
      </c>
      <c r="R46" s="692">
        <f t="shared" si="14"/>
        <v>2.0364402355539809E-4</v>
      </c>
      <c r="S46" s="329">
        <f t="shared" si="15"/>
        <v>0.99999999664662986</v>
      </c>
      <c r="T46" s="330">
        <f t="shared" si="16"/>
        <v>1.2046673800916205E-4</v>
      </c>
      <c r="U46" s="331">
        <f t="shared" si="17"/>
        <v>70.600026962927402</v>
      </c>
      <c r="V46" s="332">
        <f t="shared" si="18"/>
        <v>-88.866430378270763</v>
      </c>
      <c r="W46" s="334">
        <f t="shared" si="19"/>
        <v>91.133569621729237</v>
      </c>
      <c r="Y46" s="307">
        <f t="shared" si="20"/>
        <v>1000000000</v>
      </c>
      <c r="Z46" s="307">
        <f t="shared" si="21"/>
        <v>436.51744900000006</v>
      </c>
      <c r="AB46" s="333">
        <f t="shared" si="22"/>
        <v>67.394012897184624</v>
      </c>
      <c r="AC46" s="334">
        <f t="shared" si="23"/>
        <v>-88.1091477760434</v>
      </c>
      <c r="AE46" s="333">
        <f t="shared" si="24"/>
        <v>27.621906905954216</v>
      </c>
      <c r="AF46" s="334">
        <f t="shared" si="25"/>
        <v>-0.75257082467026393</v>
      </c>
      <c r="AH46">
        <f t="shared" si="26"/>
        <v>0</v>
      </c>
      <c r="AI46">
        <f t="shared" si="30"/>
        <v>0</v>
      </c>
    </row>
    <row r="47" spans="1:35" x14ac:dyDescent="0.25">
      <c r="A47" s="335">
        <v>22.909000000000002</v>
      </c>
      <c r="B47" s="352">
        <f t="shared" si="28"/>
        <v>2.2909000000000002E-2</v>
      </c>
      <c r="C47" s="325">
        <f t="shared" si="0"/>
        <v>1.0001019605375001</v>
      </c>
      <c r="D47" s="326">
        <f t="shared" si="1"/>
        <v>1.4279487032877533E-2</v>
      </c>
      <c r="E47" s="326">
        <f t="shared" si="2"/>
        <v>1.0000000000451263</v>
      </c>
      <c r="F47" s="327">
        <f t="shared" si="3"/>
        <v>9.500138474202398E-6</v>
      </c>
      <c r="G47" s="326">
        <f t="shared" si="4"/>
        <v>1</v>
      </c>
      <c r="H47" s="327">
        <f t="shared" si="5"/>
        <v>0</v>
      </c>
      <c r="I47" s="325">
        <f t="shared" si="6"/>
        <v>35.944578019036925</v>
      </c>
      <c r="J47" s="328">
        <f t="shared" si="7"/>
        <v>1.5429721291614951</v>
      </c>
      <c r="K47" s="336">
        <f t="shared" si="8"/>
        <v>1.0000041144531868</v>
      </c>
      <c r="L47" s="337">
        <f t="shared" si="9"/>
        <v>2.8686021263342964E-3</v>
      </c>
      <c r="M47" s="325">
        <f t="shared" si="10"/>
        <v>1.0000000089437491</v>
      </c>
      <c r="N47" s="337">
        <f t="shared" si="11"/>
        <v>1.3374415084944766E-4</v>
      </c>
      <c r="O47" s="343">
        <f t="shared" si="12"/>
        <v>1.0000000088608465</v>
      </c>
      <c r="P47" s="691">
        <f t="shared" si="13"/>
        <v>1.3312284870975905E-4</v>
      </c>
      <c r="Q47" s="336">
        <f t="shared" si="29"/>
        <v>4.1565657593528185</v>
      </c>
      <c r="R47" s="692">
        <f t="shared" si="14"/>
        <v>2.2329397036052333E-4</v>
      </c>
      <c r="S47" s="329">
        <f t="shared" si="15"/>
        <v>0.9999999959682635</v>
      </c>
      <c r="T47" s="330">
        <f t="shared" si="16"/>
        <v>1.3209077223349247E-4</v>
      </c>
      <c r="U47" s="331">
        <f t="shared" si="17"/>
        <v>69.800457328966957</v>
      </c>
      <c r="V47" s="332">
        <f t="shared" si="18"/>
        <v>-89.079439880715782</v>
      </c>
      <c r="W47" s="334">
        <f t="shared" si="19"/>
        <v>90.920560119284218</v>
      </c>
      <c r="Y47" s="307">
        <f t="shared" si="20"/>
        <v>1000000000</v>
      </c>
      <c r="Z47" s="307">
        <f t="shared" si="21"/>
        <v>524.82228100000009</v>
      </c>
      <c r="AB47" s="333">
        <f t="shared" si="22"/>
        <v>66.594592271327642</v>
      </c>
      <c r="AC47" s="334">
        <f t="shared" si="23"/>
        <v>-88.249095188544516</v>
      </c>
      <c r="AE47" s="333">
        <f t="shared" si="24"/>
        <v>27.621757921041223</v>
      </c>
      <c r="AF47" s="334">
        <f t="shared" si="25"/>
        <v>-0.82517826746081413</v>
      </c>
      <c r="AH47">
        <f t="shared" si="26"/>
        <v>0</v>
      </c>
      <c r="AI47">
        <f t="shared" si="30"/>
        <v>0</v>
      </c>
    </row>
    <row r="48" spans="1:35" x14ac:dyDescent="0.25">
      <c r="A48" s="335">
        <v>25.119</v>
      </c>
      <c r="B48" s="352">
        <f t="shared" si="28"/>
        <v>2.5118999999999999E-2</v>
      </c>
      <c r="C48" s="325">
        <f t="shared" si="0"/>
        <v>1.0001225801268427</v>
      </c>
      <c r="D48" s="326">
        <f t="shared" si="1"/>
        <v>1.5656794472652093E-2</v>
      </c>
      <c r="E48" s="326">
        <f t="shared" si="2"/>
        <v>1.0000000000542528</v>
      </c>
      <c r="F48" s="327">
        <f t="shared" si="3"/>
        <v>1.0416603881969447E-5</v>
      </c>
      <c r="G48" s="326">
        <f t="shared" si="4"/>
        <v>1</v>
      </c>
      <c r="H48" s="327">
        <f t="shared" si="5"/>
        <v>0</v>
      </c>
      <c r="I48" s="325">
        <f t="shared" si="6"/>
        <v>39.409536623259406</v>
      </c>
      <c r="J48" s="328">
        <f t="shared" si="7"/>
        <v>1.5454190341836589</v>
      </c>
      <c r="K48" s="336">
        <f t="shared" si="8"/>
        <v>1.0000049465724243</v>
      </c>
      <c r="L48" s="337">
        <f t="shared" si="9"/>
        <v>3.1453305180721403E-3</v>
      </c>
      <c r="M48" s="325">
        <f t="shared" si="10"/>
        <v>1.000000010752564</v>
      </c>
      <c r="N48" s="337">
        <f t="shared" si="11"/>
        <v>1.4664626658239597E-4</v>
      </c>
      <c r="O48" s="343">
        <f t="shared" si="12"/>
        <v>1.0000000106528948</v>
      </c>
      <c r="P48" s="691">
        <f t="shared" si="13"/>
        <v>1.45965028274716E-4</v>
      </c>
      <c r="Q48" s="336">
        <f t="shared" si="29"/>
        <v>4.1565657801408493</v>
      </c>
      <c r="R48" s="692">
        <f t="shared" si="14"/>
        <v>2.4483483446946573E-4</v>
      </c>
      <c r="S48" s="329">
        <f t="shared" si="15"/>
        <v>0.99999999515287119</v>
      </c>
      <c r="T48" s="330">
        <f t="shared" si="16"/>
        <v>1.448333891653911E-4</v>
      </c>
      <c r="U48" s="331">
        <f t="shared" si="17"/>
        <v>69.000926660712281</v>
      </c>
      <c r="V48" s="332">
        <f t="shared" si="18"/>
        <v>-89.284610969322785</v>
      </c>
      <c r="W48" s="334">
        <f t="shared" si="19"/>
        <v>90.715389030677215</v>
      </c>
      <c r="Y48" s="307">
        <f t="shared" si="20"/>
        <v>1000000000</v>
      </c>
      <c r="Z48" s="307">
        <f t="shared" si="21"/>
        <v>630.96416099999999</v>
      </c>
      <c r="AB48" s="333">
        <f t="shared" si="22"/>
        <v>65.795240703158186</v>
      </c>
      <c r="AC48" s="334">
        <f t="shared" si="23"/>
        <v>-88.374176387187063</v>
      </c>
      <c r="AE48" s="333">
        <f t="shared" si="24"/>
        <v>27.621578848830787</v>
      </c>
      <c r="AF48" s="334">
        <f t="shared" si="25"/>
        <v>-0.90476975951302674</v>
      </c>
      <c r="AH48">
        <f t="shared" si="26"/>
        <v>0</v>
      </c>
      <c r="AI48">
        <f t="shared" si="30"/>
        <v>0</v>
      </c>
    </row>
    <row r="49" spans="1:35" x14ac:dyDescent="0.25">
      <c r="A49" s="335">
        <v>27.542000000000002</v>
      </c>
      <c r="B49" s="352">
        <f t="shared" si="28"/>
        <v>2.7542000000000001E-2</v>
      </c>
      <c r="C49" s="325">
        <f t="shared" si="0"/>
        <v>1.0001473672367966</v>
      </c>
      <c r="D49" s="326">
        <f t="shared" si="1"/>
        <v>1.7166778468126954E-2</v>
      </c>
      <c r="E49" s="326">
        <f t="shared" si="2"/>
        <v>1.0000000000652243</v>
      </c>
      <c r="F49" s="327">
        <f t="shared" si="3"/>
        <v>1.1421398308654967E-5</v>
      </c>
      <c r="G49" s="326">
        <f t="shared" si="4"/>
        <v>1</v>
      </c>
      <c r="H49" s="327">
        <f t="shared" si="5"/>
        <v>0</v>
      </c>
      <c r="I49" s="325">
        <f t="shared" si="6"/>
        <v>43.208673831068836</v>
      </c>
      <c r="J49" s="328">
        <f t="shared" si="7"/>
        <v>1.5476507589464306</v>
      </c>
      <c r="K49" s="336">
        <f t="shared" si="8"/>
        <v>1.0000059468969225</v>
      </c>
      <c r="L49" s="337">
        <f t="shared" si="9"/>
        <v>3.4487294620721472E-3</v>
      </c>
      <c r="M49" s="325">
        <f t="shared" si="10"/>
        <v>1.0000000129270159</v>
      </c>
      <c r="N49" s="337">
        <f t="shared" si="11"/>
        <v>1.607918893410317E-4</v>
      </c>
      <c r="O49" s="343">
        <f t="shared" si="12"/>
        <v>1.0000000128071913</v>
      </c>
      <c r="P49" s="691">
        <f t="shared" si="13"/>
        <v>1.6004493821284569E-4</v>
      </c>
      <c r="Q49" s="336">
        <f t="shared" si="29"/>
        <v>4.1565658051310148</v>
      </c>
      <c r="R49" s="692">
        <f t="shared" si="14"/>
        <v>2.6845180875194552E-4</v>
      </c>
      <c r="S49" s="329">
        <f t="shared" si="15"/>
        <v>0.99999999417265384</v>
      </c>
      <c r="T49" s="330">
        <f t="shared" si="16"/>
        <v>1.5880414073504292E-4</v>
      </c>
      <c r="U49" s="331">
        <f t="shared" si="17"/>
        <v>68.201327864572946</v>
      </c>
      <c r="V49" s="332">
        <f t="shared" si="18"/>
        <v>-89.483711423205179</v>
      </c>
      <c r="W49" s="334">
        <f t="shared" si="19"/>
        <v>90.516288576794821</v>
      </c>
      <c r="Y49" s="307">
        <f t="shared" si="20"/>
        <v>1000000000</v>
      </c>
      <c r="Z49" s="307">
        <f t="shared" si="21"/>
        <v>758.56176400000004</v>
      </c>
      <c r="AB49" s="333">
        <f t="shared" si="22"/>
        <v>64.995857200964807</v>
      </c>
      <c r="AC49" s="334">
        <f t="shared" si="23"/>
        <v>-88.485471802738601</v>
      </c>
      <c r="AE49" s="333">
        <f t="shared" si="24"/>
        <v>27.621363588394278</v>
      </c>
      <c r="AF49" s="334">
        <f t="shared" si="25"/>
        <v>-0.9920283643073845</v>
      </c>
      <c r="AH49">
        <f t="shared" si="26"/>
        <v>0</v>
      </c>
      <c r="AI49">
        <f t="shared" si="30"/>
        <v>0</v>
      </c>
    </row>
    <row r="50" spans="1:35" x14ac:dyDescent="0.25">
      <c r="A50" s="335">
        <v>30.2</v>
      </c>
      <c r="B50" s="352">
        <f t="shared" si="28"/>
        <v>3.0199999999999998E-2</v>
      </c>
      <c r="C50" s="325">
        <f t="shared" si="0"/>
        <v>1.0001771811046121</v>
      </c>
      <c r="D50" s="326">
        <f t="shared" si="1"/>
        <v>1.8823121293425758E-2</v>
      </c>
      <c r="E50" s="326">
        <f t="shared" si="2"/>
        <v>1.0000000000784208</v>
      </c>
      <c r="F50" s="327">
        <f t="shared" si="3"/>
        <v>1.2523644939305257E-5</v>
      </c>
      <c r="G50" s="326">
        <f t="shared" si="4"/>
        <v>1</v>
      </c>
      <c r="H50" s="327">
        <f t="shared" si="5"/>
        <v>0</v>
      </c>
      <c r="I50" s="325">
        <f t="shared" si="6"/>
        <v>47.376484642825119</v>
      </c>
      <c r="J50" s="328">
        <f t="shared" si="7"/>
        <v>1.5496872412014211</v>
      </c>
      <c r="K50" s="336">
        <f t="shared" si="8"/>
        <v>1.0000071501160006</v>
      </c>
      <c r="L50" s="337">
        <f t="shared" si="9"/>
        <v>3.7815534895866282E-3</v>
      </c>
      <c r="M50" s="325">
        <f t="shared" si="10"/>
        <v>1.0000000155425124</v>
      </c>
      <c r="N50" s="337">
        <f t="shared" si="11"/>
        <v>1.7630945645312872E-4</v>
      </c>
      <c r="O50" s="343">
        <f t="shared" si="12"/>
        <v>1.0000000153984439</v>
      </c>
      <c r="P50" s="691">
        <f t="shared" si="13"/>
        <v>1.7549041920261082E-4</v>
      </c>
      <c r="Q50" s="336">
        <f t="shared" si="29"/>
        <v>4.1565658351899355</v>
      </c>
      <c r="R50" s="692">
        <f t="shared" si="14"/>
        <v>2.9435932704167559E-4</v>
      </c>
      <c r="S50" s="329">
        <f t="shared" si="15"/>
        <v>0.99999999299361897</v>
      </c>
      <c r="T50" s="330">
        <f t="shared" si="16"/>
        <v>1.7412987654967974E-4</v>
      </c>
      <c r="U50" s="331">
        <f t="shared" si="17"/>
        <v>67.401241431636336</v>
      </c>
      <c r="V50" s="332">
        <f t="shared" si="18"/>
        <v>-89.678528770497749</v>
      </c>
      <c r="W50" s="334">
        <f t="shared" si="19"/>
        <v>90.321471229502251</v>
      </c>
      <c r="Y50" s="307">
        <f t="shared" si="20"/>
        <v>1000000000</v>
      </c>
      <c r="Z50" s="307">
        <f t="shared" si="21"/>
        <v>912.04</v>
      </c>
      <c r="AB50" s="333">
        <f t="shared" si="22"/>
        <v>64.196029715928631</v>
      </c>
      <c r="AC50" s="334">
        <f t="shared" si="23"/>
        <v>-88.583973320122112</v>
      </c>
      <c r="AE50" s="333">
        <f t="shared" si="24"/>
        <v>27.621104680800016</v>
      </c>
      <c r="AF50" s="334">
        <f t="shared" si="25"/>
        <v>-1.0877447636333448</v>
      </c>
      <c r="AH50">
        <f t="shared" si="26"/>
        <v>0</v>
      </c>
      <c r="AI50">
        <f t="shared" si="30"/>
        <v>0</v>
      </c>
    </row>
    <row r="51" spans="1:35" x14ac:dyDescent="0.25">
      <c r="A51" s="335">
        <v>33.113</v>
      </c>
      <c r="B51" s="352">
        <f t="shared" si="28"/>
        <v>3.3112999999999997E-2</v>
      </c>
      <c r="C51" s="325">
        <f t="shared" si="0"/>
        <v>1.0002130064716785</v>
      </c>
      <c r="D51" s="326">
        <f t="shared" si="1"/>
        <v>2.0638249380815987E-2</v>
      </c>
      <c r="E51" s="326">
        <f t="shared" si="2"/>
        <v>1.0000000000942788</v>
      </c>
      <c r="F51" s="327">
        <f t="shared" si="3"/>
        <v>1.3731637578504332E-5</v>
      </c>
      <c r="G51" s="326">
        <f t="shared" si="4"/>
        <v>1</v>
      </c>
      <c r="H51" s="327">
        <f t="shared" si="5"/>
        <v>0</v>
      </c>
      <c r="I51" s="325">
        <f t="shared" si="6"/>
        <v>51.944329575931278</v>
      </c>
      <c r="J51" s="328">
        <f t="shared" si="7"/>
        <v>1.551543757982536</v>
      </c>
      <c r="K51" s="336">
        <f t="shared" si="8"/>
        <v>1.0000085959908795</v>
      </c>
      <c r="L51" s="337">
        <f t="shared" si="9"/>
        <v>4.1463066225553066E-3</v>
      </c>
      <c r="M51" s="325">
        <f t="shared" si="10"/>
        <v>1.0000000186854858</v>
      </c>
      <c r="N51" s="337">
        <f t="shared" si="11"/>
        <v>1.9331572911588464E-4</v>
      </c>
      <c r="O51" s="343">
        <f t="shared" si="12"/>
        <v>1.0000000185122839</v>
      </c>
      <c r="P51" s="691">
        <f t="shared" si="13"/>
        <v>1.92417690032881E-4</v>
      </c>
      <c r="Q51" s="336">
        <f t="shared" si="29"/>
        <v>4.1565658713109528</v>
      </c>
      <c r="R51" s="692">
        <f t="shared" si="14"/>
        <v>3.2275232914211015E-4</v>
      </c>
      <c r="S51" s="329">
        <f t="shared" si="15"/>
        <v>0.99999999157680375</v>
      </c>
      <c r="T51" s="330">
        <f t="shared" si="16"/>
        <v>1.9092591444540313E-4</v>
      </c>
      <c r="U51" s="331">
        <f t="shared" si="17"/>
        <v>66.601436559440174</v>
      </c>
      <c r="V51" s="332">
        <f t="shared" si="18"/>
        <v>-89.870524165333762</v>
      </c>
      <c r="W51" s="334">
        <f t="shared" si="19"/>
        <v>90.129475834666238</v>
      </c>
      <c r="Y51" s="307">
        <f t="shared" si="20"/>
        <v>1000000000</v>
      </c>
      <c r="Z51" s="307">
        <f t="shared" si="21"/>
        <v>1096.470769</v>
      </c>
      <c r="AB51" s="333">
        <f t="shared" si="22"/>
        <v>63.396535994211398</v>
      </c>
      <c r="AC51" s="334">
        <f t="shared" si="23"/>
        <v>-88.670419468939528</v>
      </c>
      <c r="AE51" s="333">
        <f t="shared" si="24"/>
        <v>27.620793578755951</v>
      </c>
      <c r="AF51" s="334">
        <f t="shared" si="25"/>
        <v>-1.1926370716403729</v>
      </c>
      <c r="AH51">
        <f t="shared" si="26"/>
        <v>0</v>
      </c>
      <c r="AI51">
        <f t="shared" si="30"/>
        <v>0</v>
      </c>
    </row>
    <row r="52" spans="1:35" x14ac:dyDescent="0.25">
      <c r="A52" s="335">
        <v>36.308</v>
      </c>
      <c r="B52" s="352">
        <f t="shared" si="28"/>
        <v>3.6308E-2</v>
      </c>
      <c r="C52" s="325">
        <f t="shared" si="0"/>
        <v>1.0002560890680985</v>
      </c>
      <c r="D52" s="326">
        <f t="shared" si="1"/>
        <v>2.2628938494607193E-2</v>
      </c>
      <c r="E52" s="326">
        <f t="shared" si="2"/>
        <v>1.0000000001133502</v>
      </c>
      <c r="F52" s="327">
        <f t="shared" si="3"/>
        <v>1.5056572862440623E-5</v>
      </c>
      <c r="G52" s="326">
        <f t="shared" si="4"/>
        <v>1</v>
      </c>
      <c r="H52" s="327">
        <f t="shared" si="5"/>
        <v>0</v>
      </c>
      <c r="I52" s="325">
        <f t="shared" si="6"/>
        <v>56.954547018984783</v>
      </c>
      <c r="J52" s="328">
        <f t="shared" si="7"/>
        <v>1.5532375639003251</v>
      </c>
      <c r="K52" s="336">
        <f t="shared" si="8"/>
        <v>1.0000103348258722</v>
      </c>
      <c r="L52" s="337">
        <f t="shared" si="9"/>
        <v>4.5463692911792003E-3</v>
      </c>
      <c r="M52" s="325">
        <f t="shared" si="10"/>
        <v>1.0000000224652879</v>
      </c>
      <c r="N52" s="337">
        <f t="shared" si="11"/>
        <v>2.1196833494557482E-4</v>
      </c>
      <c r="O52" s="343">
        <f t="shared" si="12"/>
        <v>1.0000000222570498</v>
      </c>
      <c r="P52" s="691">
        <f t="shared" si="13"/>
        <v>2.1098364606868806E-4</v>
      </c>
      <c r="Q52" s="336">
        <f t="shared" si="29"/>
        <v>4.1565659147508036</v>
      </c>
      <c r="R52" s="692">
        <f t="shared" si="14"/>
        <v>3.5389398378818236E-4</v>
      </c>
      <c r="S52" s="329">
        <f t="shared" si="15"/>
        <v>0.99999998987291372</v>
      </c>
      <c r="T52" s="330">
        <f t="shared" si="16"/>
        <v>2.0934793350088255E-4</v>
      </c>
      <c r="U52" s="331">
        <f t="shared" si="17"/>
        <v>65.801272329184926</v>
      </c>
      <c r="V52" s="332">
        <f t="shared" si="18"/>
        <v>-90.06147711883338</v>
      </c>
      <c r="W52" s="334">
        <f t="shared" si="19"/>
        <v>89.93852288116662</v>
      </c>
      <c r="Y52" s="307">
        <f t="shared" si="20"/>
        <v>1000000000</v>
      </c>
      <c r="Z52" s="307">
        <f t="shared" si="21"/>
        <v>1318.2708640000001</v>
      </c>
      <c r="AB52" s="333">
        <f t="shared" si="22"/>
        <v>62.596745930167621</v>
      </c>
      <c r="AC52" s="334">
        <f t="shared" si="23"/>
        <v>-88.745614212567133</v>
      </c>
      <c r="AE52" s="333">
        <f t="shared" si="24"/>
        <v>27.620419470793216</v>
      </c>
      <c r="AF52" s="334">
        <f t="shared" si="25"/>
        <v>-1.3076747470567878</v>
      </c>
      <c r="AH52">
        <f t="shared" si="26"/>
        <v>0</v>
      </c>
      <c r="AI52">
        <f t="shared" si="30"/>
        <v>0</v>
      </c>
    </row>
    <row r="53" spans="1:35" x14ac:dyDescent="0.25">
      <c r="A53" s="335">
        <v>39.811</v>
      </c>
      <c r="B53" s="352">
        <f t="shared" si="28"/>
        <v>3.9810999999999999E-2</v>
      </c>
      <c r="C53" s="325">
        <f t="shared" si="0"/>
        <v>1.0003078798843918</v>
      </c>
      <c r="D53" s="326">
        <f t="shared" si="1"/>
        <v>2.4811324569774557E-2</v>
      </c>
      <c r="E53" s="326">
        <f t="shared" si="2"/>
        <v>1.0000000001362774</v>
      </c>
      <c r="F53" s="327">
        <f t="shared" si="3"/>
        <v>1.6509232737067913E-5</v>
      </c>
      <c r="G53" s="326">
        <f t="shared" si="4"/>
        <v>1</v>
      </c>
      <c r="H53" s="327">
        <f t="shared" si="5"/>
        <v>0</v>
      </c>
      <c r="I53" s="325">
        <f t="shared" si="6"/>
        <v>62.447908763039422</v>
      </c>
      <c r="J53" s="328">
        <f t="shared" si="7"/>
        <v>1.5547822958590545</v>
      </c>
      <c r="K53" s="336">
        <f t="shared" si="8"/>
        <v>1.0000124252240765</v>
      </c>
      <c r="L53" s="337">
        <f t="shared" si="9"/>
        <v>4.9849965742616732E-3</v>
      </c>
      <c r="M53" s="325">
        <f t="shared" si="10"/>
        <v>1.000000027009311</v>
      </c>
      <c r="N53" s="337">
        <f t="shared" si="11"/>
        <v>2.3241906348338108E-4</v>
      </c>
      <c r="O53" s="343">
        <f t="shared" si="12"/>
        <v>1.0000000267589531</v>
      </c>
      <c r="P53" s="691">
        <f t="shared" si="13"/>
        <v>2.3133937172059804E-4</v>
      </c>
      <c r="Q53" s="336">
        <f t="shared" si="29"/>
        <v>4.1565659669735604</v>
      </c>
      <c r="R53" s="692">
        <f t="shared" si="14"/>
        <v>3.8803771265461694E-4</v>
      </c>
      <c r="S53" s="329">
        <f t="shared" si="15"/>
        <v>0.99999998782452182</v>
      </c>
      <c r="T53" s="330">
        <f t="shared" si="16"/>
        <v>2.2954584692049388E-4</v>
      </c>
      <c r="U53" s="331">
        <f t="shared" si="17"/>
        <v>65.001050725378505</v>
      </c>
      <c r="V53" s="332">
        <f t="shared" si="18"/>
        <v>-90.252929518780945</v>
      </c>
      <c r="W53" s="334">
        <f t="shared" si="19"/>
        <v>89.747070481219055</v>
      </c>
      <c r="Y53" s="307">
        <f t="shared" si="20"/>
        <v>1000000000</v>
      </c>
      <c r="Z53" s="307">
        <f t="shared" si="21"/>
        <v>1584.9157210000001</v>
      </c>
      <c r="AB53" s="333">
        <f t="shared" si="22"/>
        <v>61.796974100895653</v>
      </c>
      <c r="AC53" s="334">
        <f t="shared" si="23"/>
        <v>-88.810161082688325</v>
      </c>
      <c r="AE53" s="333">
        <f t="shared" si="24"/>
        <v>27.619969766284541</v>
      </c>
      <c r="AF53" s="334">
        <f t="shared" si="25"/>
        <v>-1.4337902824901365</v>
      </c>
      <c r="AH53">
        <f t="shared" si="26"/>
        <v>0</v>
      </c>
      <c r="AI53">
        <f t="shared" si="30"/>
        <v>0</v>
      </c>
    </row>
    <row r="54" spans="1:35" x14ac:dyDescent="0.25">
      <c r="A54" s="335">
        <v>43.652000000000001</v>
      </c>
      <c r="B54" s="352">
        <f t="shared" si="28"/>
        <v>4.3652000000000003E-2</v>
      </c>
      <c r="C54" s="325">
        <f t="shared" si="0"/>
        <v>1.000370143320449</v>
      </c>
      <c r="D54" s="326">
        <f t="shared" si="1"/>
        <v>2.7204013849716713E-2</v>
      </c>
      <c r="E54" s="326">
        <f t="shared" si="2"/>
        <v>1.0000000001638423</v>
      </c>
      <c r="F54" s="327">
        <f t="shared" si="3"/>
        <v>1.8102057909252345E-5</v>
      </c>
      <c r="G54" s="326">
        <f t="shared" si="4"/>
        <v>1</v>
      </c>
      <c r="H54" s="327">
        <f t="shared" si="5"/>
        <v>0</v>
      </c>
      <c r="I54" s="325">
        <f t="shared" si="6"/>
        <v>68.471460437589371</v>
      </c>
      <c r="J54" s="328">
        <f t="shared" si="7"/>
        <v>1.5561911826048962</v>
      </c>
      <c r="K54" s="336">
        <f t="shared" si="8"/>
        <v>1.0000149384591426</v>
      </c>
      <c r="L54" s="337">
        <f t="shared" si="9"/>
        <v>5.4659442332145635E-3</v>
      </c>
      <c r="M54" s="325">
        <f t="shared" si="10"/>
        <v>1.0000000324724927</v>
      </c>
      <c r="N54" s="337">
        <f t="shared" si="11"/>
        <v>2.5484305649758123E-4</v>
      </c>
      <c r="O54" s="343">
        <f t="shared" si="12"/>
        <v>1.0000000321714946</v>
      </c>
      <c r="P54" s="691">
        <f t="shared" si="13"/>
        <v>2.5365919514477858E-4</v>
      </c>
      <c r="Q54" s="336">
        <f t="shared" si="29"/>
        <v>4.1565660297598583</v>
      </c>
      <c r="R54" s="692">
        <f t="shared" si="14"/>
        <v>4.2547592532008041E-4</v>
      </c>
      <c r="S54" s="329">
        <f t="shared" si="15"/>
        <v>0.99999998536178436</v>
      </c>
      <c r="T54" s="330">
        <f t="shared" si="16"/>
        <v>2.5169263149002209E-4</v>
      </c>
      <c r="U54" s="331">
        <f t="shared" si="17"/>
        <v>64.2006979813779</v>
      </c>
      <c r="V54" s="332">
        <f t="shared" si="18"/>
        <v>-90.446516184934836</v>
      </c>
      <c r="W54" s="334">
        <f t="shared" si="19"/>
        <v>89.553483815065164</v>
      </c>
      <c r="Y54" s="307">
        <f t="shared" si="20"/>
        <v>1000000000</v>
      </c>
      <c r="Z54" s="307">
        <f t="shared" si="21"/>
        <v>1905.497104</v>
      </c>
      <c r="AB54" s="333">
        <f t="shared" si="22"/>
        <v>60.997162049509441</v>
      </c>
      <c r="AC54" s="334">
        <f t="shared" si="23"/>
        <v>-88.864612876234034</v>
      </c>
      <c r="AE54" s="333">
        <f t="shared" si="24"/>
        <v>27.619429157860637</v>
      </c>
      <c r="AF54" s="334">
        <f t="shared" si="25"/>
        <v>-1.5720589352007639</v>
      </c>
      <c r="AH54">
        <f t="shared" si="26"/>
        <v>0</v>
      </c>
      <c r="AI54">
        <f t="shared" si="30"/>
        <v>0</v>
      </c>
    </row>
    <row r="55" spans="1:35" x14ac:dyDescent="0.25">
      <c r="A55" s="335">
        <v>47.863</v>
      </c>
      <c r="B55" s="352">
        <f t="shared" si="28"/>
        <v>4.7863000000000003E-2</v>
      </c>
      <c r="C55" s="325">
        <f t="shared" si="0"/>
        <v>1.0004449848320256</v>
      </c>
      <c r="D55" s="326">
        <f t="shared" si="1"/>
        <v>2.9826829703300559E-2</v>
      </c>
      <c r="E55" s="326">
        <f t="shared" si="2"/>
        <v>1.000000000196978</v>
      </c>
      <c r="F55" s="327">
        <f t="shared" si="3"/>
        <v>1.984831846631095E-5</v>
      </c>
      <c r="G55" s="326">
        <f t="shared" si="4"/>
        <v>1</v>
      </c>
      <c r="H55" s="327">
        <f t="shared" si="5"/>
        <v>0</v>
      </c>
      <c r="I55" s="325">
        <f t="shared" si="6"/>
        <v>75.075385222168208</v>
      </c>
      <c r="J55" s="328">
        <f t="shared" si="7"/>
        <v>1.5574759879174145</v>
      </c>
      <c r="K55" s="336">
        <f t="shared" si="8"/>
        <v>1.0000179596011265</v>
      </c>
      <c r="L55" s="337">
        <f t="shared" si="9"/>
        <v>5.9932182241561249E-3</v>
      </c>
      <c r="M55" s="325">
        <f t="shared" si="10"/>
        <v>1.0000000390397623</v>
      </c>
      <c r="N55" s="337">
        <f t="shared" si="11"/>
        <v>2.7942713185514183E-4</v>
      </c>
      <c r="O55" s="343">
        <f t="shared" si="12"/>
        <v>1.00000003867789</v>
      </c>
      <c r="P55" s="691">
        <f t="shared" si="13"/>
        <v>2.7812906635554503E-4</v>
      </c>
      <c r="Q55" s="336">
        <f t="shared" si="29"/>
        <v>4.1565661052350276</v>
      </c>
      <c r="R55" s="692">
        <f t="shared" si="14"/>
        <v>4.6652052524689654E-4</v>
      </c>
      <c r="S55" s="329">
        <f t="shared" si="15"/>
        <v>0.99999998240133703</v>
      </c>
      <c r="T55" s="330">
        <f t="shared" si="16"/>
        <v>2.759727958030377E-4</v>
      </c>
      <c r="U55" s="331">
        <f t="shared" si="17"/>
        <v>63.400314725604268</v>
      </c>
      <c r="V55" s="332">
        <f t="shared" si="18"/>
        <v>-90.643845134930388</v>
      </c>
      <c r="W55" s="334">
        <f t="shared" si="19"/>
        <v>89.356154865069612</v>
      </c>
      <c r="Y55" s="307">
        <f t="shared" si="20"/>
        <v>1000000000</v>
      </c>
      <c r="Z55" s="307">
        <f t="shared" si="21"/>
        <v>2290.8667689999997</v>
      </c>
      <c r="AB55" s="333">
        <f t="shared" si="22"/>
        <v>60.197428669213899</v>
      </c>
      <c r="AC55" s="334">
        <f t="shared" si="23"/>
        <v>-88.909424787621774</v>
      </c>
      <c r="AE55" s="333">
        <f t="shared" si="24"/>
        <v>27.618779383587615</v>
      </c>
      <c r="AF55" s="334">
        <f t="shared" si="25"/>
        <v>-1.723626311805482</v>
      </c>
      <c r="AH55">
        <f t="shared" si="26"/>
        <v>0</v>
      </c>
      <c r="AI55">
        <f t="shared" si="30"/>
        <v>0</v>
      </c>
    </row>
    <row r="56" spans="1:35" x14ac:dyDescent="0.25">
      <c r="A56" s="335">
        <v>52.481000000000002</v>
      </c>
      <c r="B56" s="352">
        <f t="shared" si="28"/>
        <v>5.2481E-2</v>
      </c>
      <c r="C56" s="325">
        <f t="shared" si="0"/>
        <v>1.0005349707573752</v>
      </c>
      <c r="D56" s="326">
        <f t="shared" si="1"/>
        <v>3.2702671800326828E-2</v>
      </c>
      <c r="E56" s="326">
        <f t="shared" si="2"/>
        <v>1.0000000002368219</v>
      </c>
      <c r="F56" s="327">
        <f t="shared" si="3"/>
        <v>2.1763357946697776E-5</v>
      </c>
      <c r="G56" s="326">
        <f t="shared" si="4"/>
        <v>1</v>
      </c>
      <c r="H56" s="327">
        <f t="shared" si="5"/>
        <v>0</v>
      </c>
      <c r="I56" s="325">
        <f t="shared" si="6"/>
        <v>82.317708589388886</v>
      </c>
      <c r="J56" s="328">
        <f t="shared" si="7"/>
        <v>1.558647973607703</v>
      </c>
      <c r="K56" s="336">
        <f t="shared" si="8"/>
        <v>1.0000215923677913</v>
      </c>
      <c r="L56" s="337">
        <f t="shared" si="9"/>
        <v>6.5714502620179849E-3</v>
      </c>
      <c r="M56" s="325">
        <f t="shared" si="10"/>
        <v>1.0000000469365899</v>
      </c>
      <c r="N56" s="337">
        <f t="shared" si="11"/>
        <v>3.0638729769732521E-4</v>
      </c>
      <c r="O56" s="343">
        <f t="shared" si="12"/>
        <v>1.0000000465015195</v>
      </c>
      <c r="P56" s="691">
        <f t="shared" si="13"/>
        <v>3.0496399003977325E-4</v>
      </c>
      <c r="Q56" s="336">
        <f t="shared" si="29"/>
        <v>4.1565661959903073</v>
      </c>
      <c r="R56" s="692">
        <f t="shared" si="14"/>
        <v>5.1153215073329963E-4</v>
      </c>
      <c r="S56" s="329">
        <f t="shared" si="15"/>
        <v>0.99999997884154068</v>
      </c>
      <c r="T56" s="330">
        <f t="shared" si="16"/>
        <v>3.0259967794087859E-4</v>
      </c>
      <c r="U56" s="331">
        <f t="shared" si="17"/>
        <v>62.599650824312022</v>
      </c>
      <c r="V56" s="332">
        <f t="shared" si="18"/>
        <v>-90.846640364527033</v>
      </c>
      <c r="W56" s="334">
        <f t="shared" si="19"/>
        <v>89.153359635472967</v>
      </c>
      <c r="Y56" s="307">
        <f t="shared" si="20"/>
        <v>1000000000</v>
      </c>
      <c r="Z56" s="307">
        <f t="shared" si="21"/>
        <v>2754.255361</v>
      </c>
      <c r="AB56" s="333">
        <f t="shared" si="22"/>
        <v>59.397546083383979</v>
      </c>
      <c r="AC56" s="334">
        <f t="shared" si="23"/>
        <v>-88.944989069734675</v>
      </c>
      <c r="AE56" s="333">
        <f t="shared" si="24"/>
        <v>27.61799818981952</v>
      </c>
      <c r="AF56" s="334">
        <f t="shared" si="25"/>
        <v>-1.889815810989302</v>
      </c>
      <c r="AH56">
        <f t="shared" si="26"/>
        <v>0</v>
      </c>
      <c r="AI56">
        <f t="shared" si="30"/>
        <v>0</v>
      </c>
    </row>
    <row r="57" spans="1:35" x14ac:dyDescent="0.25">
      <c r="A57" s="335">
        <v>57.544000000000004</v>
      </c>
      <c r="B57" s="352">
        <f t="shared" si="28"/>
        <v>5.7544000000000005E-2</v>
      </c>
      <c r="C57" s="325">
        <f t="shared" si="0"/>
        <v>1.0006431354571312</v>
      </c>
      <c r="D57" s="326">
        <f t="shared" si="1"/>
        <v>3.5855012485805929E-2</v>
      </c>
      <c r="E57" s="326">
        <f t="shared" si="2"/>
        <v>1.0000000002847198</v>
      </c>
      <c r="F57" s="327">
        <f t="shared" si="3"/>
        <v>2.3862934579081702E-5</v>
      </c>
      <c r="G57" s="326">
        <f t="shared" si="4"/>
        <v>1</v>
      </c>
      <c r="H57" s="327">
        <f t="shared" si="5"/>
        <v>0</v>
      </c>
      <c r="I57" s="325">
        <f t="shared" si="6"/>
        <v>90.258025245020008</v>
      </c>
      <c r="J57" s="328">
        <f t="shared" si="7"/>
        <v>1.5597167529058023</v>
      </c>
      <c r="K57" s="336">
        <f t="shared" si="8"/>
        <v>1.0000259594335688</v>
      </c>
      <c r="L57" s="337">
        <f t="shared" si="9"/>
        <v>7.2053968668329086E-3</v>
      </c>
      <c r="M57" s="325">
        <f t="shared" si="10"/>
        <v>1.0000000564296585</v>
      </c>
      <c r="N57" s="337">
        <f t="shared" si="11"/>
        <v>3.3594540018511333E-4</v>
      </c>
      <c r="O57" s="343">
        <f t="shared" si="12"/>
        <v>1.0000000559065938</v>
      </c>
      <c r="P57" s="691">
        <f t="shared" si="13"/>
        <v>3.3438478178419946E-4</v>
      </c>
      <c r="Q57" s="336">
        <f t="shared" si="29"/>
        <v>4.1565663050905854</v>
      </c>
      <c r="R57" s="692">
        <f t="shared" si="14"/>
        <v>5.6088118688315484E-4</v>
      </c>
      <c r="S57" s="329">
        <f t="shared" si="15"/>
        <v>0.99999997456217815</v>
      </c>
      <c r="T57" s="330">
        <f t="shared" si="16"/>
        <v>3.3179238192282889E-4</v>
      </c>
      <c r="U57" s="331">
        <f t="shared" si="17"/>
        <v>61.798898519789532</v>
      </c>
      <c r="V57" s="332">
        <f t="shared" si="18"/>
        <v>-91.056557940423161</v>
      </c>
      <c r="W57" s="334">
        <f t="shared" si="19"/>
        <v>88.943442059576839</v>
      </c>
      <c r="Y57" s="307">
        <f t="shared" si="20"/>
        <v>1000000000</v>
      </c>
      <c r="Z57" s="307">
        <f t="shared" si="21"/>
        <v>3311.3119360000005</v>
      </c>
      <c r="AB57" s="333">
        <f t="shared" si="22"/>
        <v>58.597732841120738</v>
      </c>
      <c r="AC57" s="334">
        <f t="shared" si="23"/>
        <v>-88.971596702407552</v>
      </c>
      <c r="AE57" s="333">
        <f t="shared" si="24"/>
        <v>27.617059273853407</v>
      </c>
      <c r="AF57" s="334">
        <f t="shared" si="25"/>
        <v>-2.0719839499137298</v>
      </c>
      <c r="AH57">
        <f t="shared" si="26"/>
        <v>0</v>
      </c>
      <c r="AI57">
        <f t="shared" si="30"/>
        <v>0</v>
      </c>
    </row>
    <row r="58" spans="1:35" x14ac:dyDescent="0.25">
      <c r="A58" s="335">
        <v>63.095999999999997</v>
      </c>
      <c r="B58" s="352">
        <f t="shared" si="28"/>
        <v>6.3095999999999999E-2</v>
      </c>
      <c r="C58" s="325">
        <f t="shared" si="0"/>
        <v>1.0007731749713904</v>
      </c>
      <c r="D58" s="326">
        <f t="shared" si="1"/>
        <v>3.9310994227242435E-2</v>
      </c>
      <c r="E58" s="326">
        <f t="shared" si="2"/>
        <v>1.0000000003423113</v>
      </c>
      <c r="F58" s="327">
        <f t="shared" si="3"/>
        <v>2.6165294733489684E-5</v>
      </c>
      <c r="G58" s="326">
        <f t="shared" si="4"/>
        <v>1</v>
      </c>
      <c r="H58" s="327">
        <f t="shared" si="5"/>
        <v>0</v>
      </c>
      <c r="I58" s="325">
        <f t="shared" si="6"/>
        <v>98.965340510803074</v>
      </c>
      <c r="J58" s="328">
        <f t="shared" si="7"/>
        <v>1.5606916071768873</v>
      </c>
      <c r="K58" s="336">
        <f t="shared" si="8"/>
        <v>1.0000312102776954</v>
      </c>
      <c r="L58" s="337">
        <f t="shared" si="9"/>
        <v>7.9005652940179246E-3</v>
      </c>
      <c r="M58" s="325">
        <f t="shared" si="10"/>
        <v>1.0000000678439276</v>
      </c>
      <c r="N58" s="337">
        <f t="shared" si="11"/>
        <v>3.6835831379088206E-4</v>
      </c>
      <c r="O58" s="343">
        <f t="shared" si="12"/>
        <v>1.00000006721506</v>
      </c>
      <c r="P58" s="691">
        <f t="shared" si="13"/>
        <v>3.6664712276511757E-4</v>
      </c>
      <c r="Q58" s="336">
        <f t="shared" si="29"/>
        <v>4.156566436270495</v>
      </c>
      <c r="R58" s="692">
        <f t="shared" si="14"/>
        <v>6.1499650052176513E-4</v>
      </c>
      <c r="S58" s="329">
        <f t="shared" si="15"/>
        <v>0.99999996941676139</v>
      </c>
      <c r="T58" s="330">
        <f t="shared" si="16"/>
        <v>3.6380460717391012E-4</v>
      </c>
      <c r="U58" s="331">
        <f t="shared" si="17"/>
        <v>60.997869268930394</v>
      </c>
      <c r="V58" s="332">
        <f t="shared" si="18"/>
        <v>-91.275407383111201</v>
      </c>
      <c r="W58" s="334">
        <f t="shared" si="19"/>
        <v>88.724592616888799</v>
      </c>
      <c r="Y58" s="307">
        <f t="shared" si="20"/>
        <v>1000000000</v>
      </c>
      <c r="Z58" s="307">
        <f t="shared" si="21"/>
        <v>3981.1052159999995</v>
      </c>
      <c r="AB58" s="333">
        <f t="shared" si="22"/>
        <v>57.797832430538136</v>
      </c>
      <c r="AC58" s="334">
        <f t="shared" si="23"/>
        <v>-88.989478644024331</v>
      </c>
      <c r="AE58" s="333">
        <f t="shared" si="24"/>
        <v>27.615930609476695</v>
      </c>
      <c r="AF58" s="334">
        <f t="shared" si="25"/>
        <v>-2.2716993678804647</v>
      </c>
      <c r="AH58">
        <f t="shared" si="26"/>
        <v>0</v>
      </c>
      <c r="AI58">
        <f t="shared" si="30"/>
        <v>0</v>
      </c>
    </row>
    <row r="59" spans="1:35" x14ac:dyDescent="0.25">
      <c r="A59" s="335">
        <v>69.183000000000007</v>
      </c>
      <c r="B59" s="352">
        <f t="shared" si="28"/>
        <v>6.9183000000000008E-2</v>
      </c>
      <c r="C59" s="325">
        <f t="shared" si="0"/>
        <v>1.000929477724406</v>
      </c>
      <c r="D59" s="326">
        <f t="shared" si="1"/>
        <v>4.3098917718855816E-2</v>
      </c>
      <c r="E59" s="326">
        <f t="shared" si="2"/>
        <v>1.0000000004115441</v>
      </c>
      <c r="F59" s="327">
        <f t="shared" si="3"/>
        <v>2.8689514160382069E-5</v>
      </c>
      <c r="G59" s="326">
        <f t="shared" si="4"/>
        <v>1</v>
      </c>
      <c r="H59" s="327">
        <f t="shared" si="5"/>
        <v>0</v>
      </c>
      <c r="I59" s="325">
        <f t="shared" si="6"/>
        <v>108.51179713000543</v>
      </c>
      <c r="J59" s="328">
        <f t="shared" si="7"/>
        <v>1.5615806084905282</v>
      </c>
      <c r="K59" s="336">
        <f t="shared" si="8"/>
        <v>1.0000375224672808</v>
      </c>
      <c r="L59" s="337">
        <f t="shared" si="9"/>
        <v>8.6627125126931791E-3</v>
      </c>
      <c r="M59" s="325">
        <f t="shared" si="10"/>
        <v>1.0000000815654251</v>
      </c>
      <c r="N59" s="337">
        <f t="shared" si="11"/>
        <v>4.0389458903693253E-4</v>
      </c>
      <c r="O59" s="343">
        <f t="shared" si="12"/>
        <v>1.0000000808093685</v>
      </c>
      <c r="P59" s="691">
        <f t="shared" si="13"/>
        <v>4.0201831596888249E-4</v>
      </c>
      <c r="Q59" s="336">
        <f t="shared" si="29"/>
        <v>4.1565665939665131</v>
      </c>
      <c r="R59" s="692">
        <f t="shared" si="14"/>
        <v>6.7432645213390285E-4</v>
      </c>
      <c r="S59" s="329">
        <f t="shared" si="15"/>
        <v>0.99999996323127371</v>
      </c>
      <c r="T59" s="330">
        <f t="shared" si="16"/>
        <v>3.9890158498298372E-4</v>
      </c>
      <c r="U59" s="331">
        <f t="shared" si="17"/>
        <v>60.196690686529337</v>
      </c>
      <c r="V59" s="332">
        <f t="shared" si="18"/>
        <v>-91.504982712729728</v>
      </c>
      <c r="W59" s="334">
        <f t="shared" si="19"/>
        <v>88.495017287270272</v>
      </c>
      <c r="Y59" s="307">
        <f t="shared" si="20"/>
        <v>1000000000</v>
      </c>
      <c r="Z59" s="307">
        <f t="shared" si="21"/>
        <v>4786.2874890000012</v>
      </c>
      <c r="AB59" s="333">
        <f t="shared" si="22"/>
        <v>56.998010478928471</v>
      </c>
      <c r="AC59" s="334">
        <f t="shared" si="23"/>
        <v>-88.99878292688166</v>
      </c>
      <c r="AE59" s="333">
        <f t="shared" si="24"/>
        <v>27.614574190140701</v>
      </c>
      <c r="AF59" s="334">
        <f t="shared" si="25"/>
        <v>-2.4905976789008961</v>
      </c>
      <c r="AH59">
        <f t="shared" si="26"/>
        <v>0</v>
      </c>
      <c r="AI59">
        <f t="shared" si="30"/>
        <v>0</v>
      </c>
    </row>
    <row r="60" spans="1:35" x14ac:dyDescent="0.25">
      <c r="A60" s="335">
        <v>75.858000000000004</v>
      </c>
      <c r="B60" s="352">
        <f t="shared" si="28"/>
        <v>7.5858000000000009E-2</v>
      </c>
      <c r="C60" s="325">
        <f t="shared" si="0"/>
        <v>1.0011173833594202</v>
      </c>
      <c r="D60" s="326">
        <f t="shared" si="1"/>
        <v>4.7251325820276233E-2</v>
      </c>
      <c r="E60" s="326">
        <f t="shared" si="2"/>
        <v>1.0000000004947893</v>
      </c>
      <c r="F60" s="327">
        <f t="shared" si="3"/>
        <v>3.1457571441791822E-5</v>
      </c>
      <c r="G60" s="326">
        <f t="shared" si="4"/>
        <v>1</v>
      </c>
      <c r="H60" s="327">
        <f t="shared" si="5"/>
        <v>0</v>
      </c>
      <c r="I60" s="325">
        <f t="shared" si="6"/>
        <v>118.9805168732599</v>
      </c>
      <c r="J60" s="328">
        <f t="shared" si="7"/>
        <v>1.562391490440824</v>
      </c>
      <c r="K60" s="336">
        <f t="shared" si="8"/>
        <v>1.000045112171764</v>
      </c>
      <c r="L60" s="337">
        <f t="shared" si="9"/>
        <v>9.4984710249353677E-3</v>
      </c>
      <c r="M60" s="325">
        <f t="shared" si="10"/>
        <v>1.0000000980641111</v>
      </c>
      <c r="N60" s="337">
        <f t="shared" si="11"/>
        <v>4.428636427759059E-4</v>
      </c>
      <c r="O60" s="343">
        <f t="shared" si="12"/>
        <v>1.0000000971551228</v>
      </c>
      <c r="P60" s="691">
        <f t="shared" si="13"/>
        <v>4.4080634087050432E-4</v>
      </c>
      <c r="Q60" s="336">
        <f t="shared" si="29"/>
        <v>4.1565667835797111</v>
      </c>
      <c r="R60" s="692">
        <f t="shared" si="14"/>
        <v>7.393876307278535E-4</v>
      </c>
      <c r="S60" s="329">
        <f t="shared" si="15"/>
        <v>0.9999999557938628</v>
      </c>
      <c r="T60" s="330">
        <f t="shared" si="16"/>
        <v>4.373889079834833E-4</v>
      </c>
      <c r="U60" s="331">
        <f t="shared" si="17"/>
        <v>59.395147914119342</v>
      </c>
      <c r="V60" s="332">
        <f t="shared" si="18"/>
        <v>-91.747257516330492</v>
      </c>
      <c r="W60" s="334">
        <f t="shared" si="19"/>
        <v>88.252742483669508</v>
      </c>
      <c r="Y60" s="307">
        <f t="shared" si="20"/>
        <v>1000000000</v>
      </c>
      <c r="Z60" s="307">
        <f t="shared" si="21"/>
        <v>5754.4361640000006</v>
      </c>
      <c r="AB60" s="333">
        <f t="shared" si="22"/>
        <v>56.198098354399583</v>
      </c>
      <c r="AC60" s="334">
        <f t="shared" si="23"/>
        <v>-88.999590367185135</v>
      </c>
      <c r="AE60" s="333">
        <f t="shared" si="24"/>
        <v>27.612943796512887</v>
      </c>
      <c r="AF60" s="334">
        <f t="shared" si="25"/>
        <v>-2.7305597013754235</v>
      </c>
      <c r="AH60">
        <f t="shared" si="26"/>
        <v>0</v>
      </c>
      <c r="AI60">
        <f t="shared" si="30"/>
        <v>0</v>
      </c>
    </row>
    <row r="61" spans="1:35" x14ac:dyDescent="0.25">
      <c r="A61" s="335">
        <v>83.176000000000002</v>
      </c>
      <c r="B61" s="352">
        <f t="shared" si="28"/>
        <v>8.3176E-2</v>
      </c>
      <c r="C61" s="325">
        <f t="shared" si="0"/>
        <v>1.0013432179147748</v>
      </c>
      <c r="D61" s="326">
        <f t="shared" si="1"/>
        <v>5.1801855323657942E-2</v>
      </c>
      <c r="E61" s="326">
        <f t="shared" si="2"/>
        <v>1.0000000005948584</v>
      </c>
      <c r="F61" s="327">
        <f t="shared" si="3"/>
        <v>3.4492274540166121E-5</v>
      </c>
      <c r="G61" s="326">
        <f t="shared" si="4"/>
        <v>1</v>
      </c>
      <c r="H61" s="327">
        <f t="shared" si="5"/>
        <v>0</v>
      </c>
      <c r="I61" s="325">
        <f t="shared" si="6"/>
        <v>130.45775885358606</v>
      </c>
      <c r="J61" s="328">
        <f t="shared" si="7"/>
        <v>1.5631309353157496</v>
      </c>
      <c r="K61" s="336">
        <f t="shared" si="8"/>
        <v>1.000054235673717</v>
      </c>
      <c r="L61" s="337">
        <f t="shared" si="9"/>
        <v>1.0414722518952084E-2</v>
      </c>
      <c r="M61" s="325">
        <f t="shared" si="10"/>
        <v>1.0000001178971691</v>
      </c>
      <c r="N61" s="337">
        <f t="shared" si="11"/>
        <v>4.8558656785687359E-4</v>
      </c>
      <c r="O61" s="343">
        <f t="shared" si="12"/>
        <v>1.0000001168043418</v>
      </c>
      <c r="P61" s="691">
        <f t="shared" si="13"/>
        <v>4.8333079870230088E-4</v>
      </c>
      <c r="Q61" s="336">
        <f t="shared" si="29"/>
        <v>4.1565670115135855</v>
      </c>
      <c r="R61" s="692">
        <f t="shared" si="14"/>
        <v>8.1071611872543222E-4</v>
      </c>
      <c r="S61" s="329">
        <f t="shared" si="15"/>
        <v>0.99999994685335725</v>
      </c>
      <c r="T61" s="330">
        <f t="shared" si="16"/>
        <v>4.7958370073417561E-4</v>
      </c>
      <c r="U61" s="331">
        <f t="shared" si="17"/>
        <v>58.593386348550027</v>
      </c>
      <c r="V61" s="332">
        <f t="shared" si="18"/>
        <v>-92.004195279173203</v>
      </c>
      <c r="W61" s="334">
        <f t="shared" si="19"/>
        <v>87.995804720826797</v>
      </c>
      <c r="Y61" s="307">
        <f t="shared" si="20"/>
        <v>1000000000</v>
      </c>
      <c r="Z61" s="307">
        <f t="shared" si="21"/>
        <v>6918.2469760000004</v>
      </c>
      <c r="AB61" s="333">
        <f t="shared" si="22"/>
        <v>55.398296179614761</v>
      </c>
      <c r="AC61" s="334">
        <f t="shared" si="23"/>
        <v>-88.99190793740803</v>
      </c>
      <c r="AE61" s="333">
        <f t="shared" si="24"/>
        <v>27.610984711366051</v>
      </c>
      <c r="AF61" s="334">
        <f t="shared" si="25"/>
        <v>-2.9935295446318766</v>
      </c>
      <c r="AH61">
        <f t="shared" si="26"/>
        <v>0</v>
      </c>
      <c r="AI61">
        <f t="shared" si="30"/>
        <v>0</v>
      </c>
    </row>
    <row r="62" spans="1:35" x14ac:dyDescent="0.25">
      <c r="A62" s="335">
        <v>91.201000000000008</v>
      </c>
      <c r="B62" s="352">
        <f t="shared" si="28"/>
        <v>9.1201000000000004E-2</v>
      </c>
      <c r="C62" s="325">
        <f t="shared" si="0"/>
        <v>1.0016146957679732</v>
      </c>
      <c r="D62" s="326">
        <f t="shared" si="1"/>
        <v>5.6789542267234552E-2</v>
      </c>
      <c r="E62" s="326">
        <f t="shared" si="2"/>
        <v>1.0000000007151824</v>
      </c>
      <c r="F62" s="327">
        <f t="shared" si="3"/>
        <v>3.7820163629957593E-5</v>
      </c>
      <c r="G62" s="326">
        <f t="shared" si="4"/>
        <v>1</v>
      </c>
      <c r="H62" s="327">
        <f t="shared" si="5"/>
        <v>0</v>
      </c>
      <c r="I62" s="325">
        <f t="shared" si="6"/>
        <v>143.04389796681207</v>
      </c>
      <c r="J62" s="328">
        <f t="shared" si="7"/>
        <v>1.563805408903612</v>
      </c>
      <c r="K62" s="336">
        <f t="shared" si="8"/>
        <v>1.0000652057351991</v>
      </c>
      <c r="L62" s="337">
        <f t="shared" si="9"/>
        <v>1.1419473914296079E-2</v>
      </c>
      <c r="M62" s="325">
        <f t="shared" si="10"/>
        <v>1.0000001417445961</v>
      </c>
      <c r="N62" s="337">
        <f t="shared" si="11"/>
        <v>5.3243699950759448E-4</v>
      </c>
      <c r="O62" s="343">
        <f t="shared" si="12"/>
        <v>1.0000001404307193</v>
      </c>
      <c r="P62" s="691">
        <f t="shared" si="13"/>
        <v>5.299635889937502E-4</v>
      </c>
      <c r="Q62" s="336">
        <f t="shared" si="29"/>
        <v>4.1565672855830806</v>
      </c>
      <c r="R62" s="692">
        <f t="shared" si="14"/>
        <v>8.889357207241829E-4</v>
      </c>
      <c r="S62" s="329">
        <f t="shared" si="15"/>
        <v>0.99999993610322302</v>
      </c>
      <c r="T62" s="330">
        <f t="shared" si="16"/>
        <v>5.2585498100405346E-4</v>
      </c>
      <c r="U62" s="331">
        <f t="shared" si="17"/>
        <v>57.791138148239597</v>
      </c>
      <c r="V62" s="332">
        <f t="shared" si="18"/>
        <v>-92.27799976452367</v>
      </c>
      <c r="W62" s="334">
        <f t="shared" si="19"/>
        <v>87.72200023547633</v>
      </c>
      <c r="Y62" s="307">
        <f t="shared" si="20"/>
        <v>1000000000</v>
      </c>
      <c r="Z62" s="307">
        <f t="shared" si="21"/>
        <v>8317.6224010000005</v>
      </c>
      <c r="AB62" s="333">
        <f t="shared" si="22"/>
        <v>54.598402796802745</v>
      </c>
      <c r="AC62" s="334">
        <f t="shared" si="23"/>
        <v>-88.975668744955911</v>
      </c>
      <c r="AE62" s="333">
        <f t="shared" si="24"/>
        <v>27.608630261368731</v>
      </c>
      <c r="AF62" s="334">
        <f t="shared" si="25"/>
        <v>-3.2817634314332751</v>
      </c>
      <c r="AH62">
        <f t="shared" si="26"/>
        <v>0</v>
      </c>
      <c r="AI62">
        <f t="shared" si="30"/>
        <v>0</v>
      </c>
    </row>
    <row r="63" spans="1:35" x14ac:dyDescent="0.25">
      <c r="A63" s="335">
        <v>100</v>
      </c>
      <c r="B63" s="352">
        <f t="shared" si="28"/>
        <v>0.1</v>
      </c>
      <c r="C63" s="325">
        <f t="shared" si="0"/>
        <v>1.0019409784694393</v>
      </c>
      <c r="D63" s="326">
        <f t="shared" si="1"/>
        <v>6.2255026508297534E-2</v>
      </c>
      <c r="E63" s="326">
        <f t="shared" si="2"/>
        <v>1.00000000085984</v>
      </c>
      <c r="F63" s="327">
        <f t="shared" si="3"/>
        <v>4.1469022956228856E-5</v>
      </c>
      <c r="G63" s="326">
        <f t="shared" si="4"/>
        <v>1</v>
      </c>
      <c r="H63" s="327">
        <f t="shared" si="5"/>
        <v>0</v>
      </c>
      <c r="I63" s="325">
        <f t="shared" si="6"/>
        <v>156.84401476103389</v>
      </c>
      <c r="J63" s="328">
        <f t="shared" si="7"/>
        <v>1.564420522294464</v>
      </c>
      <c r="K63" s="336">
        <f t="shared" si="8"/>
        <v>1.0000783941637306</v>
      </c>
      <c r="L63" s="337">
        <f t="shared" si="9"/>
        <v>1.2521105598344996E-2</v>
      </c>
      <c r="M63" s="325">
        <f t="shared" si="10"/>
        <v>1.0000001704147978</v>
      </c>
      <c r="N63" s="337">
        <f t="shared" si="11"/>
        <v>5.8380608691886954E-4</v>
      </c>
      <c r="O63" s="343">
        <f t="shared" si="12"/>
        <v>1.0000001688351676</v>
      </c>
      <c r="P63" s="691">
        <f t="shared" si="13"/>
        <v>5.8109404387912688E-4</v>
      </c>
      <c r="Q63" s="336">
        <f t="shared" si="29"/>
        <v>4.156567615078897</v>
      </c>
      <c r="R63" s="692">
        <f t="shared" si="14"/>
        <v>9.7469948129665107E-4</v>
      </c>
      <c r="S63" s="329">
        <f t="shared" si="15"/>
        <v>0.99999992317904052</v>
      </c>
      <c r="T63" s="330">
        <f t="shared" si="16"/>
        <v>5.7658906448643666E-4</v>
      </c>
      <c r="U63" s="331">
        <f t="shared" si="17"/>
        <v>56.988450804408643</v>
      </c>
      <c r="V63" s="332">
        <f t="shared" si="18"/>
        <v>-92.57089885878456</v>
      </c>
      <c r="W63" s="334">
        <f t="shared" si="19"/>
        <v>87.42910114121544</v>
      </c>
      <c r="Y63" s="307">
        <f t="shared" si="20"/>
        <v>1000000000</v>
      </c>
      <c r="Z63" s="307">
        <f t="shared" si="21"/>
        <v>10000</v>
      </c>
      <c r="AB63" s="333">
        <f t="shared" si="22"/>
        <v>53.798544807293069</v>
      </c>
      <c r="AC63" s="334">
        <f t="shared" si="23"/>
        <v>-88.950736531977427</v>
      </c>
      <c r="AE63" s="333">
        <f t="shared" si="24"/>
        <v>27.605801348869896</v>
      </c>
      <c r="AF63" s="334">
        <f t="shared" si="25"/>
        <v>-3.5976103964239261</v>
      </c>
      <c r="AH63">
        <f t="shared" si="26"/>
        <v>0</v>
      </c>
      <c r="AI63">
        <f t="shared" si="30"/>
        <v>0</v>
      </c>
    </row>
    <row r="64" spans="1:35" x14ac:dyDescent="0.25">
      <c r="A64" s="335">
        <v>109.65</v>
      </c>
      <c r="B64" s="352">
        <f t="shared" si="28"/>
        <v>0.10965000000000001</v>
      </c>
      <c r="C64" s="325">
        <f t="shared" si="0"/>
        <v>1.0023332050618963</v>
      </c>
      <c r="D64" s="326">
        <f t="shared" si="1"/>
        <v>6.8244817204328012E-2</v>
      </c>
      <c r="E64" s="326">
        <f t="shared" si="2"/>
        <v>1.0000000010337959</v>
      </c>
      <c r="F64" s="327">
        <f t="shared" si="3"/>
        <v>4.5470783666231663E-5</v>
      </c>
      <c r="G64" s="326">
        <f t="shared" si="4"/>
        <v>1</v>
      </c>
      <c r="H64" s="327">
        <f t="shared" si="5"/>
        <v>0</v>
      </c>
      <c r="I64" s="325">
        <f t="shared" si="6"/>
        <v>171.97887399722902</v>
      </c>
      <c r="J64" s="328">
        <f t="shared" si="7"/>
        <v>1.5649816263499927</v>
      </c>
      <c r="K64" s="336">
        <f t="shared" si="8"/>
        <v>1.0000942535160113</v>
      </c>
      <c r="L64" s="337">
        <f t="shared" si="9"/>
        <v>1.3729247139028528E-2</v>
      </c>
      <c r="M64" s="325">
        <f t="shared" si="10"/>
        <v>1.0000002048917953</v>
      </c>
      <c r="N64" s="337">
        <f t="shared" si="11"/>
        <v>6.4014335959306163E-4</v>
      </c>
      <c r="O64" s="343">
        <f t="shared" si="12"/>
        <v>1.000000202992587</v>
      </c>
      <c r="P64" s="691">
        <f t="shared" si="13"/>
        <v>6.3716960460408483E-4</v>
      </c>
      <c r="Q64" s="336">
        <f t="shared" si="29"/>
        <v>4.1565680113100045</v>
      </c>
      <c r="R64" s="692">
        <f t="shared" si="14"/>
        <v>1.0687579135974772E-3</v>
      </c>
      <c r="S64" s="329">
        <f t="shared" si="15"/>
        <v>0.9999999076372259</v>
      </c>
      <c r="T64" s="330">
        <f t="shared" si="16"/>
        <v>6.3222992612264797E-4</v>
      </c>
      <c r="U64" s="331">
        <f t="shared" si="17"/>
        <v>56.185045265550222</v>
      </c>
      <c r="V64" s="332">
        <f t="shared" si="18"/>
        <v>-92.885378917836547</v>
      </c>
      <c r="W64" s="334">
        <f t="shared" si="19"/>
        <v>87.114621082163453</v>
      </c>
      <c r="Y64" s="307">
        <f t="shared" si="20"/>
        <v>1000000000</v>
      </c>
      <c r="Z64" s="307">
        <f t="shared" si="21"/>
        <v>12023.122500000001</v>
      </c>
      <c r="AB64" s="333">
        <f t="shared" si="22"/>
        <v>52.998539234979141</v>
      </c>
      <c r="AC64" s="334">
        <f t="shared" si="23"/>
        <v>-88.916891902806142</v>
      </c>
      <c r="AE64" s="333">
        <f t="shared" si="24"/>
        <v>27.60240191363345</v>
      </c>
      <c r="AF64" s="334">
        <f t="shared" si="25"/>
        <v>-3.9437588264096539</v>
      </c>
      <c r="AH64">
        <f t="shared" si="26"/>
        <v>0</v>
      </c>
      <c r="AI64">
        <f t="shared" si="30"/>
        <v>0</v>
      </c>
    </row>
    <row r="65" spans="1:35" x14ac:dyDescent="0.25">
      <c r="A65" s="335">
        <v>120.23</v>
      </c>
      <c r="B65" s="352">
        <f t="shared" si="28"/>
        <v>0.12023</v>
      </c>
      <c r="C65" s="325">
        <f t="shared" si="0"/>
        <v>1.0028045237223884</v>
      </c>
      <c r="D65" s="326">
        <f t="shared" si="1"/>
        <v>7.4806215105292478E-2</v>
      </c>
      <c r="E65" s="326">
        <f t="shared" si="2"/>
        <v>1.0000000012429202</v>
      </c>
      <c r="F65" s="327">
        <f t="shared" si="3"/>
        <v>4.9858206287540817E-5</v>
      </c>
      <c r="G65" s="326">
        <f t="shared" si="4"/>
        <v>1</v>
      </c>
      <c r="H65" s="327">
        <f t="shared" si="5"/>
        <v>0</v>
      </c>
      <c r="I65" s="325">
        <f t="shared" si="6"/>
        <v>188.57237763977983</v>
      </c>
      <c r="J65" s="328">
        <f t="shared" si="7"/>
        <v>1.5654932983261984</v>
      </c>
      <c r="K65" s="336">
        <f t="shared" si="8"/>
        <v>1.000113318767532</v>
      </c>
      <c r="L65" s="337">
        <f t="shared" si="9"/>
        <v>1.505377478336664E-2</v>
      </c>
      <c r="M65" s="325">
        <f t="shared" si="10"/>
        <v>1.0000002463388906</v>
      </c>
      <c r="N65" s="337">
        <f t="shared" si="11"/>
        <v>7.0191002277464028E-4</v>
      </c>
      <c r="O65" s="343">
        <f t="shared" si="12"/>
        <v>1.0000002440554956</v>
      </c>
      <c r="P65" s="691">
        <f t="shared" si="13"/>
        <v>6.9864933392079062E-4</v>
      </c>
      <c r="Q65" s="336">
        <f t="shared" si="29"/>
        <v>4.1565684876457789</v>
      </c>
      <c r="R65" s="692">
        <f t="shared" si="14"/>
        <v>1.1718810230255984E-3</v>
      </c>
      <c r="S65" s="329">
        <f t="shared" si="15"/>
        <v>0.99999988895337755</v>
      </c>
      <c r="T65" s="330">
        <f t="shared" si="16"/>
        <v>6.9323307307168978E-4</v>
      </c>
      <c r="U65" s="331">
        <f t="shared" si="17"/>
        <v>55.381067163770005</v>
      </c>
      <c r="V65" s="332">
        <f t="shared" si="18"/>
        <v>-93.223914927615382</v>
      </c>
      <c r="W65" s="334">
        <f t="shared" si="19"/>
        <v>86.776085072384618</v>
      </c>
      <c r="Y65" s="307">
        <f t="shared" si="20"/>
        <v>1000000000</v>
      </c>
      <c r="Z65" s="307">
        <f t="shared" si="21"/>
        <v>14455.252900000001</v>
      </c>
      <c r="AB65" s="333">
        <f t="shared" si="22"/>
        <v>52.198644940234786</v>
      </c>
      <c r="AC65" s="334">
        <f t="shared" si="23"/>
        <v>-88.873857672734601</v>
      </c>
      <c r="AE65" s="333">
        <f t="shared" si="24"/>
        <v>27.598318745318199</v>
      </c>
      <c r="AF65" s="334">
        <f t="shared" si="25"/>
        <v>-4.3229430763322521</v>
      </c>
      <c r="AH65">
        <f t="shared" si="26"/>
        <v>0</v>
      </c>
      <c r="AI65">
        <f t="shared" si="30"/>
        <v>0</v>
      </c>
    </row>
    <row r="66" spans="1:35" x14ac:dyDescent="0.25">
      <c r="A66" s="335">
        <v>131.83000000000001</v>
      </c>
      <c r="B66" s="352">
        <f t="shared" si="28"/>
        <v>0.13183</v>
      </c>
      <c r="C66" s="325">
        <f t="shared" si="0"/>
        <v>1.0033708477838523</v>
      </c>
      <c r="D66" s="326">
        <f t="shared" si="1"/>
        <v>8.1992756939123945E-2</v>
      </c>
      <c r="E66" s="326">
        <f t="shared" si="2"/>
        <v>1.0000000014943287</v>
      </c>
      <c r="F66" s="327">
        <f t="shared" si="3"/>
        <v>5.4668612940072096E-5</v>
      </c>
      <c r="G66" s="326">
        <f t="shared" si="4"/>
        <v>1</v>
      </c>
      <c r="H66" s="327">
        <f t="shared" si="5"/>
        <v>0</v>
      </c>
      <c r="I66" s="325">
        <f t="shared" si="6"/>
        <v>206.76568024412464</v>
      </c>
      <c r="J66" s="328">
        <f t="shared" si="7"/>
        <v>1.5659599153686425</v>
      </c>
      <c r="K66" s="336">
        <f t="shared" si="8"/>
        <v>1.0001362384442836</v>
      </c>
      <c r="L66" s="337">
        <f t="shared" si="9"/>
        <v>1.650593703208059E-2</v>
      </c>
      <c r="M66" s="325">
        <f t="shared" si="10"/>
        <v>1.0000002961663959</v>
      </c>
      <c r="N66" s="337">
        <f t="shared" si="11"/>
        <v>7.6963149986356005E-4</v>
      </c>
      <c r="O66" s="343">
        <f t="shared" si="12"/>
        <v>1.0000002934211336</v>
      </c>
      <c r="P66" s="691">
        <f t="shared" si="13"/>
        <v>7.660562144192922E-4</v>
      </c>
      <c r="Q66" s="336">
        <f t="shared" si="29"/>
        <v>4.1565690602943874</v>
      </c>
      <c r="R66" s="692">
        <f t="shared" si="14"/>
        <v>1.2849460295594692E-3</v>
      </c>
      <c r="S66" s="329">
        <f t="shared" si="15"/>
        <v>0.99999986649174488</v>
      </c>
      <c r="T66" s="330">
        <f t="shared" si="16"/>
        <v>7.6011743788059402E-4</v>
      </c>
      <c r="U66" s="331">
        <f t="shared" si="17"/>
        <v>54.576353774836946</v>
      </c>
      <c r="V66" s="332">
        <f t="shared" si="18"/>
        <v>-93.589258612128916</v>
      </c>
      <c r="W66" s="334">
        <f t="shared" si="19"/>
        <v>86.410741387871084</v>
      </c>
      <c r="Y66" s="307">
        <f t="shared" si="20"/>
        <v>1000000000</v>
      </c>
      <c r="Z66" s="307">
        <f t="shared" si="21"/>
        <v>17379.148900000004</v>
      </c>
      <c r="AB66" s="333">
        <f t="shared" si="22"/>
        <v>51.398836008652097</v>
      </c>
      <c r="AC66" s="334">
        <f t="shared" si="23"/>
        <v>-88.821270246655487</v>
      </c>
      <c r="AE66" s="333">
        <f t="shared" si="24"/>
        <v>27.593415055834576</v>
      </c>
      <c r="AF66" s="334">
        <f t="shared" si="25"/>
        <v>-4.7382581689996011</v>
      </c>
      <c r="AH66">
        <f t="shared" si="26"/>
        <v>0</v>
      </c>
      <c r="AI66">
        <f t="shared" si="30"/>
        <v>0</v>
      </c>
    </row>
    <row r="67" spans="1:35" x14ac:dyDescent="0.25">
      <c r="A67" s="335">
        <v>144.54</v>
      </c>
      <c r="B67" s="352">
        <f t="shared" si="28"/>
        <v>0.14454</v>
      </c>
      <c r="C67" s="325">
        <f t="shared" si="0"/>
        <v>1.0040507866021251</v>
      </c>
      <c r="D67" s="326">
        <f t="shared" si="1"/>
        <v>8.9857216100783191E-2</v>
      </c>
      <c r="E67" s="326">
        <f t="shared" si="2"/>
        <v>1.0000000017963613</v>
      </c>
      <c r="F67" s="327">
        <f t="shared" si="3"/>
        <v>5.9939325743510206E-5</v>
      </c>
      <c r="G67" s="326">
        <f t="shared" si="4"/>
        <v>1</v>
      </c>
      <c r="H67" s="327">
        <f t="shared" si="5"/>
        <v>0</v>
      </c>
      <c r="I67" s="325">
        <f t="shared" si="6"/>
        <v>226.69993669542768</v>
      </c>
      <c r="J67" s="328">
        <f t="shared" si="7"/>
        <v>1.5663851952454226</v>
      </c>
      <c r="K67" s="336">
        <f t="shared" si="8"/>
        <v>1.0001637726188675</v>
      </c>
      <c r="L67" s="337">
        <f t="shared" si="9"/>
        <v>1.8096976032754467E-2</v>
      </c>
      <c r="M67" s="325">
        <f t="shared" si="10"/>
        <v>1.0000003560273518</v>
      </c>
      <c r="N67" s="337">
        <f t="shared" si="11"/>
        <v>8.4383321361518912E-4</v>
      </c>
      <c r="O67" s="343">
        <f t="shared" si="12"/>
        <v>1.000000352727219</v>
      </c>
      <c r="P67" s="691">
        <f t="shared" si="13"/>
        <v>8.3991322805399232E-4</v>
      </c>
      <c r="Q67" s="336">
        <f t="shared" si="29"/>
        <v>4.1565697482535713</v>
      </c>
      <c r="R67" s="692">
        <f t="shared" si="14"/>
        <v>1.4088301502141061E-3</v>
      </c>
      <c r="S67" s="329">
        <f t="shared" si="15"/>
        <v>0.99999983950715932</v>
      </c>
      <c r="T67" s="330">
        <f t="shared" si="16"/>
        <v>8.3340195383735122E-4</v>
      </c>
      <c r="U67" s="331">
        <f t="shared" si="17"/>
        <v>53.771248767127453</v>
      </c>
      <c r="V67" s="332">
        <f t="shared" si="18"/>
        <v>-93.984080543961568</v>
      </c>
      <c r="W67" s="334">
        <f t="shared" si="19"/>
        <v>86.015919456038432</v>
      </c>
      <c r="Y67" s="307">
        <f t="shared" si="20"/>
        <v>1000000000</v>
      </c>
      <c r="Z67" s="307">
        <f t="shared" si="21"/>
        <v>20891.811599999997</v>
      </c>
      <c r="AB67" s="333">
        <f t="shared" si="22"/>
        <v>50.599615725589196</v>
      </c>
      <c r="AC67" s="334">
        <f t="shared" si="23"/>
        <v>-88.758728613886646</v>
      </c>
      <c r="AE67" s="333">
        <f t="shared" si="24"/>
        <v>27.587531253674872</v>
      </c>
      <c r="AF67" s="334">
        <f t="shared" si="25"/>
        <v>-5.1927553915043267</v>
      </c>
      <c r="AH67">
        <f t="shared" si="26"/>
        <v>0</v>
      </c>
      <c r="AI67">
        <f t="shared" si="30"/>
        <v>0</v>
      </c>
    </row>
    <row r="68" spans="1:35" x14ac:dyDescent="0.25">
      <c r="A68" s="335">
        <v>158.49</v>
      </c>
      <c r="B68" s="352">
        <f t="shared" si="28"/>
        <v>0.15849000000000002</v>
      </c>
      <c r="C68" s="325">
        <f t="shared" si="0"/>
        <v>1.0048684401875687</v>
      </c>
      <c r="D68" s="326">
        <f t="shared" si="1"/>
        <v>9.8476093259017058E-2</v>
      </c>
      <c r="E68" s="326">
        <f t="shared" si="2"/>
        <v>1.0000000021598388</v>
      </c>
      <c r="F68" s="327">
        <f t="shared" si="3"/>
        <v>6.5724254426366148E-5</v>
      </c>
      <c r="G68" s="326">
        <f t="shared" si="4"/>
        <v>1</v>
      </c>
      <c r="H68" s="327">
        <f t="shared" si="5"/>
        <v>0</v>
      </c>
      <c r="I68" s="325">
        <f t="shared" si="6"/>
        <v>248.57903791218681</v>
      </c>
      <c r="J68" s="328">
        <f t="shared" si="7"/>
        <v>1.5667734505875559</v>
      </c>
      <c r="K68" s="336">
        <f t="shared" si="8"/>
        <v>1.000196907260225</v>
      </c>
      <c r="L68" s="337">
        <f t="shared" si="9"/>
        <v>1.9843132578408973E-2</v>
      </c>
      <c r="M68" s="325">
        <f t="shared" si="10"/>
        <v>1.0000004280662405</v>
      </c>
      <c r="N68" s="337">
        <f t="shared" si="11"/>
        <v>9.2527410822559842E-4</v>
      </c>
      <c r="O68" s="343">
        <f t="shared" si="12"/>
        <v>1.0000004240983558</v>
      </c>
      <c r="P68" s="691">
        <f t="shared" si="13"/>
        <v>9.2097579341657071E-4</v>
      </c>
      <c r="Q68" s="336">
        <f t="shared" si="29"/>
        <v>4.1565705761690017</v>
      </c>
      <c r="R68" s="692">
        <f t="shared" si="14"/>
        <v>1.5448004772269141E-3</v>
      </c>
      <c r="S68" s="329">
        <f t="shared" si="15"/>
        <v>0.99999980703291769</v>
      </c>
      <c r="T68" s="330">
        <f t="shared" si="16"/>
        <v>9.1383619099843604E-4</v>
      </c>
      <c r="U68" s="331">
        <f t="shared" si="17"/>
        <v>52.964202471773859</v>
      </c>
      <c r="V68" s="332">
        <f t="shared" si="18"/>
        <v>-94.412193114667133</v>
      </c>
      <c r="W68" s="334">
        <f t="shared" si="19"/>
        <v>85.587806885332867</v>
      </c>
      <c r="Y68" s="307">
        <f t="shared" si="20"/>
        <v>1000000000</v>
      </c>
      <c r="Z68" s="307">
        <f t="shared" si="21"/>
        <v>25119.080100000003</v>
      </c>
      <c r="AB68" s="333">
        <f t="shared" si="22"/>
        <v>49.799640772588418</v>
      </c>
      <c r="AC68" s="334">
        <f t="shared" si="23"/>
        <v>-88.685592825386507</v>
      </c>
      <c r="AE68" s="333">
        <f t="shared" si="24"/>
        <v>27.580461021476431</v>
      </c>
      <c r="AF68" s="334">
        <f t="shared" si="25"/>
        <v>-5.690857767701373</v>
      </c>
      <c r="AH68">
        <f t="shared" si="26"/>
        <v>0</v>
      </c>
      <c r="AI68">
        <f t="shared" si="30"/>
        <v>0</v>
      </c>
    </row>
    <row r="69" spans="1:35" x14ac:dyDescent="0.25">
      <c r="A69" s="335">
        <v>173.78</v>
      </c>
      <c r="B69" s="352">
        <f t="shared" si="28"/>
        <v>0.17377999999999999</v>
      </c>
      <c r="C69" s="325">
        <f t="shared" si="0"/>
        <v>1.005850231745244</v>
      </c>
      <c r="D69" s="326">
        <f t="shared" si="1"/>
        <v>0.10790599980360281</v>
      </c>
      <c r="E69" s="326">
        <f t="shared" si="2"/>
        <v>1.0000000025966727</v>
      </c>
      <c r="F69" s="327">
        <f t="shared" si="3"/>
        <v>7.2064868009891415E-5</v>
      </c>
      <c r="G69" s="326">
        <f t="shared" si="4"/>
        <v>1</v>
      </c>
      <c r="H69" s="327">
        <f t="shared" si="5"/>
        <v>0</v>
      </c>
      <c r="I69" s="325">
        <f t="shared" si="6"/>
        <v>272.55982336225742</v>
      </c>
      <c r="J69" s="328">
        <f t="shared" si="7"/>
        <v>1.5671273992502111</v>
      </c>
      <c r="K69" s="336">
        <f t="shared" si="8"/>
        <v>1.0002367276236039</v>
      </c>
      <c r="L69" s="337">
        <f t="shared" si="9"/>
        <v>2.1756880891454215E-2</v>
      </c>
      <c r="M69" s="325">
        <f t="shared" si="10"/>
        <v>1.0000005146438822</v>
      </c>
      <c r="N69" s="337">
        <f t="shared" si="11"/>
        <v>1.0145379850253222E-3</v>
      </c>
      <c r="O69" s="343">
        <f t="shared" si="12"/>
        <v>1.0000005098734819</v>
      </c>
      <c r="P69" s="691">
        <f t="shared" si="13"/>
        <v>1.0098249998605005E-3</v>
      </c>
      <c r="Q69" s="336">
        <f t="shared" si="29"/>
        <v>4.1565715711726314</v>
      </c>
      <c r="R69" s="692">
        <f t="shared" si="14"/>
        <v>1.6938316882120772E-3</v>
      </c>
      <c r="S69" s="329">
        <f t="shared" si="15"/>
        <v>0.99999976800479495</v>
      </c>
      <c r="T69" s="330">
        <f t="shared" si="16"/>
        <v>1.001996743895849E-3</v>
      </c>
      <c r="U69" s="331">
        <f t="shared" si="17"/>
        <v>52.156117528361264</v>
      </c>
      <c r="V69" s="332">
        <f t="shared" si="18"/>
        <v>-94.876367580020911</v>
      </c>
      <c r="W69" s="334">
        <f t="shared" si="19"/>
        <v>85.123632419979089</v>
      </c>
      <c r="Y69" s="307">
        <f t="shared" si="20"/>
        <v>1000000000</v>
      </c>
      <c r="Z69" s="307">
        <f t="shared" si="21"/>
        <v>30199.488400000002</v>
      </c>
      <c r="AB69" s="333">
        <f t="shared" si="22"/>
        <v>49.000039095027248</v>
      </c>
      <c r="AC69" s="334">
        <f t="shared" si="23"/>
        <v>-88.601337331840512</v>
      </c>
      <c r="AE69" s="333">
        <f t="shared" si="24"/>
        <v>27.571979089827956</v>
      </c>
      <c r="AF69" s="334">
        <f t="shared" si="25"/>
        <v>-6.2358395517343652</v>
      </c>
      <c r="AH69">
        <f t="shared" si="26"/>
        <v>0</v>
      </c>
      <c r="AI69">
        <f t="shared" si="30"/>
        <v>0</v>
      </c>
    </row>
    <row r="70" spans="1:35" x14ac:dyDescent="0.25">
      <c r="A70" s="335">
        <v>190.55</v>
      </c>
      <c r="B70" s="352">
        <f t="shared" si="28"/>
        <v>0.19055000000000002</v>
      </c>
      <c r="C70" s="325">
        <f t="shared" si="0"/>
        <v>1.0070296887559091</v>
      </c>
      <c r="D70" s="326">
        <f t="shared" si="1"/>
        <v>0.11822651009509376</v>
      </c>
      <c r="E70" s="326">
        <f t="shared" si="2"/>
        <v>1.0000000031220189</v>
      </c>
      <c r="F70" s="327">
        <f t="shared" si="3"/>
        <v>7.9019223123923672E-5</v>
      </c>
      <c r="G70" s="326">
        <f t="shared" si="4"/>
        <v>1</v>
      </c>
      <c r="H70" s="327">
        <f t="shared" si="5"/>
        <v>0</v>
      </c>
      <c r="I70" s="325">
        <f t="shared" si="6"/>
        <v>298.8618685772152</v>
      </c>
      <c r="J70" s="328">
        <f t="shared" si="7"/>
        <v>1.5674502931548298</v>
      </c>
      <c r="K70" s="336">
        <f t="shared" si="8"/>
        <v>1.0002846143950401</v>
      </c>
      <c r="L70" s="337">
        <f t="shared" si="9"/>
        <v>2.3855687245155108E-2</v>
      </c>
      <c r="M70" s="325">
        <f t="shared" si="10"/>
        <v>1.0000006187641055</v>
      </c>
      <c r="N70" s="337">
        <f t="shared" si="11"/>
        <v>1.1124421661155024E-3</v>
      </c>
      <c r="O70" s="343">
        <f t="shared" si="12"/>
        <v>1.0000006130285815</v>
      </c>
      <c r="P70" s="691">
        <f t="shared" si="13"/>
        <v>1.1072743727157327E-3</v>
      </c>
      <c r="Q70" s="336">
        <f t="shared" si="29"/>
        <v>4.1565727677862192</v>
      </c>
      <c r="R70" s="692">
        <f t="shared" si="14"/>
        <v>1.8572883329254749E-3</v>
      </c>
      <c r="S70" s="329">
        <f t="shared" si="15"/>
        <v>0.9999997210687086</v>
      </c>
      <c r="T70" s="330">
        <f t="shared" si="16"/>
        <v>1.0986908446003595E-3</v>
      </c>
      <c r="U70" s="331">
        <f t="shared" si="17"/>
        <v>51.346178813554133</v>
      </c>
      <c r="V70" s="332">
        <f t="shared" si="18"/>
        <v>-95.380470117748274</v>
      </c>
      <c r="W70" s="334">
        <f t="shared" si="19"/>
        <v>84.619529882251726</v>
      </c>
      <c r="Y70" s="307">
        <f t="shared" si="20"/>
        <v>1000000000</v>
      </c>
      <c r="Z70" s="307">
        <f t="shared" si="21"/>
        <v>36309.302500000005</v>
      </c>
      <c r="AB70" s="333">
        <f t="shared" si="22"/>
        <v>48.20028065423508</v>
      </c>
      <c r="AC70" s="334">
        <f t="shared" si="23"/>
        <v>-88.505194539986647</v>
      </c>
      <c r="AE70" s="333">
        <f t="shared" si="24"/>
        <v>27.561800420354526</v>
      </c>
      <c r="AF70" s="334">
        <f t="shared" si="25"/>
        <v>-6.8323029432165985</v>
      </c>
      <c r="AH70">
        <f t="shared" si="26"/>
        <v>0</v>
      </c>
      <c r="AI70">
        <f t="shared" si="30"/>
        <v>0</v>
      </c>
    </row>
    <row r="71" spans="1:35" x14ac:dyDescent="0.25">
      <c r="A71" s="335">
        <v>208.93</v>
      </c>
      <c r="B71" s="352">
        <f t="shared" si="28"/>
        <v>0.20893</v>
      </c>
      <c r="C71" s="325">
        <f t="shared" si="0"/>
        <v>1.0084452710722469</v>
      </c>
      <c r="D71" s="326">
        <f t="shared" si="1"/>
        <v>0.12950877015415543</v>
      </c>
      <c r="E71" s="326">
        <f t="shared" si="2"/>
        <v>1.0000000037533512</v>
      </c>
      <c r="F71" s="327">
        <f t="shared" si="3"/>
        <v>8.6641229495317362E-5</v>
      </c>
      <c r="G71" s="326">
        <f t="shared" si="4"/>
        <v>1</v>
      </c>
      <c r="H71" s="327">
        <f t="shared" si="5"/>
        <v>0</v>
      </c>
      <c r="I71" s="325">
        <f t="shared" si="6"/>
        <v>327.68906537373971</v>
      </c>
      <c r="J71" s="328">
        <f t="shared" si="7"/>
        <v>1.5677446486713549</v>
      </c>
      <c r="K71" s="336">
        <f t="shared" si="8"/>
        <v>1.0003421590806698</v>
      </c>
      <c r="L71" s="337">
        <f t="shared" si="9"/>
        <v>2.6155746919160394E-2</v>
      </c>
      <c r="M71" s="325">
        <f t="shared" si="10"/>
        <v>1.0000007438901146</v>
      </c>
      <c r="N71" s="337">
        <f t="shared" si="11"/>
        <v>1.2197455910703352E-3</v>
      </c>
      <c r="O71" s="343">
        <f t="shared" si="12"/>
        <v>1.0000007369947574</v>
      </c>
      <c r="P71" s="691">
        <f t="shared" si="13"/>
        <v>1.214079326016184E-3</v>
      </c>
      <c r="Q71" s="336">
        <f t="shared" si="29"/>
        <v>4.1565742058109159</v>
      </c>
      <c r="R71" s="692">
        <f t="shared" si="14"/>
        <v>2.0364374823558747E-3</v>
      </c>
      <c r="S71" s="329">
        <f t="shared" si="15"/>
        <v>0.99999966466349832</v>
      </c>
      <c r="T71" s="330">
        <f t="shared" si="16"/>
        <v>1.2046680684813468E-3</v>
      </c>
      <c r="U71" s="331">
        <f t="shared" si="17"/>
        <v>50.534645932272397</v>
      </c>
      <c r="V71" s="332">
        <f t="shared" si="18"/>
        <v>-95.927906009295725</v>
      </c>
      <c r="W71" s="334">
        <f t="shared" si="19"/>
        <v>84.072093990704275</v>
      </c>
      <c r="Y71" s="307">
        <f t="shared" si="20"/>
        <v>1000000000</v>
      </c>
      <c r="Z71" s="307">
        <f t="shared" si="21"/>
        <v>43651.744900000005</v>
      </c>
      <c r="AB71" s="333">
        <f t="shared" si="22"/>
        <v>47.400950393142274</v>
      </c>
      <c r="AC71" s="334">
        <f t="shared" si="23"/>
        <v>-88.39642419006411</v>
      </c>
      <c r="AE71" s="333">
        <f t="shared" si="24"/>
        <v>27.54959972841473</v>
      </c>
      <c r="AF71" s="334">
        <f t="shared" si="25"/>
        <v>-7.4843641675713313</v>
      </c>
      <c r="AH71">
        <f t="shared" si="26"/>
        <v>0</v>
      </c>
      <c r="AI71">
        <f t="shared" si="30"/>
        <v>0</v>
      </c>
    </row>
    <row r="72" spans="1:35" x14ac:dyDescent="0.25">
      <c r="A72" s="335">
        <v>229.09</v>
      </c>
      <c r="B72" s="352">
        <f t="shared" si="28"/>
        <v>0.22909000000000002</v>
      </c>
      <c r="C72" s="325">
        <f t="shared" si="0"/>
        <v>1.0101451118998339</v>
      </c>
      <c r="D72" s="326">
        <f t="shared" si="1"/>
        <v>0.141845539283565</v>
      </c>
      <c r="E72" s="326">
        <f t="shared" si="2"/>
        <v>1.0000000045126316</v>
      </c>
      <c r="F72" s="327">
        <f t="shared" si="3"/>
        <v>9.5001384459077849E-5</v>
      </c>
      <c r="G72" s="326">
        <f t="shared" si="4"/>
        <v>1</v>
      </c>
      <c r="H72" s="327">
        <f t="shared" si="5"/>
        <v>0</v>
      </c>
      <c r="I72" s="325">
        <f t="shared" si="6"/>
        <v>359.30804179236401</v>
      </c>
      <c r="J72" s="328">
        <f t="shared" si="7"/>
        <v>1.5680131959582408</v>
      </c>
      <c r="K72" s="336">
        <f t="shared" si="8"/>
        <v>1.000411361555954</v>
      </c>
      <c r="L72" s="337">
        <f t="shared" si="9"/>
        <v>2.8678235307002694E-2</v>
      </c>
      <c r="M72" s="325">
        <f t="shared" si="10"/>
        <v>1.0000008943745051</v>
      </c>
      <c r="N72" s="337">
        <f t="shared" si="11"/>
        <v>1.3374407190204069E-3</v>
      </c>
      <c r="O72" s="343">
        <f t="shared" si="12"/>
        <v>1.0000008860842604</v>
      </c>
      <c r="P72" s="691">
        <f t="shared" si="13"/>
        <v>1.3312277085748749E-3</v>
      </c>
      <c r="Q72" s="336">
        <f t="shared" si="29"/>
        <v>4.1565759352692329</v>
      </c>
      <c r="R72" s="692">
        <f t="shared" si="14"/>
        <v>2.2329360740515271E-3</v>
      </c>
      <c r="S72" s="329">
        <f t="shared" si="15"/>
        <v>0.99999959682708117</v>
      </c>
      <c r="T72" s="330">
        <f t="shared" si="16"/>
        <v>1.320908629842722E-3</v>
      </c>
      <c r="U72" s="331">
        <f t="shared" si="17"/>
        <v>49.720515349286707</v>
      </c>
      <c r="V72" s="332">
        <f t="shared" si="18"/>
        <v>-96.523080459728931</v>
      </c>
      <c r="W72" s="334">
        <f t="shared" si="19"/>
        <v>83.476919540271069</v>
      </c>
      <c r="Y72" s="307">
        <f t="shared" si="20"/>
        <v>1000000000</v>
      </c>
      <c r="Z72" s="307">
        <f t="shared" si="21"/>
        <v>52482.2281</v>
      </c>
      <c r="AB72" s="333">
        <f t="shared" si="22"/>
        <v>46.601450190524289</v>
      </c>
      <c r="AC72" s="334">
        <f t="shared" si="23"/>
        <v>-88.274026311669175</v>
      </c>
      <c r="AE72" s="333">
        <f t="shared" si="24"/>
        <v>27.534971667078342</v>
      </c>
      <c r="AF72" s="334">
        <f t="shared" si="25"/>
        <v>-8.197390064307271</v>
      </c>
      <c r="AH72">
        <f t="shared" si="26"/>
        <v>0</v>
      </c>
      <c r="AI72">
        <f t="shared" si="30"/>
        <v>0</v>
      </c>
    </row>
    <row r="73" spans="1:35" x14ac:dyDescent="0.25">
      <c r="A73" s="335">
        <v>251.19</v>
      </c>
      <c r="B73" s="352">
        <f t="shared" si="28"/>
        <v>0.25119000000000002</v>
      </c>
      <c r="C73" s="325">
        <f t="shared" si="0"/>
        <v>1.0121845325617715</v>
      </c>
      <c r="D73" s="326">
        <f t="shared" si="1"/>
        <v>0.15531958279148045</v>
      </c>
      <c r="E73" s="326">
        <f t="shared" si="2"/>
        <v>1.0000000054252818</v>
      </c>
      <c r="F73" s="327">
        <f t="shared" si="3"/>
        <v>1.0416603844670859E-4</v>
      </c>
      <c r="G73" s="326">
        <f t="shared" si="4"/>
        <v>1</v>
      </c>
      <c r="H73" s="327">
        <f t="shared" si="5"/>
        <v>0</v>
      </c>
      <c r="I73" s="325">
        <f t="shared" si="6"/>
        <v>393.96974209449439</v>
      </c>
      <c r="J73" s="328">
        <f t="shared" si="7"/>
        <v>1.5682580580728223</v>
      </c>
      <c r="K73" s="336">
        <f t="shared" si="8"/>
        <v>1.0004945361828463</v>
      </c>
      <c r="L73" s="337">
        <f t="shared" si="9"/>
        <v>3.144304259405363E-2</v>
      </c>
      <c r="M73" s="325">
        <f t="shared" si="10"/>
        <v>1.0000010752558126</v>
      </c>
      <c r="N73" s="337">
        <f t="shared" si="11"/>
        <v>1.4664616251218955E-3</v>
      </c>
      <c r="O73" s="343">
        <f t="shared" si="12"/>
        <v>1.0000010652889217</v>
      </c>
      <c r="P73" s="691">
        <f t="shared" si="13"/>
        <v>1.459649256481409E-3</v>
      </c>
      <c r="Q73" s="336">
        <f t="shared" si="29"/>
        <v>4.1565780140668362</v>
      </c>
      <c r="R73" s="692">
        <f t="shared" si="14"/>
        <v>2.4483435601390679E-3</v>
      </c>
      <c r="S73" s="329">
        <f t="shared" si="15"/>
        <v>0.99999951528816855</v>
      </c>
      <c r="T73" s="330">
        <f t="shared" si="16"/>
        <v>1.4483350879508944E-3</v>
      </c>
      <c r="U73" s="331">
        <f t="shared" si="17"/>
        <v>48.903796613579587</v>
      </c>
      <c r="V73" s="332">
        <f t="shared" si="18"/>
        <v>-97.169856246237345</v>
      </c>
      <c r="W73" s="334">
        <f t="shared" si="19"/>
        <v>82.830143753762655</v>
      </c>
      <c r="Y73" s="307">
        <f t="shared" si="20"/>
        <v>1000000000</v>
      </c>
      <c r="Z73" s="307">
        <f t="shared" si="21"/>
        <v>63096.416100000002</v>
      </c>
      <c r="AB73" s="333">
        <f t="shared" si="22"/>
        <v>45.802252122891332</v>
      </c>
      <c r="AC73" s="334">
        <f t="shared" si="23"/>
        <v>-88.137036441914333</v>
      </c>
      <c r="AE73" s="333">
        <f t="shared" si="24"/>
        <v>27.51745378646249</v>
      </c>
      <c r="AF73" s="334">
        <f t="shared" si="25"/>
        <v>-8.9761717934300709</v>
      </c>
      <c r="AH73">
        <f t="shared" si="26"/>
        <v>0</v>
      </c>
      <c r="AI73">
        <f t="shared" si="30"/>
        <v>0</v>
      </c>
    </row>
    <row r="74" spans="1:35" x14ac:dyDescent="0.25">
      <c r="A74" s="335">
        <v>275.42</v>
      </c>
      <c r="B74" s="352">
        <f t="shared" si="28"/>
        <v>0.27542</v>
      </c>
      <c r="C74" s="325">
        <f t="shared" si="0"/>
        <v>1.0146307796778071</v>
      </c>
      <c r="D74" s="326">
        <f t="shared" si="1"/>
        <v>0.17002703126552535</v>
      </c>
      <c r="E74" s="326">
        <f t="shared" si="2"/>
        <v>1.0000000065224168</v>
      </c>
      <c r="F74" s="327">
        <f t="shared" si="3"/>
        <v>1.1421398259488187E-4</v>
      </c>
      <c r="G74" s="326">
        <f t="shared" si="4"/>
        <v>1</v>
      </c>
      <c r="H74" s="327">
        <f t="shared" si="5"/>
        <v>0</v>
      </c>
      <c r="I74" s="325">
        <f t="shared" si="6"/>
        <v>431.97216278826261</v>
      </c>
      <c r="J74" s="328">
        <f t="shared" si="7"/>
        <v>1.5684813607407793</v>
      </c>
      <c r="K74" s="336">
        <f t="shared" si="8"/>
        <v>1.0005945147366384</v>
      </c>
      <c r="L74" s="337">
        <f t="shared" si="9"/>
        <v>3.4473768177460555E-2</v>
      </c>
      <c r="M74" s="325">
        <f t="shared" si="10"/>
        <v>1.0000012927007706</v>
      </c>
      <c r="N74" s="337">
        <f t="shared" si="11"/>
        <v>1.6079175215632927E-3</v>
      </c>
      <c r="O74" s="343">
        <f t="shared" si="12"/>
        <v>1.0000012807183143</v>
      </c>
      <c r="P74" s="691">
        <f t="shared" si="13"/>
        <v>1.6004480293112884E-3</v>
      </c>
      <c r="Q74" s="336">
        <f t="shared" si="29"/>
        <v>4.1565805130751938</v>
      </c>
      <c r="R74" s="692">
        <f t="shared" si="14"/>
        <v>2.6845117805508033E-3</v>
      </c>
      <c r="S74" s="329">
        <f t="shared" si="15"/>
        <v>0.99999941726690322</v>
      </c>
      <c r="T74" s="330">
        <f t="shared" si="16"/>
        <v>1.5880429843021353E-3</v>
      </c>
      <c r="U74" s="331">
        <f t="shared" si="17"/>
        <v>48.08383558297281</v>
      </c>
      <c r="V74" s="332">
        <f t="shared" si="18"/>
        <v>-97.87267554837311</v>
      </c>
      <c r="W74" s="334">
        <f t="shared" si="19"/>
        <v>82.12732445162689</v>
      </c>
      <c r="Y74" s="307">
        <f t="shared" si="20"/>
        <v>1000000000</v>
      </c>
      <c r="Z74" s="307">
        <f t="shared" si="21"/>
        <v>75856.176400000011</v>
      </c>
      <c r="AB74" s="333">
        <f t="shared" si="22"/>
        <v>45.003260310382196</v>
      </c>
      <c r="AC74" s="334">
        <f t="shared" si="23"/>
        <v>-87.984287783229547</v>
      </c>
      <c r="AE74" s="333">
        <f t="shared" si="24"/>
        <v>27.496487919280327</v>
      </c>
      <c r="AF74" s="334">
        <f t="shared" si="25"/>
        <v>-9.8262754874034552</v>
      </c>
      <c r="AH74">
        <f t="shared" si="26"/>
        <v>0</v>
      </c>
      <c r="AI74">
        <f t="shared" si="30"/>
        <v>0</v>
      </c>
    </row>
    <row r="75" spans="1:35" x14ac:dyDescent="0.25">
      <c r="A75" s="335">
        <v>302</v>
      </c>
      <c r="B75" s="352">
        <f t="shared" si="28"/>
        <v>0.30199999999999999</v>
      </c>
      <c r="C75" s="325">
        <f t="shared" si="0"/>
        <v>1.0175654083334236</v>
      </c>
      <c r="D75" s="326">
        <f t="shared" si="1"/>
        <v>0.18607570860029463</v>
      </c>
      <c r="E75" s="326">
        <f t="shared" si="2"/>
        <v>1.0000000078420841</v>
      </c>
      <c r="F75" s="327">
        <f t="shared" si="3"/>
        <v>1.2523644874485682E-4</v>
      </c>
      <c r="G75" s="326">
        <f t="shared" si="4"/>
        <v>1</v>
      </c>
      <c r="H75" s="327">
        <f t="shared" si="5"/>
        <v>0</v>
      </c>
      <c r="I75" s="325">
        <f t="shared" si="6"/>
        <v>473.66035269081203</v>
      </c>
      <c r="J75" s="328">
        <f t="shared" si="7"/>
        <v>1.5686851077806943</v>
      </c>
      <c r="K75" s="336">
        <f t="shared" si="8"/>
        <v>1.0007147587162475</v>
      </c>
      <c r="L75" s="337">
        <f t="shared" si="9"/>
        <v>3.7797704755724811E-2</v>
      </c>
      <c r="M75" s="325">
        <f t="shared" si="10"/>
        <v>1.000001554250046</v>
      </c>
      <c r="N75" s="337">
        <f t="shared" si="11"/>
        <v>1.7630927559419965E-3</v>
      </c>
      <c r="O75" s="343">
        <f t="shared" si="12"/>
        <v>1.0000015398432076</v>
      </c>
      <c r="P75" s="691">
        <f t="shared" si="13"/>
        <v>1.7549024085250272E-3</v>
      </c>
      <c r="Q75" s="336">
        <f t="shared" si="29"/>
        <v>4.1565835189556459</v>
      </c>
      <c r="R75" s="692">
        <f t="shared" si="14"/>
        <v>2.9435849555613986E-3</v>
      </c>
      <c r="S75" s="329">
        <f t="shared" si="15"/>
        <v>0.99999929936409071</v>
      </c>
      <c r="T75" s="330">
        <f t="shared" si="16"/>
        <v>1.741300844488721E-3</v>
      </c>
      <c r="U75" s="331">
        <f t="shared" si="17"/>
        <v>47.259562554430914</v>
      </c>
      <c r="V75" s="332">
        <f t="shared" si="18"/>
        <v>-98.636457924714549</v>
      </c>
      <c r="W75" s="334">
        <f t="shared" si="19"/>
        <v>81.363542075285451</v>
      </c>
      <c r="Y75" s="307">
        <f t="shared" si="20"/>
        <v>1000000000</v>
      </c>
      <c r="Z75" s="307">
        <f t="shared" si="21"/>
        <v>91204</v>
      </c>
      <c r="AB75" s="333">
        <f t="shared" si="22"/>
        <v>44.204076317765988</v>
      </c>
      <c r="AC75" s="334">
        <f t="shared" si="23"/>
        <v>-87.814404977221997</v>
      </c>
      <c r="AE75" s="333">
        <f t="shared" si="24"/>
        <v>27.471402913929325</v>
      </c>
      <c r="AF75" s="334">
        <f t="shared" si="25"/>
        <v>-10.753946454288696</v>
      </c>
      <c r="AH75">
        <f t="shared" si="26"/>
        <v>0</v>
      </c>
      <c r="AI75">
        <f t="shared" si="30"/>
        <v>0</v>
      </c>
    </row>
    <row r="76" spans="1:35" x14ac:dyDescent="0.25">
      <c r="A76" s="335">
        <v>331.13</v>
      </c>
      <c r="B76" s="352">
        <f t="shared" si="28"/>
        <v>0.33112999999999998</v>
      </c>
      <c r="C76" s="325">
        <f t="shared" si="0"/>
        <v>1.0210807174319865</v>
      </c>
      <c r="D76" s="326">
        <f t="shared" si="1"/>
        <v>0.20355308254987101</v>
      </c>
      <c r="E76" s="326">
        <f t="shared" si="2"/>
        <v>1.0000000094278936</v>
      </c>
      <c r="F76" s="327">
        <f t="shared" si="3"/>
        <v>1.3731637493060456E-4</v>
      </c>
      <c r="G76" s="326">
        <f t="shared" si="4"/>
        <v>1</v>
      </c>
      <c r="H76" s="327">
        <f t="shared" si="5"/>
        <v>0</v>
      </c>
      <c r="I76" s="325">
        <f t="shared" si="6"/>
        <v>519.34799268823303</v>
      </c>
      <c r="J76" s="328">
        <f t="shared" si="7"/>
        <v>1.5688708343851845</v>
      </c>
      <c r="K76" s="336">
        <f t="shared" si="8"/>
        <v>1.0008592336412832</v>
      </c>
      <c r="L76" s="337">
        <f t="shared" si="9"/>
        <v>4.1439567002302884E-2</v>
      </c>
      <c r="M76" s="325">
        <f t="shared" si="10"/>
        <v>1.000001868546857</v>
      </c>
      <c r="N76" s="337">
        <f t="shared" si="11"/>
        <v>1.9331549071133012E-3</v>
      </c>
      <c r="O76" s="343">
        <f t="shared" si="12"/>
        <v>1.0000018512267039</v>
      </c>
      <c r="P76" s="691">
        <f t="shared" si="13"/>
        <v>1.9241745493540233E-3</v>
      </c>
      <c r="Q76" s="336">
        <f t="shared" si="29"/>
        <v>4.1565871310404363</v>
      </c>
      <c r="R76" s="692">
        <f t="shared" si="14"/>
        <v>3.227512330955589E-3</v>
      </c>
      <c r="S76" s="329">
        <f t="shared" si="15"/>
        <v>0.99999915768354031</v>
      </c>
      <c r="T76" s="330">
        <f t="shared" si="16"/>
        <v>1.9092618849398746E-3</v>
      </c>
      <c r="U76" s="331">
        <f t="shared" si="17"/>
        <v>46.431026866002469</v>
      </c>
      <c r="V76" s="332">
        <f t="shared" si="18"/>
        <v>-99.465060138737513</v>
      </c>
      <c r="W76" s="334">
        <f t="shared" si="19"/>
        <v>80.534939861262487</v>
      </c>
      <c r="Y76" s="307">
        <f t="shared" si="20"/>
        <v>1000000000</v>
      </c>
      <c r="Z76" s="307">
        <f t="shared" si="21"/>
        <v>109647.0769</v>
      </c>
      <c r="AB76" s="333">
        <f t="shared" si="22"/>
        <v>43.40549902704371</v>
      </c>
      <c r="AC76" s="334">
        <f t="shared" si="23"/>
        <v>-87.626126834807508</v>
      </c>
      <c r="AE76" s="333">
        <f t="shared" si="24"/>
        <v>27.44144935964853</v>
      </c>
      <c r="AF76" s="334">
        <f t="shared" si="25"/>
        <v>-11.764257549678964</v>
      </c>
      <c r="AH76">
        <f t="shared" si="26"/>
        <v>0</v>
      </c>
      <c r="AI76">
        <f t="shared" si="30"/>
        <v>0</v>
      </c>
    </row>
    <row r="77" spans="1:35" x14ac:dyDescent="0.25">
      <c r="A77" s="335">
        <v>363.08</v>
      </c>
      <c r="B77" s="352">
        <f t="shared" si="28"/>
        <v>0.36307999999999996</v>
      </c>
      <c r="C77" s="325">
        <f t="shared" ref="C77:C140" si="31">SQRT(1+(A77/pole1)^2)</f>
        <v>1.0252923347907981</v>
      </c>
      <c r="D77" s="326">
        <f t="shared" ref="D77:D140" si="32">ATAN(A77/pole1)</f>
        <v>0.22257810903430514</v>
      </c>
      <c r="E77" s="326">
        <f t="shared" ref="E77:E140" si="33">SQRT(1+(A77/Zero1)^2)</f>
        <v>1.0000000113350194</v>
      </c>
      <c r="F77" s="327">
        <f t="shared" ref="F77:F140" si="34">ATAN(A77/Zero1)</f>
        <v>1.5056572749800706E-4</v>
      </c>
      <c r="G77" s="326">
        <f t="shared" ref="G77:G140" si="35">IF(VIN_nom&gt;Vout, 1, SQRT(1+(A77/z_RHP)^2))</f>
        <v>1</v>
      </c>
      <c r="H77" s="327">
        <f t="shared" ref="H77:H140" si="36">IF(VIN_nom&gt;Vout, 0, -ATAN(A77/z_RHP))</f>
        <v>0</v>
      </c>
      <c r="I77" s="325">
        <f t="shared" ref="I77:I140" si="37">SQRT(1+(A77/Pole2)^2)</f>
        <v>569.45855214736639</v>
      </c>
      <c r="J77" s="328">
        <f t="shared" ref="J77:J140" si="38">ATAN(A77/Pole2)</f>
        <v>1.5690402718367542</v>
      </c>
      <c r="K77" s="336">
        <f t="shared" ref="K77:K140" si="39">SQRT(1+(A77/Zero2)^2)</f>
        <v>1.001032954430233</v>
      </c>
      <c r="L77" s="337">
        <f t="shared" ref="L77:L140" si="40">ATAN(A77/Zero2)</f>
        <v>4.5432720607639102E-2</v>
      </c>
      <c r="M77" s="325">
        <f t="shared" ref="M77:M140" si="41">SQRT(1+(A77/pole4)^2)</f>
        <v>1.0000022465262948</v>
      </c>
      <c r="N77" s="337">
        <f t="shared" ref="N77:N140" si="42">ATAN(A77/pole4)</f>
        <v>2.1196802065906362E-3</v>
      </c>
      <c r="O77" s="343">
        <f t="shared" ref="O77:O140" si="43">IF(VOUT_setting=1,1,SQRT(1+(A77*zterm1)^2))</f>
        <v>1.0000022257025347</v>
      </c>
      <c r="P77" s="691">
        <f t="shared" ref="P77:P140" si="44">IF(VOUT_setting=1,0,ATAN(((A77*zterm1))))</f>
        <v>2.10983336141863E-3</v>
      </c>
      <c r="Q77" s="336">
        <f t="shared" si="29"/>
        <v>4.1565914750009778</v>
      </c>
      <c r="R77" s="692">
        <f t="shared" ref="R77:R140" si="45">IF(VOUT_setting=1,0,ATAN(A77*$Q$4/(1+Afbr-$Q$5*(A77)^2)))</f>
        <v>3.5389253888135643E-3</v>
      </c>
      <c r="S77" s="329">
        <f t="shared" ref="S77:S140" si="46">SQRT((1-(Z77/pterm2))^2+(A77/pterm1)^2)</f>
        <v>0.99999898729594427</v>
      </c>
      <c r="T77" s="330">
        <f t="shared" ref="T77:T140" si="47">IF((ATAN((A77/pterm1)/(1-A77^2/pterm2))&gt;0),ATAN((A77/pterm1)/(1-A77^2/pterm2)),PI()+ATAN((A77/pterm1)/(1-A77^2/pterm2)))</f>
        <v>2.0934829477675522E-3</v>
      </c>
      <c r="U77" s="331">
        <f t="shared" ref="U77:U140" si="48">20*LOG10(((E77*K77*G77*O77)/(C77*I77*S77*M77*Q77))*Adc)</f>
        <v>45.596700790062592</v>
      </c>
      <c r="V77" s="332">
        <f t="shared" ref="V77:V140" si="49">((F77+L77+H77+P77)-(D77+J77+T77+N77+R77))*radconv</f>
        <v>-100.36371932216657</v>
      </c>
      <c r="W77" s="334">
        <f t="shared" ref="W77:W140" si="50">IF(V77&gt;0,V77,V77+180)</f>
        <v>79.636280677833426</v>
      </c>
      <c r="Y77" s="307">
        <f t="shared" ref="Y77:Y140" si="51">IF(U77&lt;0,A77,1000000000)</f>
        <v>1000000000</v>
      </c>
      <c r="Z77" s="307">
        <f t="shared" ref="Z77:Z140" si="52">A77^2</f>
        <v>131827.0864</v>
      </c>
      <c r="AB77" s="333">
        <f t="shared" ref="AB77:AB140" si="53">20*LOG10((K77/(I77*M77))*AEA)</f>
        <v>42.606929993343662</v>
      </c>
      <c r="AC77" s="334">
        <f t="shared" ref="AC77:AC140" si="54">(L77-(J77+N77))*radconv</f>
        <v>-87.41773114933504</v>
      </c>
      <c r="AE77" s="333">
        <f t="shared" ref="AE77:AE140" si="55">20*LOG10((E77*G77/(C77*S77))*Acs*Am)</f>
        <v>27.405698142192819</v>
      </c>
      <c r="AF77" s="334">
        <f t="shared" ref="AF77:AF140" si="56">(F77+H77-(D77+T77))*radconv</f>
        <v>-12.864107231032463</v>
      </c>
      <c r="AH77">
        <f t="shared" ref="AH77:AH140" si="57">SUM((U78&lt;0)*(U77&gt;0))*A77</f>
        <v>0</v>
      </c>
      <c r="AI77">
        <f t="shared" ref="AI77:AI89" si="58">IF(AH77&gt;0,W75,0)</f>
        <v>0</v>
      </c>
    </row>
    <row r="78" spans="1:35" x14ac:dyDescent="0.25">
      <c r="A78" s="335">
        <v>398.11</v>
      </c>
      <c r="B78" s="352">
        <f t="shared" ref="B78:B141" si="59">A78/1000</f>
        <v>0.39811000000000002</v>
      </c>
      <c r="C78" s="325">
        <f t="shared" si="31"/>
        <v>1.0303326918431253</v>
      </c>
      <c r="D78" s="326">
        <f t="shared" si="32"/>
        <v>0.24325007932389822</v>
      </c>
      <c r="E78" s="326">
        <f t="shared" si="33"/>
        <v>1.0000000136277383</v>
      </c>
      <c r="F78" s="327">
        <f t="shared" si="34"/>
        <v>1.6509232588578801E-4</v>
      </c>
      <c r="G78" s="326">
        <f t="shared" si="35"/>
        <v>1</v>
      </c>
      <c r="H78" s="327">
        <f t="shared" si="36"/>
        <v>0</v>
      </c>
      <c r="I78" s="325">
        <f t="shared" si="37"/>
        <v>624.39981653399741</v>
      </c>
      <c r="J78" s="328">
        <f t="shared" si="38"/>
        <v>1.5691947881637056</v>
      </c>
      <c r="K78" s="336">
        <f t="shared" si="39"/>
        <v>1.0012417591440734</v>
      </c>
      <c r="L78" s="337">
        <f t="shared" si="40"/>
        <v>4.9809146403580994E-2</v>
      </c>
      <c r="M78" s="325">
        <f t="shared" si="41"/>
        <v>1.0000027009275034</v>
      </c>
      <c r="N78" s="337">
        <f t="shared" si="42"/>
        <v>2.324186491711234E-3</v>
      </c>
      <c r="O78" s="343">
        <f t="shared" si="43"/>
        <v>1.0000026758917606</v>
      </c>
      <c r="P78" s="691">
        <f t="shared" si="44"/>
        <v>2.3133896315555083E-3</v>
      </c>
      <c r="Q78" s="336">
        <f t="shared" si="29"/>
        <v>4.156596697241322</v>
      </c>
      <c r="R78" s="692">
        <f t="shared" si="45"/>
        <v>3.8803580788935956E-3</v>
      </c>
      <c r="S78" s="329">
        <f t="shared" si="46"/>
        <v>0.99999878245879392</v>
      </c>
      <c r="T78" s="330">
        <f t="shared" si="47"/>
        <v>2.295463231773509E-3</v>
      </c>
      <c r="U78" s="331">
        <f t="shared" si="48"/>
        <v>44.755894902144497</v>
      </c>
      <c r="V78" s="332">
        <f t="shared" si="49"/>
        <v>-101.33659577005082</v>
      </c>
      <c r="W78" s="334">
        <f t="shared" si="50"/>
        <v>78.66340422994918</v>
      </c>
      <c r="Y78" s="307">
        <f t="shared" si="51"/>
        <v>1000000000</v>
      </c>
      <c r="Z78" s="307">
        <f t="shared" si="52"/>
        <v>158491.57210000002</v>
      </c>
      <c r="AB78" s="333">
        <f t="shared" si="53"/>
        <v>41.808724696800105</v>
      </c>
      <c r="AC78" s="334">
        <f t="shared" si="54"/>
        <v>-87.187550902033848</v>
      </c>
      <c r="AE78" s="333">
        <f t="shared" si="55"/>
        <v>27.363104553267377</v>
      </c>
      <c r="AF78" s="334">
        <f t="shared" si="56"/>
        <v>-14.059264189251737</v>
      </c>
      <c r="AH78">
        <f t="shared" si="57"/>
        <v>0</v>
      </c>
      <c r="AI78">
        <f t="shared" si="58"/>
        <v>0</v>
      </c>
    </row>
    <row r="79" spans="1:35" x14ac:dyDescent="0.25">
      <c r="A79" s="335">
        <v>436.52</v>
      </c>
      <c r="B79" s="352">
        <f t="shared" si="59"/>
        <v>0.43651999999999996</v>
      </c>
      <c r="C79" s="325">
        <f t="shared" si="31"/>
        <v>1.03636015202128</v>
      </c>
      <c r="D79" s="326">
        <f t="shared" si="32"/>
        <v>0.26567487602526585</v>
      </c>
      <c r="E79" s="326">
        <f t="shared" si="33"/>
        <v>1.0000000163842249</v>
      </c>
      <c r="F79" s="327">
        <f t="shared" si="34"/>
        <v>1.8102057713504144E-4</v>
      </c>
      <c r="G79" s="326">
        <f t="shared" si="35"/>
        <v>1</v>
      </c>
      <c r="H79" s="327">
        <f t="shared" si="36"/>
        <v>0</v>
      </c>
      <c r="I79" s="325">
        <f t="shared" si="37"/>
        <v>684.64230766556955</v>
      </c>
      <c r="J79" s="328">
        <f t="shared" si="38"/>
        <v>1.5693357095581721</v>
      </c>
      <c r="K79" s="336">
        <f t="shared" si="39"/>
        <v>1.0014927429314053</v>
      </c>
      <c r="L79" s="337">
        <f t="shared" si="40"/>
        <v>5.4605647921328521E-2</v>
      </c>
      <c r="M79" s="325">
        <f t="shared" si="41"/>
        <v>1.0000032472440405</v>
      </c>
      <c r="N79" s="337">
        <f t="shared" si="42"/>
        <v>2.5484251032401846E-3</v>
      </c>
      <c r="O79" s="343">
        <f t="shared" si="43"/>
        <v>1.0000032171443269</v>
      </c>
      <c r="P79" s="691">
        <f t="shared" si="44"/>
        <v>2.536586565475619E-3</v>
      </c>
      <c r="Q79" s="336">
        <f t="shared" ref="Q79:Q142" si="60">IF(VOUT_setting=1,1,SQRT((1+Afbr-$Q$5*(A79)^2)^2+(A79*$Q$4)^2))</f>
        <v>4.1566029758200074</v>
      </c>
      <c r="R79" s="692">
        <f t="shared" si="45"/>
        <v>4.2547341433665717E-3</v>
      </c>
      <c r="S79" s="329">
        <f t="shared" si="46"/>
        <v>0.99999853618798951</v>
      </c>
      <c r="T79" s="330">
        <f t="shared" si="47"/>
        <v>2.5169325932343561E-3</v>
      </c>
      <c r="U79" s="331">
        <f t="shared" si="48"/>
        <v>43.907377096199838</v>
      </c>
      <c r="V79" s="332">
        <f t="shared" si="49"/>
        <v>-102.38798337673764</v>
      </c>
      <c r="W79" s="334">
        <f t="shared" si="50"/>
        <v>77.612016623262363</v>
      </c>
      <c r="Y79" s="307">
        <f t="shared" si="51"/>
        <v>1000000000</v>
      </c>
      <c r="Z79" s="307">
        <f t="shared" si="52"/>
        <v>190549.71039999998</v>
      </c>
      <c r="AB79" s="333">
        <f t="shared" si="53"/>
        <v>41.010877668513558</v>
      </c>
      <c r="AC79" s="334">
        <f t="shared" si="54"/>
        <v>-86.93365373553921</v>
      </c>
      <c r="AE79" s="333">
        <f t="shared" si="55"/>
        <v>27.312442194471735</v>
      </c>
      <c r="AF79" s="334">
        <f t="shared" si="56"/>
        <v>-15.355887036292158</v>
      </c>
      <c r="AH79">
        <f t="shared" si="57"/>
        <v>0</v>
      </c>
      <c r="AI79">
        <f t="shared" si="58"/>
        <v>0</v>
      </c>
    </row>
    <row r="80" spans="1:35" x14ac:dyDescent="0.25">
      <c r="A80" s="335">
        <v>478.63</v>
      </c>
      <c r="B80" s="352">
        <f t="shared" si="59"/>
        <v>0.47863</v>
      </c>
      <c r="C80" s="325">
        <f t="shared" si="31"/>
        <v>1.0435596617133029</v>
      </c>
      <c r="D80" s="326">
        <f t="shared" si="32"/>
        <v>0.28994857127520784</v>
      </c>
      <c r="E80" s="326">
        <f t="shared" si="33"/>
        <v>1.0000000196977872</v>
      </c>
      <c r="F80" s="327">
        <f t="shared" si="34"/>
        <v>1.9848318208272103E-4</v>
      </c>
      <c r="G80" s="326">
        <f t="shared" si="35"/>
        <v>1</v>
      </c>
      <c r="H80" s="327">
        <f t="shared" si="36"/>
        <v>0</v>
      </c>
      <c r="I80" s="325">
        <f t="shared" si="37"/>
        <v>750.68791559854958</v>
      </c>
      <c r="J80" s="328">
        <f t="shared" si="38"/>
        <v>1.569464214907953</v>
      </c>
      <c r="K80" s="336">
        <f t="shared" si="39"/>
        <v>1.0017943663646836</v>
      </c>
      <c r="L80" s="337">
        <f t="shared" si="40"/>
        <v>5.9861295360458561E-2</v>
      </c>
      <c r="M80" s="325">
        <f t="shared" si="41"/>
        <v>1.0000039039686834</v>
      </c>
      <c r="N80" s="337">
        <f t="shared" si="42"/>
        <v>2.7942641187977475E-3</v>
      </c>
      <c r="O80" s="343">
        <f t="shared" si="43"/>
        <v>1.0000038677815972</v>
      </c>
      <c r="P80" s="691">
        <f t="shared" si="44"/>
        <v>2.7812835636744212E-3</v>
      </c>
      <c r="Q80" s="336">
        <f t="shared" si="60"/>
        <v>4.1566105232630886</v>
      </c>
      <c r="R80" s="692">
        <f t="shared" si="45"/>
        <v>4.6651721523008937E-3</v>
      </c>
      <c r="S80" s="329">
        <f t="shared" si="46"/>
        <v>0.99999824014751226</v>
      </c>
      <c r="T80" s="330">
        <f t="shared" si="47"/>
        <v>2.7597362342448991E-3</v>
      </c>
      <c r="U80" s="331">
        <f t="shared" si="48"/>
        <v>43.049934060153845</v>
      </c>
      <c r="V80" s="332">
        <f t="shared" si="49"/>
        <v>-103.52149295511369</v>
      </c>
      <c r="W80" s="334">
        <f t="shared" si="50"/>
        <v>76.478507044886314</v>
      </c>
      <c r="Y80" s="307">
        <f t="shared" si="51"/>
        <v>1000000000</v>
      </c>
      <c r="Z80" s="307">
        <f t="shared" si="52"/>
        <v>229086.67689999999</v>
      </c>
      <c r="AB80" s="333">
        <f t="shared" si="53"/>
        <v>40.213573697975647</v>
      </c>
      <c r="AC80" s="334">
        <f t="shared" si="54"/>
        <v>-86.653975670567149</v>
      </c>
      <c r="AE80" s="333">
        <f t="shared" si="55"/>
        <v>27.252313249200569</v>
      </c>
      <c r="AF80" s="334">
        <f t="shared" si="56"/>
        <v>-16.759578419222048</v>
      </c>
      <c r="AH80">
        <f t="shared" si="57"/>
        <v>0</v>
      </c>
      <c r="AI80">
        <f t="shared" si="58"/>
        <v>0</v>
      </c>
    </row>
    <row r="81" spans="1:35" x14ac:dyDescent="0.25">
      <c r="A81" s="335">
        <v>524.80999999999995</v>
      </c>
      <c r="B81" s="352">
        <f t="shared" si="59"/>
        <v>0.52481</v>
      </c>
      <c r="C81" s="325">
        <f t="shared" si="31"/>
        <v>1.0521514961478471</v>
      </c>
      <c r="D81" s="326">
        <f t="shared" si="32"/>
        <v>0.31616926198049511</v>
      </c>
      <c r="E81" s="326">
        <f t="shared" si="33"/>
        <v>1.0000000236821871</v>
      </c>
      <c r="F81" s="327">
        <f t="shared" si="34"/>
        <v>2.1763357606531192E-4</v>
      </c>
      <c r="G81" s="326">
        <f t="shared" si="35"/>
        <v>1</v>
      </c>
      <c r="H81" s="327">
        <f t="shared" si="36"/>
        <v>0</v>
      </c>
      <c r="I81" s="325">
        <f t="shared" si="37"/>
        <v>823.11695082822519</v>
      </c>
      <c r="J81" s="328">
        <f t="shared" si="38"/>
        <v>1.5695814323075596</v>
      </c>
      <c r="K81" s="336">
        <f t="shared" si="39"/>
        <v>1.002156933908696</v>
      </c>
      <c r="L81" s="337">
        <f t="shared" si="40"/>
        <v>6.5621095103698845E-2</v>
      </c>
      <c r="M81" s="325">
        <f t="shared" si="41"/>
        <v>1.0000046936480882</v>
      </c>
      <c r="N81" s="337">
        <f t="shared" si="42"/>
        <v>3.0638634857152562E-3</v>
      </c>
      <c r="O81" s="343">
        <f t="shared" si="43"/>
        <v>1.0000046501412374</v>
      </c>
      <c r="P81" s="691">
        <f t="shared" si="44"/>
        <v>3.0496305407992988E-3</v>
      </c>
      <c r="Q81" s="336">
        <f t="shared" si="60"/>
        <v>4.1566195986842942</v>
      </c>
      <c r="R81" s="692">
        <f t="shared" si="45"/>
        <v>5.1152778722701065E-3</v>
      </c>
      <c r="S81" s="329">
        <f t="shared" si="46"/>
        <v>0.99999788417404234</v>
      </c>
      <c r="T81" s="330">
        <f t="shared" si="47"/>
        <v>3.0260076897492038E-3</v>
      </c>
      <c r="U81" s="331">
        <f t="shared" si="48"/>
        <v>42.18179888227084</v>
      </c>
      <c r="V81" s="332">
        <f t="shared" si="49"/>
        <v>-104.74055162458464</v>
      </c>
      <c r="W81" s="334">
        <f t="shared" si="50"/>
        <v>75.25944837541536</v>
      </c>
      <c r="Y81" s="307">
        <f t="shared" si="51"/>
        <v>1000000000</v>
      </c>
      <c r="Z81" s="307">
        <f t="shared" si="52"/>
        <v>275425.53609999997</v>
      </c>
      <c r="AB81" s="333">
        <f t="shared" si="53"/>
        <v>39.416667437995756</v>
      </c>
      <c r="AC81" s="334">
        <f t="shared" si="54"/>
        <v>-86.346126422253903</v>
      </c>
      <c r="AE81" s="333">
        <f t="shared" si="55"/>
        <v>27.181096500332256</v>
      </c>
      <c r="AF81" s="334">
        <f t="shared" si="56"/>
        <v>-18.276072328139747</v>
      </c>
      <c r="AH81">
        <f t="shared" si="57"/>
        <v>0</v>
      </c>
      <c r="AI81">
        <f t="shared" si="58"/>
        <v>0</v>
      </c>
    </row>
    <row r="82" spans="1:35" x14ac:dyDescent="0.25">
      <c r="A82" s="335">
        <v>575.44000000000005</v>
      </c>
      <c r="B82" s="352">
        <f t="shared" si="59"/>
        <v>0.57544000000000006</v>
      </c>
      <c r="C82" s="325">
        <f t="shared" si="31"/>
        <v>1.0623880899877751</v>
      </c>
      <c r="D82" s="326">
        <f t="shared" si="32"/>
        <v>0.34440766748649904</v>
      </c>
      <c r="E82" s="326">
        <f t="shared" si="33"/>
        <v>1.0000000284719819</v>
      </c>
      <c r="F82" s="327">
        <f t="shared" si="34"/>
        <v>2.3862934130661185E-4</v>
      </c>
      <c r="G82" s="326">
        <f t="shared" si="35"/>
        <v>1</v>
      </c>
      <c r="H82" s="327">
        <f t="shared" si="36"/>
        <v>0</v>
      </c>
      <c r="I82" s="325">
        <f t="shared" si="37"/>
        <v>902.52540801523526</v>
      </c>
      <c r="J82" s="328">
        <f t="shared" si="38"/>
        <v>1.5696883245206885</v>
      </c>
      <c r="K82" s="336">
        <f t="shared" si="39"/>
        <v>1.0025926162220391</v>
      </c>
      <c r="L82" s="337">
        <f t="shared" si="40"/>
        <v>7.1930900231340508E-2</v>
      </c>
      <c r="M82" s="325">
        <f t="shared" si="41"/>
        <v>1.0000056429500985</v>
      </c>
      <c r="N82" s="337">
        <f t="shared" si="42"/>
        <v>3.3594414901282807E-3</v>
      </c>
      <c r="O82" s="343">
        <f t="shared" si="43"/>
        <v>1.0000055906439036</v>
      </c>
      <c r="P82" s="691">
        <f t="shared" si="44"/>
        <v>3.3438354796774517E-3</v>
      </c>
      <c r="Q82" s="336">
        <f t="shared" si="60"/>
        <v>4.1566305085577531</v>
      </c>
      <c r="R82" s="692">
        <f t="shared" si="45"/>
        <v>5.6087543476151594E-3</v>
      </c>
      <c r="S82" s="329">
        <f t="shared" si="46"/>
        <v>0.99999745624667169</v>
      </c>
      <c r="T82" s="330">
        <f t="shared" si="47"/>
        <v>3.3179382016541854E-3</v>
      </c>
      <c r="U82" s="331">
        <f t="shared" si="48"/>
        <v>41.301498931143428</v>
      </c>
      <c r="V82" s="332">
        <f t="shared" si="49"/>
        <v>-106.04696855875534</v>
      </c>
      <c r="W82" s="334">
        <f t="shared" si="50"/>
        <v>73.953031441244661</v>
      </c>
      <c r="Y82" s="307">
        <f t="shared" si="51"/>
        <v>1000000000</v>
      </c>
      <c r="Z82" s="307">
        <f t="shared" si="52"/>
        <v>331131.19360000006</v>
      </c>
      <c r="AB82" s="333">
        <f t="shared" si="53"/>
        <v>38.620476682353733</v>
      </c>
      <c r="AC82" s="334">
        <f t="shared" si="54"/>
        <v>-86.007661063348152</v>
      </c>
      <c r="AE82" s="333">
        <f t="shared" si="55"/>
        <v>27.097001933598403</v>
      </c>
      <c r="AF82" s="334">
        <f t="shared" si="56"/>
        <v>-19.909537203186538</v>
      </c>
      <c r="AH82">
        <f t="shared" si="57"/>
        <v>0</v>
      </c>
      <c r="AI82">
        <f t="shared" si="58"/>
        <v>0</v>
      </c>
    </row>
    <row r="83" spans="1:35" x14ac:dyDescent="0.25">
      <c r="A83" s="335">
        <v>630.96</v>
      </c>
      <c r="B83" s="352">
        <f t="shared" si="59"/>
        <v>0.63096000000000008</v>
      </c>
      <c r="C83" s="325">
        <f t="shared" si="31"/>
        <v>1.0745672497483429</v>
      </c>
      <c r="D83" s="326">
        <f t="shared" si="32"/>
        <v>0.37472808678365183</v>
      </c>
      <c r="E83" s="326">
        <f t="shared" si="33"/>
        <v>1.0000000342311319</v>
      </c>
      <c r="F83" s="327">
        <f t="shared" si="34"/>
        <v>2.6165294142349051E-4</v>
      </c>
      <c r="G83" s="326">
        <f t="shared" si="35"/>
        <v>1</v>
      </c>
      <c r="H83" s="327">
        <f t="shared" si="36"/>
        <v>0</v>
      </c>
      <c r="I83" s="325">
        <f t="shared" si="37"/>
        <v>989.60338633309084</v>
      </c>
      <c r="J83" s="328">
        <f t="shared" si="38"/>
        <v>1.5697858207841073</v>
      </c>
      <c r="K83" s="336">
        <f t="shared" si="39"/>
        <v>1.0031162210567774</v>
      </c>
      <c r="L83" s="337">
        <f t="shared" si="40"/>
        <v>7.8843517884142372E-2</v>
      </c>
      <c r="M83" s="325">
        <f t="shared" si="41"/>
        <v>1.0000067843699667</v>
      </c>
      <c r="N83" s="337">
        <f t="shared" si="42"/>
        <v>3.6835666440658125E-3</v>
      </c>
      <c r="O83" s="343">
        <f t="shared" si="43"/>
        <v>1.0000067214836448</v>
      </c>
      <c r="P83" s="691">
        <f t="shared" si="44"/>
        <v>3.6664549626048686E-3</v>
      </c>
      <c r="Q83" s="336">
        <f t="shared" si="60"/>
        <v>4.1566436263255646</v>
      </c>
      <c r="R83" s="692">
        <f t="shared" si="45"/>
        <v>6.1498891768439262E-3</v>
      </c>
      <c r="S83" s="329">
        <f t="shared" si="46"/>
        <v>0.99999694171785536</v>
      </c>
      <c r="T83" s="330">
        <f t="shared" si="47"/>
        <v>3.6380650317025163E-3</v>
      </c>
      <c r="U83" s="331">
        <f t="shared" si="48"/>
        <v>40.406968126027571</v>
      </c>
      <c r="V83" s="332">
        <f t="shared" si="49"/>
        <v>-107.44183669827342</v>
      </c>
      <c r="W83" s="334">
        <f t="shared" si="50"/>
        <v>72.55816330172658</v>
      </c>
      <c r="Y83" s="307">
        <f t="shared" si="51"/>
        <v>1000000000</v>
      </c>
      <c r="Z83" s="307">
        <f t="shared" si="52"/>
        <v>398110.52160000004</v>
      </c>
      <c r="AB83" s="333">
        <f t="shared" si="53"/>
        <v>37.824967083724943</v>
      </c>
      <c r="AC83" s="334">
        <f t="shared" si="54"/>
        <v>-85.635754373796829</v>
      </c>
      <c r="AE83" s="333">
        <f t="shared" si="55"/>
        <v>26.997998316280892</v>
      </c>
      <c r="AF83" s="334">
        <f t="shared" si="56"/>
        <v>-21.663792025139713</v>
      </c>
      <c r="AH83">
        <f t="shared" si="57"/>
        <v>0</v>
      </c>
      <c r="AI83">
        <f t="shared" si="58"/>
        <v>0</v>
      </c>
    </row>
    <row r="84" spans="1:35" x14ac:dyDescent="0.25">
      <c r="A84" s="335">
        <v>691.83</v>
      </c>
      <c r="B84" s="352">
        <f t="shared" si="59"/>
        <v>0.69183000000000006</v>
      </c>
      <c r="C84" s="325">
        <f t="shared" si="31"/>
        <v>1.0890279784125068</v>
      </c>
      <c r="D84" s="326">
        <f t="shared" si="32"/>
        <v>0.40715777579444212</v>
      </c>
      <c r="E84" s="326">
        <f t="shared" si="33"/>
        <v>1.0000000411544103</v>
      </c>
      <c r="F84" s="327">
        <f t="shared" si="34"/>
        <v>2.8689513381120068E-4</v>
      </c>
      <c r="G84" s="326">
        <f t="shared" si="35"/>
        <v>1</v>
      </c>
      <c r="H84" s="327">
        <f t="shared" si="36"/>
        <v>0</v>
      </c>
      <c r="I84" s="325">
        <f t="shared" si="37"/>
        <v>1085.072353181273</v>
      </c>
      <c r="J84" s="328">
        <f t="shared" si="38"/>
        <v>1.5698747291349571</v>
      </c>
      <c r="K84" s="336">
        <f t="shared" si="39"/>
        <v>1.003745303475799</v>
      </c>
      <c r="L84" s="337">
        <f t="shared" si="40"/>
        <v>8.6413555633018641E-2</v>
      </c>
      <c r="M84" s="325">
        <f t="shared" si="41"/>
        <v>1.0000081565095753</v>
      </c>
      <c r="N84" s="337">
        <f t="shared" si="42"/>
        <v>4.0389241476518649E-3</v>
      </c>
      <c r="O84" s="343">
        <f t="shared" si="43"/>
        <v>1.0000080809045389</v>
      </c>
      <c r="P84" s="691">
        <f t="shared" si="44"/>
        <v>4.0201617185782468E-3</v>
      </c>
      <c r="Q84" s="336">
        <f t="shared" si="60"/>
        <v>4.1566593956050122</v>
      </c>
      <c r="R84" s="692">
        <f t="shared" si="45"/>
        <v>6.7431645622169686E-3</v>
      </c>
      <c r="S84" s="329">
        <f t="shared" si="46"/>
        <v>0.99999632318766196</v>
      </c>
      <c r="T84" s="330">
        <f t="shared" si="47"/>
        <v>3.9890408435091411E-3</v>
      </c>
      <c r="U84" s="331">
        <f t="shared" si="48"/>
        <v>39.496326701648734</v>
      </c>
      <c r="V84" s="332">
        <f t="shared" si="49"/>
        <v>-108.92403378888933</v>
      </c>
      <c r="W84" s="334">
        <f t="shared" si="50"/>
        <v>71.075966211110668</v>
      </c>
      <c r="Y84" s="307">
        <f t="shared" si="51"/>
        <v>1000000000</v>
      </c>
      <c r="Z84" s="307">
        <f t="shared" si="52"/>
        <v>478628.74890000006</v>
      </c>
      <c r="AB84" s="333">
        <f t="shared" si="53"/>
        <v>37.030450116350302</v>
      </c>
      <c r="AC84" s="334">
        <f t="shared" si="54"/>
        <v>-85.227477718005943</v>
      </c>
      <c r="AE84" s="333">
        <f t="shared" si="55"/>
        <v>26.88189500364205</v>
      </c>
      <c r="AF84" s="334">
        <f t="shared" si="56"/>
        <v>-23.540539500162506</v>
      </c>
      <c r="AH84">
        <f t="shared" si="57"/>
        <v>0</v>
      </c>
      <c r="AI84">
        <f t="shared" si="58"/>
        <v>0</v>
      </c>
    </row>
    <row r="85" spans="1:35" x14ac:dyDescent="0.25">
      <c r="A85" s="335">
        <v>758.58</v>
      </c>
      <c r="B85" s="352">
        <f t="shared" si="59"/>
        <v>0.75858000000000003</v>
      </c>
      <c r="C85" s="325">
        <f t="shared" si="31"/>
        <v>1.1061652346920179</v>
      </c>
      <c r="D85" s="326">
        <f t="shared" si="32"/>
        <v>0.44170511581655297</v>
      </c>
      <c r="E85" s="326">
        <f t="shared" si="33"/>
        <v>1.0000000494789387</v>
      </c>
      <c r="F85" s="327">
        <f t="shared" si="34"/>
        <v>3.1457570414510273E-4</v>
      </c>
      <c r="G85" s="326">
        <f t="shared" si="35"/>
        <v>1</v>
      </c>
      <c r="H85" s="327">
        <f t="shared" si="36"/>
        <v>0</v>
      </c>
      <c r="I85" s="325">
        <f t="shared" si="37"/>
        <v>1189.7635645550793</v>
      </c>
      <c r="J85" s="328">
        <f t="shared" si="38"/>
        <v>1.5699558235659086</v>
      </c>
      <c r="K85" s="336">
        <f t="shared" si="39"/>
        <v>1.00450118858246</v>
      </c>
      <c r="L85" s="337">
        <f t="shared" si="40"/>
        <v>9.470342406868254E-2</v>
      </c>
      <c r="M85" s="325">
        <f t="shared" si="41"/>
        <v>1.0000098063635046</v>
      </c>
      <c r="N85" s="337">
        <f t="shared" si="42"/>
        <v>4.4286077649370106E-3</v>
      </c>
      <c r="O85" s="343">
        <f t="shared" si="43"/>
        <v>1.0000097154655712</v>
      </c>
      <c r="P85" s="691">
        <f t="shared" si="44"/>
        <v>4.4080351434824683E-3</v>
      </c>
      <c r="Q85" s="336">
        <f t="shared" si="60"/>
        <v>4.1566783564586469</v>
      </c>
      <c r="R85" s="692">
        <f t="shared" si="45"/>
        <v>7.3937445344022983E-3</v>
      </c>
      <c r="S85" s="329">
        <f t="shared" si="46"/>
        <v>0.99999557947343443</v>
      </c>
      <c r="T85" s="330">
        <f t="shared" si="47"/>
        <v>4.3739220283766107E-3</v>
      </c>
      <c r="U85" s="331">
        <f t="shared" si="48"/>
        <v>38.567173366728895</v>
      </c>
      <c r="V85" s="332">
        <f t="shared" si="49"/>
        <v>-110.49096775258117</v>
      </c>
      <c r="W85" s="334">
        <f t="shared" si="50"/>
        <v>69.50903224741883</v>
      </c>
      <c r="Y85" s="307">
        <f t="shared" si="51"/>
        <v>1000000000</v>
      </c>
      <c r="Z85" s="307">
        <f t="shared" si="52"/>
        <v>575443.61640000006</v>
      </c>
      <c r="AB85" s="333">
        <f t="shared" si="53"/>
        <v>36.236935025131494</v>
      </c>
      <c r="AC85" s="334">
        <f t="shared" si="54"/>
        <v>-84.779476838663115</v>
      </c>
      <c r="AE85" s="333">
        <f t="shared" si="55"/>
        <v>26.74628218357201</v>
      </c>
      <c r="AF85" s="334">
        <f t="shared" si="56"/>
        <v>-25.540422366770304</v>
      </c>
      <c r="AH85">
        <f t="shared" si="57"/>
        <v>0</v>
      </c>
      <c r="AI85">
        <f t="shared" si="58"/>
        <v>0</v>
      </c>
    </row>
    <row r="86" spans="1:35" x14ac:dyDescent="0.25">
      <c r="A86" s="335">
        <v>831.76</v>
      </c>
      <c r="B86" s="352">
        <f t="shared" si="59"/>
        <v>0.83175999999999994</v>
      </c>
      <c r="C86" s="325">
        <f t="shared" si="31"/>
        <v>1.1264208833254075</v>
      </c>
      <c r="D86" s="326">
        <f t="shared" si="32"/>
        <v>0.47832397119567965</v>
      </c>
      <c r="E86" s="326">
        <f t="shared" si="33"/>
        <v>1.0000000594858485</v>
      </c>
      <c r="F86" s="327">
        <f t="shared" si="34"/>
        <v>3.4492273185976718E-4</v>
      </c>
      <c r="G86" s="326">
        <f t="shared" si="35"/>
        <v>1</v>
      </c>
      <c r="H86" s="327">
        <f t="shared" si="36"/>
        <v>0</v>
      </c>
      <c r="I86" s="325">
        <f t="shared" si="37"/>
        <v>1304.5396446678196</v>
      </c>
      <c r="J86" s="328">
        <f t="shared" si="38"/>
        <v>1.570029772783279</v>
      </c>
      <c r="K86" s="336">
        <f t="shared" si="39"/>
        <v>1.0054090853449666</v>
      </c>
      <c r="L86" s="337">
        <f t="shared" si="40"/>
        <v>0.10377683287904152</v>
      </c>
      <c r="M86" s="325">
        <f t="shared" si="41"/>
        <v>1.0000117896480996</v>
      </c>
      <c r="N86" s="337">
        <f t="shared" si="42"/>
        <v>4.8558278945775371E-3</v>
      </c>
      <c r="O86" s="343">
        <f t="shared" si="43"/>
        <v>1.0000116803666523</v>
      </c>
      <c r="P86" s="691">
        <f t="shared" si="44"/>
        <v>4.8332707271557512E-3</v>
      </c>
      <c r="Q86" s="336">
        <f t="shared" si="60"/>
        <v>4.1567011491724228</v>
      </c>
      <c r="R86" s="692">
        <f t="shared" si="45"/>
        <v>8.1069874819552946E-3</v>
      </c>
      <c r="S86" s="329">
        <f t="shared" si="46"/>
        <v>0.99999468546170378</v>
      </c>
      <c r="T86" s="330">
        <f t="shared" si="47"/>
        <v>4.7958804409731102E-3</v>
      </c>
      <c r="U86" s="331">
        <f t="shared" si="48"/>
        <v>37.617434334238467</v>
      </c>
      <c r="V86" s="332">
        <f t="shared" si="49"/>
        <v>-112.13685976204245</v>
      </c>
      <c r="W86" s="334">
        <f t="shared" si="50"/>
        <v>67.863140237957552</v>
      </c>
      <c r="Y86" s="307">
        <f t="shared" si="51"/>
        <v>1000000000</v>
      </c>
      <c r="Z86" s="307">
        <f t="shared" si="52"/>
        <v>691824.69759999996</v>
      </c>
      <c r="AB86" s="333">
        <f t="shared" si="53"/>
        <v>35.44483247061558</v>
      </c>
      <c r="AC86" s="334">
        <f t="shared" si="54"/>
        <v>-84.288323695876571</v>
      </c>
      <c r="AE86" s="333">
        <f t="shared" si="55"/>
        <v>26.588676266908678</v>
      </c>
      <c r="AF86" s="334">
        <f t="shared" si="56"/>
        <v>-27.660965912580274</v>
      </c>
      <c r="AH86">
        <f t="shared" si="57"/>
        <v>0</v>
      </c>
      <c r="AI86">
        <f t="shared" si="58"/>
        <v>0</v>
      </c>
    </row>
    <row r="87" spans="1:35" x14ac:dyDescent="0.25">
      <c r="A87" s="335">
        <v>912.01</v>
      </c>
      <c r="B87" s="352">
        <f t="shared" si="59"/>
        <v>0.91200999999999999</v>
      </c>
      <c r="C87" s="325">
        <f t="shared" si="31"/>
        <v>1.1503042544635667</v>
      </c>
      <c r="D87" s="326">
        <f t="shared" si="32"/>
        <v>0.51694070700499939</v>
      </c>
      <c r="E87" s="326">
        <f t="shared" si="33"/>
        <v>1.0000000715182362</v>
      </c>
      <c r="F87" s="327">
        <f t="shared" si="34"/>
        <v>3.7820161844768959E-4</v>
      </c>
      <c r="G87" s="326">
        <f t="shared" si="35"/>
        <v>1</v>
      </c>
      <c r="H87" s="327">
        <f t="shared" si="36"/>
        <v>0</v>
      </c>
      <c r="I87" s="325">
        <f t="shared" si="37"/>
        <v>1430.4043744878488</v>
      </c>
      <c r="J87" s="328">
        <f t="shared" si="38"/>
        <v>1.5700972237305513</v>
      </c>
      <c r="K87" s="336">
        <f t="shared" si="39"/>
        <v>1.006499663297812</v>
      </c>
      <c r="L87" s="337">
        <f t="shared" si="40"/>
        <v>0.11370710419356304</v>
      </c>
      <c r="M87" s="325">
        <f t="shared" si="41"/>
        <v>1.0000141743601449</v>
      </c>
      <c r="N87" s="337">
        <f t="shared" si="42"/>
        <v>5.3243201856789371E-3</v>
      </c>
      <c r="O87" s="343">
        <f t="shared" si="43"/>
        <v>1.0000140429743098</v>
      </c>
      <c r="P87" s="691">
        <f t="shared" si="44"/>
        <v>5.2995867714745876E-3</v>
      </c>
      <c r="Q87" s="336">
        <f t="shared" si="60"/>
        <v>4.1567285551482192</v>
      </c>
      <c r="R87" s="692">
        <f t="shared" si="45"/>
        <v>8.8891282184083136E-3</v>
      </c>
      <c r="S87" s="329">
        <f t="shared" si="46"/>
        <v>0.99999361050438706</v>
      </c>
      <c r="T87" s="330">
        <f t="shared" si="47"/>
        <v>5.2586070673407417E-3</v>
      </c>
      <c r="U87" s="331">
        <f t="shared" si="48"/>
        <v>36.644531278294401</v>
      </c>
      <c r="V87" s="332">
        <f t="shared" si="49"/>
        <v>-113.85388135926173</v>
      </c>
      <c r="W87" s="334">
        <f t="shared" si="50"/>
        <v>66.146118640738266</v>
      </c>
      <c r="Y87" s="307">
        <f t="shared" si="51"/>
        <v>1000000000</v>
      </c>
      <c r="Z87" s="307">
        <f t="shared" si="52"/>
        <v>831762.24009999994</v>
      </c>
      <c r="AB87" s="333">
        <f t="shared" si="53"/>
        <v>34.654197370978544</v>
      </c>
      <c r="AC87" s="334">
        <f t="shared" si="54"/>
        <v>-83.750068345136995</v>
      </c>
      <c r="AE87" s="333">
        <f t="shared" si="55"/>
        <v>26.406445057163776</v>
      </c>
      <c r="AF87" s="334">
        <f t="shared" si="56"/>
        <v>-29.898147438593167</v>
      </c>
      <c r="AH87">
        <f t="shared" si="57"/>
        <v>0</v>
      </c>
      <c r="AI87">
        <f t="shared" si="58"/>
        <v>0</v>
      </c>
    </row>
    <row r="88" spans="1:35" x14ac:dyDescent="0.25">
      <c r="A88" s="335">
        <v>1000</v>
      </c>
      <c r="B88" s="352">
        <f t="shared" si="59"/>
        <v>1</v>
      </c>
      <c r="C88" s="325">
        <f t="shared" si="31"/>
        <v>1.1783770337331514</v>
      </c>
      <c r="D88" s="326">
        <f t="shared" si="32"/>
        <v>0.55741608405167353</v>
      </c>
      <c r="E88" s="326">
        <f t="shared" si="33"/>
        <v>1.0000000859839897</v>
      </c>
      <c r="F88" s="327">
        <f t="shared" si="34"/>
        <v>4.1469020602885452E-4</v>
      </c>
      <c r="G88" s="326">
        <f t="shared" si="35"/>
        <v>1</v>
      </c>
      <c r="H88" s="327">
        <f t="shared" si="36"/>
        <v>0</v>
      </c>
      <c r="I88" s="325">
        <f t="shared" si="37"/>
        <v>1568.4085872743563</v>
      </c>
      <c r="J88" s="328">
        <f t="shared" si="38"/>
        <v>1.5701587377917077</v>
      </c>
      <c r="K88" s="336">
        <f t="shared" si="39"/>
        <v>1.0078092316061691</v>
      </c>
      <c r="L88" s="337">
        <f t="shared" si="40"/>
        <v>0.12456924095943578</v>
      </c>
      <c r="M88" s="325">
        <f t="shared" si="41"/>
        <v>1.0000170413360248</v>
      </c>
      <c r="N88" s="337">
        <f t="shared" si="42"/>
        <v>5.8379952076623122E-3</v>
      </c>
      <c r="O88" s="343">
        <f t="shared" si="43"/>
        <v>1.0000168833756682</v>
      </c>
      <c r="P88" s="691">
        <f t="shared" si="44"/>
        <v>5.810875688090673E-3</v>
      </c>
      <c r="Q88" s="336">
        <f t="shared" si="60"/>
        <v>4.1567615033222625</v>
      </c>
      <c r="R88" s="692">
        <f t="shared" si="45"/>
        <v>9.7466929489601895E-3</v>
      </c>
      <c r="S88" s="329">
        <f t="shared" si="46"/>
        <v>0.9999923181672572</v>
      </c>
      <c r="T88" s="330">
        <f t="shared" si="47"/>
        <v>5.7659661248982298E-3</v>
      </c>
      <c r="U88" s="331">
        <f t="shared" si="48"/>
        <v>35.646329007190921</v>
      </c>
      <c r="V88" s="332">
        <f t="shared" si="49"/>
        <v>-115.63036998728727</v>
      </c>
      <c r="W88" s="334">
        <f t="shared" si="50"/>
        <v>64.369630012712733</v>
      </c>
      <c r="Y88" s="307">
        <f t="shared" si="51"/>
        <v>1000000000</v>
      </c>
      <c r="Z88" s="307">
        <f t="shared" si="52"/>
        <v>1000000</v>
      </c>
      <c r="AB88" s="333">
        <f t="shared" si="53"/>
        <v>33.86545879761659</v>
      </c>
      <c r="AC88" s="334">
        <f t="shared" si="54"/>
        <v>-83.160669658171045</v>
      </c>
      <c r="AE88" s="333">
        <f t="shared" si="55"/>
        <v>26.197025536540597</v>
      </c>
      <c r="AF88" s="334">
        <f t="shared" si="56"/>
        <v>-32.244194610876022</v>
      </c>
      <c r="AH88">
        <f t="shared" si="57"/>
        <v>0</v>
      </c>
      <c r="AI88">
        <f t="shared" si="58"/>
        <v>0</v>
      </c>
    </row>
    <row r="89" spans="1:35" x14ac:dyDescent="0.25">
      <c r="A89" s="335">
        <v>1096.5</v>
      </c>
      <c r="B89" s="352">
        <f t="shared" si="59"/>
        <v>1.0965</v>
      </c>
      <c r="C89" s="325">
        <f t="shared" si="31"/>
        <v>1.2112742864295227</v>
      </c>
      <c r="D89" s="326">
        <f t="shared" si="32"/>
        <v>0.59957264583977921</v>
      </c>
      <c r="E89" s="326">
        <f t="shared" si="33"/>
        <v>1.0000001033796031</v>
      </c>
      <c r="F89" s="327">
        <f t="shared" si="34"/>
        <v>4.5470780563735847E-4</v>
      </c>
      <c r="G89" s="326">
        <f t="shared" si="35"/>
        <v>1</v>
      </c>
      <c r="H89" s="327">
        <f t="shared" si="36"/>
        <v>0</v>
      </c>
      <c r="I89" s="325">
        <f t="shared" si="37"/>
        <v>1719.7599571264234</v>
      </c>
      <c r="J89" s="328">
        <f t="shared" si="38"/>
        <v>1.5702148502625419</v>
      </c>
      <c r="K89" s="336">
        <f t="shared" si="39"/>
        <v>1.0093817868253738</v>
      </c>
      <c r="L89" s="337">
        <f t="shared" si="40"/>
        <v>0.13644794619142697</v>
      </c>
      <c r="M89" s="325">
        <f t="shared" si="41"/>
        <v>1.0000204889717401</v>
      </c>
      <c r="N89" s="337">
        <f t="shared" si="42"/>
        <v>6.4013470323788452E-3</v>
      </c>
      <c r="O89" s="343">
        <f t="shared" si="43"/>
        <v>1.0000202990547198</v>
      </c>
      <c r="P89" s="691">
        <f t="shared" si="44"/>
        <v>6.3716106832546185E-3</v>
      </c>
      <c r="Q89" s="336">
        <f t="shared" si="60"/>
        <v>4.156801124398088</v>
      </c>
      <c r="R89" s="692">
        <f t="shared" si="45"/>
        <v>1.0687181182571994E-2</v>
      </c>
      <c r="S89" s="329">
        <f t="shared" si="46"/>
        <v>0.99999076410305943</v>
      </c>
      <c r="T89" s="330">
        <f t="shared" si="47"/>
        <v>6.3223987692315221E-3</v>
      </c>
      <c r="U89" s="331">
        <f t="shared" si="48"/>
        <v>34.620465237847583</v>
      </c>
      <c r="V89" s="332">
        <f t="shared" si="49"/>
        <v>-117.45200273279006</v>
      </c>
      <c r="W89" s="334">
        <f t="shared" si="50"/>
        <v>62.547997267209936</v>
      </c>
      <c r="Y89" s="307">
        <f t="shared" si="51"/>
        <v>1000000000</v>
      </c>
      <c r="Z89" s="307">
        <f t="shared" si="52"/>
        <v>1202312.25</v>
      </c>
      <c r="AB89" s="333">
        <f t="shared" si="53"/>
        <v>33.078799067183816</v>
      </c>
      <c r="AC89" s="334">
        <f t="shared" si="54"/>
        <v>-82.515562671254941</v>
      </c>
      <c r="AE89" s="333">
        <f t="shared" si="55"/>
        <v>25.957874621020874</v>
      </c>
      <c r="AF89" s="334">
        <f t="shared" si="56"/>
        <v>-34.689176085450541</v>
      </c>
      <c r="AH89">
        <f t="shared" si="57"/>
        <v>0</v>
      </c>
      <c r="AI89">
        <f t="shared" si="58"/>
        <v>0</v>
      </c>
    </row>
    <row r="90" spans="1:35" x14ac:dyDescent="0.25">
      <c r="A90" s="335">
        <v>1202.3</v>
      </c>
      <c r="B90" s="352">
        <f t="shared" si="59"/>
        <v>1.2022999999999999</v>
      </c>
      <c r="C90" s="325">
        <f t="shared" si="31"/>
        <v>1.2496764700548044</v>
      </c>
      <c r="D90" s="326">
        <f t="shared" si="32"/>
        <v>0.64315584136223969</v>
      </c>
      <c r="E90" s="326">
        <f t="shared" si="33"/>
        <v>1.0000001242920291</v>
      </c>
      <c r="F90" s="327">
        <f t="shared" si="34"/>
        <v>4.9858202197535938E-4</v>
      </c>
      <c r="G90" s="326">
        <f t="shared" si="35"/>
        <v>1</v>
      </c>
      <c r="H90" s="327">
        <f t="shared" si="36"/>
        <v>0</v>
      </c>
      <c r="I90" s="325">
        <f t="shared" si="37"/>
        <v>1885.6975263472063</v>
      </c>
      <c r="J90" s="328">
        <f t="shared" si="38"/>
        <v>1.5702660190266045</v>
      </c>
      <c r="K90" s="336">
        <f t="shared" si="39"/>
        <v>1.0112690233665418</v>
      </c>
      <c r="L90" s="337">
        <f t="shared" si="40"/>
        <v>0.1494269412605311</v>
      </c>
      <c r="M90" s="325">
        <f t="shared" si="41"/>
        <v>1.0000246335886878</v>
      </c>
      <c r="N90" s="337">
        <f t="shared" si="42"/>
        <v>7.0189861120146897E-3</v>
      </c>
      <c r="O90" s="343">
        <f t="shared" si="43"/>
        <v>1.0000244052547229</v>
      </c>
      <c r="P90" s="691">
        <f t="shared" si="44"/>
        <v>6.9863808064263141E-3</v>
      </c>
      <c r="Q90" s="336">
        <f t="shared" si="60"/>
        <v>4.1568487550342592</v>
      </c>
      <c r="R90" s="692">
        <f t="shared" si="45"/>
        <v>1.1718285617526287E-2</v>
      </c>
      <c r="S90" s="329">
        <f t="shared" si="46"/>
        <v>0.99998889588771567</v>
      </c>
      <c r="T90" s="330">
        <f t="shared" si="47"/>
        <v>6.9324619116401002E-3</v>
      </c>
      <c r="U90" s="331">
        <f t="shared" si="48"/>
        <v>33.565420721994926</v>
      </c>
      <c r="V90" s="332">
        <f t="shared" si="49"/>
        <v>-119.30010855780317</v>
      </c>
      <c r="W90" s="334">
        <f t="shared" si="50"/>
        <v>60.699891442196829</v>
      </c>
      <c r="Y90" s="307">
        <f t="shared" si="51"/>
        <v>1000000000</v>
      </c>
      <c r="Z90" s="307">
        <f t="shared" si="52"/>
        <v>1445525.2899999998</v>
      </c>
      <c r="AB90" s="333">
        <f t="shared" si="53"/>
        <v>32.294903898882666</v>
      </c>
      <c r="AC90" s="334">
        <f t="shared" si="54"/>
        <v>-81.810240897417373</v>
      </c>
      <c r="AE90" s="333">
        <f t="shared" si="55"/>
        <v>25.68678913481746</v>
      </c>
      <c r="AF90" s="334">
        <f t="shared" si="56"/>
        <v>-37.218749485342343</v>
      </c>
      <c r="AH90">
        <f t="shared" si="57"/>
        <v>0</v>
      </c>
      <c r="AI90">
        <f t="shared" ref="AI90:AI153" si="61">IF(AH90&gt;0,W90,0)</f>
        <v>0</v>
      </c>
    </row>
    <row r="91" spans="1:35" x14ac:dyDescent="0.25">
      <c r="A91" s="335">
        <v>1318.3</v>
      </c>
      <c r="B91" s="352">
        <f t="shared" si="59"/>
        <v>1.3183</v>
      </c>
      <c r="C91" s="325">
        <f t="shared" si="31"/>
        <v>1.2943360530591208</v>
      </c>
      <c r="D91" s="326">
        <f t="shared" si="32"/>
        <v>0.6878750492637975</v>
      </c>
      <c r="E91" s="326">
        <f t="shared" si="33"/>
        <v>1.0000001494328512</v>
      </c>
      <c r="F91" s="327">
        <f t="shared" si="34"/>
        <v>5.4668607548343429E-4</v>
      </c>
      <c r="G91" s="326">
        <f t="shared" si="35"/>
        <v>1</v>
      </c>
      <c r="H91" s="327">
        <f t="shared" si="36"/>
        <v>0</v>
      </c>
      <c r="I91" s="325">
        <f t="shared" si="37"/>
        <v>2067.6328621594207</v>
      </c>
      <c r="J91" s="328">
        <f t="shared" si="38"/>
        <v>1.5703126819190163</v>
      </c>
      <c r="K91" s="336">
        <f t="shared" si="39"/>
        <v>1.013533198739978</v>
      </c>
      <c r="L91" s="337">
        <f t="shared" si="40"/>
        <v>0.1635990089844078</v>
      </c>
      <c r="M91" s="325">
        <f t="shared" si="41"/>
        <v>1.0000296162054145</v>
      </c>
      <c r="N91" s="337">
        <f t="shared" si="42"/>
        <v>7.6961645642517488E-3</v>
      </c>
      <c r="O91" s="343">
        <f t="shared" si="43"/>
        <v>1.0000293416871948</v>
      </c>
      <c r="P91" s="691">
        <f t="shared" si="44"/>
        <v>7.6604137965430794E-3</v>
      </c>
      <c r="Q91" s="336">
        <f t="shared" si="60"/>
        <v>4.1569060156439779</v>
      </c>
      <c r="R91" s="692">
        <f t="shared" si="45"/>
        <v>1.2848768726162838E-2</v>
      </c>
      <c r="S91" s="329">
        <f t="shared" si="46"/>
        <v>0.99998664996944275</v>
      </c>
      <c r="T91" s="330">
        <f t="shared" si="47"/>
        <v>7.6013473106346973E-3</v>
      </c>
      <c r="U91" s="331">
        <f t="shared" si="48"/>
        <v>32.479728879058214</v>
      </c>
      <c r="V91" s="332">
        <f t="shared" si="49"/>
        <v>-121.15352463882837</v>
      </c>
      <c r="W91" s="334">
        <f t="shared" si="50"/>
        <v>58.846475361171628</v>
      </c>
      <c r="Y91" s="307">
        <f t="shared" si="51"/>
        <v>1000000000</v>
      </c>
      <c r="Z91" s="307">
        <f t="shared" si="52"/>
        <v>1737914.89</v>
      </c>
      <c r="AB91" s="333">
        <f t="shared" si="53"/>
        <v>31.514258215654994</v>
      </c>
      <c r="AC91" s="334">
        <f t="shared" si="54"/>
        <v>-81.039714283070666</v>
      </c>
      <c r="AE91" s="333">
        <f t="shared" si="55"/>
        <v>25.381819746296546</v>
      </c>
      <c r="AF91" s="334">
        <f t="shared" si="56"/>
        <v>-39.816539515334924</v>
      </c>
      <c r="AH91">
        <f t="shared" si="57"/>
        <v>0</v>
      </c>
      <c r="AI91">
        <f t="shared" si="61"/>
        <v>0</v>
      </c>
    </row>
    <row r="92" spans="1:35" x14ac:dyDescent="0.25">
      <c r="A92" s="335">
        <v>1445.4</v>
      </c>
      <c r="B92" s="352">
        <f t="shared" si="59"/>
        <v>1.4454</v>
      </c>
      <c r="C92" s="325">
        <f t="shared" si="31"/>
        <v>1.3460305374079018</v>
      </c>
      <c r="D92" s="326">
        <f t="shared" si="32"/>
        <v>0.73336645805913037</v>
      </c>
      <c r="E92" s="326">
        <f t="shared" si="33"/>
        <v>1.0000001796361229</v>
      </c>
      <c r="F92" s="327">
        <f t="shared" si="34"/>
        <v>5.9939318637114187E-4</v>
      </c>
      <c r="G92" s="326">
        <f t="shared" si="35"/>
        <v>1</v>
      </c>
      <c r="H92" s="327">
        <f t="shared" si="36"/>
        <v>0</v>
      </c>
      <c r="I92" s="325">
        <f t="shared" si="37"/>
        <v>2266.9775318187635</v>
      </c>
      <c r="J92" s="328">
        <f t="shared" si="38"/>
        <v>1.5703552108074663</v>
      </c>
      <c r="K92" s="336">
        <f t="shared" si="39"/>
        <v>1.0162466265235786</v>
      </c>
      <c r="L92" s="337">
        <f t="shared" si="40"/>
        <v>0.17905123717086305</v>
      </c>
      <c r="M92" s="325">
        <f t="shared" si="41"/>
        <v>1.0000356021077657</v>
      </c>
      <c r="N92" s="337">
        <f t="shared" si="42"/>
        <v>8.4381338623401598E-3</v>
      </c>
      <c r="O92" s="343">
        <f t="shared" si="43"/>
        <v>1.0000352721060612</v>
      </c>
      <c r="P92" s="691">
        <f t="shared" si="44"/>
        <v>8.398936757048418E-3</v>
      </c>
      <c r="Q92" s="336">
        <f t="shared" si="60"/>
        <v>4.1569748054226201</v>
      </c>
      <c r="R92" s="692">
        <f t="shared" si="45"/>
        <v>1.4087390019350839E-2</v>
      </c>
      <c r="S92" s="329">
        <f t="shared" si="46"/>
        <v>0.99998395186472688</v>
      </c>
      <c r="T92" s="330">
        <f t="shared" si="47"/>
        <v>8.3342474656875384E-3</v>
      </c>
      <c r="U92" s="331">
        <f t="shared" si="48"/>
        <v>31.36319803871411</v>
      </c>
      <c r="V92" s="332">
        <f t="shared" si="49"/>
        <v>-122.98721705945698</v>
      </c>
      <c r="W92" s="334">
        <f t="shared" si="50"/>
        <v>57.012782940543019</v>
      </c>
      <c r="Y92" s="307">
        <f t="shared" si="51"/>
        <v>1000000000</v>
      </c>
      <c r="Z92" s="307">
        <f t="shared" si="52"/>
        <v>2089181.1600000001</v>
      </c>
      <c r="AB92" s="333">
        <f t="shared" si="53"/>
        <v>30.737953192579415</v>
      </c>
      <c r="AC92" s="334">
        <f t="shared" si="54"/>
        <v>-80.199315258077718</v>
      </c>
      <c r="AE92" s="333">
        <f t="shared" si="55"/>
        <v>25.041686155352757</v>
      </c>
      <c r="AF92" s="334">
        <f t="shared" si="56"/>
        <v>-42.461977437119479</v>
      </c>
      <c r="AH92">
        <f t="shared" si="57"/>
        <v>0</v>
      </c>
      <c r="AI92">
        <f t="shared" si="61"/>
        <v>0</v>
      </c>
    </row>
    <row r="93" spans="1:35" x14ac:dyDescent="0.25">
      <c r="A93" s="335">
        <v>1584.9</v>
      </c>
      <c r="B93" s="352">
        <f t="shared" si="59"/>
        <v>1.5849000000000002</v>
      </c>
      <c r="C93" s="325">
        <f t="shared" si="31"/>
        <v>1.405723375525832</v>
      </c>
      <c r="D93" s="326">
        <f t="shared" si="32"/>
        <v>0.7793400480050714</v>
      </c>
      <c r="E93" s="326">
        <f t="shared" si="33"/>
        <v>1.0000002159838584</v>
      </c>
      <c r="F93" s="327">
        <f t="shared" si="34"/>
        <v>6.5724245057418055E-4</v>
      </c>
      <c r="G93" s="326">
        <f t="shared" si="35"/>
        <v>1</v>
      </c>
      <c r="H93" s="327">
        <f t="shared" si="36"/>
        <v>0</v>
      </c>
      <c r="I93" s="325">
        <f t="shared" si="37"/>
        <v>2485.7704658585922</v>
      </c>
      <c r="J93" s="328">
        <f t="shared" si="38"/>
        <v>1.5703940370257052</v>
      </c>
      <c r="K93" s="336">
        <f t="shared" si="39"/>
        <v>1.0195024910670458</v>
      </c>
      <c r="L93" s="337">
        <f t="shared" si="40"/>
        <v>0.19591182653754735</v>
      </c>
      <c r="M93" s="325">
        <f t="shared" si="41"/>
        <v>1.000042805717035</v>
      </c>
      <c r="N93" s="337">
        <f t="shared" si="42"/>
        <v>9.2524796838052616E-3</v>
      </c>
      <c r="O93" s="343">
        <f t="shared" si="43"/>
        <v>1.000042408945325</v>
      </c>
      <c r="P93" s="691">
        <f t="shared" si="44"/>
        <v>9.2095001616366492E-3</v>
      </c>
      <c r="Q93" s="336">
        <f t="shared" si="60"/>
        <v>4.1570575880829939</v>
      </c>
      <c r="R93" s="692">
        <f t="shared" si="45"/>
        <v>1.5446803118270513E-2</v>
      </c>
      <c r="S93" s="329">
        <f t="shared" si="46"/>
        <v>0.9999807049524877</v>
      </c>
      <c r="T93" s="330">
        <f t="shared" si="47"/>
        <v>9.1386624054133753E-3</v>
      </c>
      <c r="U93" s="331">
        <f t="shared" si="48"/>
        <v>30.213661258107955</v>
      </c>
      <c r="V93" s="332">
        <f t="shared" si="49"/>
        <v>-124.77837411413964</v>
      </c>
      <c r="W93" s="334">
        <f t="shared" si="50"/>
        <v>55.221625885860362</v>
      </c>
      <c r="Y93" s="307">
        <f t="shared" si="51"/>
        <v>1000000000</v>
      </c>
      <c r="Z93" s="307">
        <f t="shared" si="52"/>
        <v>2511908.0100000002</v>
      </c>
      <c r="AB93" s="333">
        <f t="shared" si="53"/>
        <v>29.965397953648107</v>
      </c>
      <c r="AC93" s="334">
        <f t="shared" si="54"/>
        <v>-79.282157803289152</v>
      </c>
      <c r="AE93" s="333">
        <f t="shared" si="55"/>
        <v>24.664815596758917</v>
      </c>
      <c r="AF93" s="334">
        <f t="shared" si="56"/>
        <v>-45.138845175482537</v>
      </c>
      <c r="AH93">
        <f t="shared" si="57"/>
        <v>0</v>
      </c>
      <c r="AI93">
        <f t="shared" si="61"/>
        <v>0</v>
      </c>
    </row>
    <row r="94" spans="1:35" x14ac:dyDescent="0.25">
      <c r="A94" s="335">
        <v>1737.8</v>
      </c>
      <c r="B94" s="352">
        <f t="shared" si="59"/>
        <v>1.7378</v>
      </c>
      <c r="C94" s="325">
        <f t="shared" si="31"/>
        <v>1.4742689273657341</v>
      </c>
      <c r="D94" s="326">
        <f t="shared" si="32"/>
        <v>0.82534664558192972</v>
      </c>
      <c r="E94" s="326">
        <f t="shared" si="33"/>
        <v>1.0000002596672273</v>
      </c>
      <c r="F94" s="327">
        <f t="shared" si="34"/>
        <v>7.206485565938995E-4</v>
      </c>
      <c r="G94" s="326">
        <f t="shared" si="35"/>
        <v>1</v>
      </c>
      <c r="H94" s="327">
        <f t="shared" si="36"/>
        <v>0</v>
      </c>
      <c r="I94" s="325">
        <f t="shared" si="37"/>
        <v>2725.5800724114665</v>
      </c>
      <c r="J94" s="328">
        <f t="shared" si="38"/>
        <v>1.5704294324106305</v>
      </c>
      <c r="K94" s="336">
        <f t="shared" si="39"/>
        <v>1.0234017435579923</v>
      </c>
      <c r="L94" s="337">
        <f t="shared" si="40"/>
        <v>0.21426295573027768</v>
      </c>
      <c r="M94" s="325">
        <f t="shared" si="41"/>
        <v>1.0000514630772432</v>
      </c>
      <c r="N94" s="337">
        <f t="shared" si="42"/>
        <v>1.0145035268532894E-2</v>
      </c>
      <c r="O94" s="343">
        <f t="shared" si="43"/>
        <v>1.0000509860613906</v>
      </c>
      <c r="P94" s="691">
        <f t="shared" si="44"/>
        <v>1.0097910196628722E-2</v>
      </c>
      <c r="Q94" s="336">
        <f t="shared" si="60"/>
        <v>4.1571570756115106</v>
      </c>
      <c r="R94" s="692">
        <f t="shared" si="45"/>
        <v>1.6936732862265318E-2</v>
      </c>
      <c r="S94" s="329">
        <f t="shared" si="46"/>
        <v>0.99997680287992496</v>
      </c>
      <c r="T94" s="330">
        <f t="shared" si="47"/>
        <v>1.0020363563468943E-2</v>
      </c>
      <c r="U94" s="331">
        <f t="shared" si="48"/>
        <v>29.033148848923695</v>
      </c>
      <c r="V94" s="332">
        <f t="shared" si="49"/>
        <v>-126.49743280262605</v>
      </c>
      <c r="W94" s="334">
        <f t="shared" si="50"/>
        <v>53.502567197373949</v>
      </c>
      <c r="Y94" s="307">
        <f t="shared" si="51"/>
        <v>1000000000</v>
      </c>
      <c r="Z94" s="307">
        <f t="shared" si="52"/>
        <v>3019948.84</v>
      </c>
      <c r="AB94" s="333">
        <f t="shared" si="53"/>
        <v>29.198521554200649</v>
      </c>
      <c r="AC94" s="334">
        <f t="shared" si="54"/>
        <v>-78.283883224261857</v>
      </c>
      <c r="AE94" s="333">
        <f t="shared" si="55"/>
        <v>24.251312960567326</v>
      </c>
      <c r="AF94" s="334">
        <f t="shared" si="56"/>
        <v>-47.821713902337031</v>
      </c>
      <c r="AH94">
        <f t="shared" si="57"/>
        <v>0</v>
      </c>
      <c r="AI94">
        <f t="shared" si="61"/>
        <v>0</v>
      </c>
    </row>
    <row r="95" spans="1:35" x14ac:dyDescent="0.25">
      <c r="A95" s="335">
        <v>1905.5</v>
      </c>
      <c r="B95" s="352">
        <f t="shared" si="59"/>
        <v>1.9055</v>
      </c>
      <c r="C95" s="325">
        <f t="shared" si="31"/>
        <v>1.552700680615019</v>
      </c>
      <c r="D95" s="326">
        <f t="shared" si="32"/>
        <v>0.87102975636840019</v>
      </c>
      <c r="E95" s="326">
        <f t="shared" si="33"/>
        <v>1.0000003122018337</v>
      </c>
      <c r="F95" s="327">
        <f t="shared" si="34"/>
        <v>7.901920684176266E-4</v>
      </c>
      <c r="G95" s="326">
        <f t="shared" si="35"/>
        <v>1</v>
      </c>
      <c r="H95" s="327">
        <f t="shared" si="36"/>
        <v>0</v>
      </c>
      <c r="I95" s="325">
        <f t="shared" si="37"/>
        <v>2988.6021228906443</v>
      </c>
      <c r="J95" s="328">
        <f t="shared" si="38"/>
        <v>1.5704617221946386</v>
      </c>
      <c r="K95" s="336">
        <f t="shared" si="39"/>
        <v>1.0280714856192639</v>
      </c>
      <c r="L95" s="337">
        <f t="shared" si="40"/>
        <v>0.23422283033519192</v>
      </c>
      <c r="M95" s="325">
        <f t="shared" si="41"/>
        <v>1.000061874515469</v>
      </c>
      <c r="N95" s="337">
        <f t="shared" si="42"/>
        <v>1.1123967390968216E-2</v>
      </c>
      <c r="O95" s="343">
        <f t="shared" si="43"/>
        <v>1.0000613009980246</v>
      </c>
      <c r="P95" s="691">
        <f t="shared" si="44"/>
        <v>1.1072295758167122E-2</v>
      </c>
      <c r="Q95" s="336">
        <f t="shared" si="60"/>
        <v>4.157276718413728</v>
      </c>
      <c r="R95" s="692">
        <f t="shared" si="45"/>
        <v>1.857079512511382E-2</v>
      </c>
      <c r="S95" s="329">
        <f t="shared" si="46"/>
        <v>0.99997211034085209</v>
      </c>
      <c r="T95" s="330">
        <f t="shared" si="47"/>
        <v>1.0987430672943374E-2</v>
      </c>
      <c r="U95" s="331">
        <f t="shared" si="48"/>
        <v>27.822078746347469</v>
      </c>
      <c r="V95" s="332">
        <f t="shared" si="49"/>
        <v>-128.118425425477</v>
      </c>
      <c r="W95" s="334">
        <f t="shared" si="50"/>
        <v>51.881574574523</v>
      </c>
      <c r="Y95" s="307">
        <f t="shared" si="51"/>
        <v>1000000000</v>
      </c>
      <c r="Z95" s="307">
        <f t="shared" si="52"/>
        <v>3630930.25</v>
      </c>
      <c r="AB95" s="333">
        <f t="shared" si="53"/>
        <v>28.437791246152425</v>
      </c>
      <c r="AC95" s="334">
        <f t="shared" si="54"/>
        <v>-77.198205395939752</v>
      </c>
      <c r="AE95" s="333">
        <f t="shared" si="55"/>
        <v>23.801133552601819</v>
      </c>
      <c r="AF95" s="334">
        <f t="shared" si="56"/>
        <v>-50.490587662638774</v>
      </c>
      <c r="AH95">
        <f t="shared" si="57"/>
        <v>0</v>
      </c>
      <c r="AI95">
        <f t="shared" si="61"/>
        <v>0</v>
      </c>
    </row>
    <row r="96" spans="1:35" x14ac:dyDescent="0.25">
      <c r="A96" s="335">
        <v>2089.3000000000002</v>
      </c>
      <c r="B96" s="352">
        <f t="shared" si="59"/>
        <v>2.0893000000000002</v>
      </c>
      <c r="C96" s="325">
        <f t="shared" si="31"/>
        <v>1.6420068437122188</v>
      </c>
      <c r="D96" s="326">
        <f t="shared" si="32"/>
        <v>0.91598341848621156</v>
      </c>
      <c r="E96" s="326">
        <f t="shared" si="33"/>
        <v>1.0000003753350639</v>
      </c>
      <c r="F96" s="327">
        <f t="shared" si="34"/>
        <v>8.6641208032458715E-4</v>
      </c>
      <c r="G96" s="326">
        <f t="shared" si="35"/>
        <v>1</v>
      </c>
      <c r="H96" s="327">
        <f t="shared" si="36"/>
        <v>0</v>
      </c>
      <c r="I96" s="325">
        <f t="shared" si="37"/>
        <v>3276.8755479193142</v>
      </c>
      <c r="J96" s="328">
        <f t="shared" si="38"/>
        <v>1.5704911580446961</v>
      </c>
      <c r="K96" s="336">
        <f t="shared" si="39"/>
        <v>1.0336554181242434</v>
      </c>
      <c r="L96" s="337">
        <f t="shared" si="40"/>
        <v>0.25588219633156117</v>
      </c>
      <c r="M96" s="325">
        <f t="shared" si="41"/>
        <v>1.000074386272471</v>
      </c>
      <c r="N96" s="337">
        <f t="shared" si="42"/>
        <v>1.2196857108756671E-2</v>
      </c>
      <c r="O96" s="343">
        <f t="shared" si="43"/>
        <v>1.0000736967873063</v>
      </c>
      <c r="P96" s="691">
        <f t="shared" si="44"/>
        <v>1.214020276413354E-2</v>
      </c>
      <c r="Q96" s="336">
        <f t="shared" si="60"/>
        <v>4.1574204940737474</v>
      </c>
      <c r="R96" s="692">
        <f t="shared" si="45"/>
        <v>2.0361622304709816E-2</v>
      </c>
      <c r="S96" s="329">
        <f t="shared" si="46"/>
        <v>0.99996647136513761</v>
      </c>
      <c r="T96" s="330">
        <f t="shared" si="47"/>
        <v>1.2047369075388966E-2</v>
      </c>
      <c r="U96" s="331">
        <f t="shared" si="48"/>
        <v>26.583294980855925</v>
      </c>
      <c r="V96" s="332">
        <f t="shared" si="49"/>
        <v>-129.61403207124064</v>
      </c>
      <c r="W96" s="334">
        <f t="shared" si="50"/>
        <v>50.385967928759356</v>
      </c>
      <c r="Y96" s="307">
        <f t="shared" si="51"/>
        <v>1000000000</v>
      </c>
      <c r="Z96" s="307">
        <f t="shared" si="52"/>
        <v>4365174.4900000012</v>
      </c>
      <c r="AB96" s="333">
        <f t="shared" si="53"/>
        <v>27.684895068662286</v>
      </c>
      <c r="AC96" s="334">
        <f t="shared" si="54"/>
        <v>-76.020373738759687</v>
      </c>
      <c r="AE96" s="333">
        <f t="shared" si="55"/>
        <v>23.315438691862575</v>
      </c>
      <c r="AF96" s="334">
        <f t="shared" si="56"/>
        <v>-53.122605690661281</v>
      </c>
      <c r="AH96">
        <f t="shared" si="57"/>
        <v>0</v>
      </c>
      <c r="AI96">
        <f t="shared" si="61"/>
        <v>0</v>
      </c>
    </row>
    <row r="97" spans="1:35" x14ac:dyDescent="0.25">
      <c r="A97" s="335">
        <v>2290.9</v>
      </c>
      <c r="B97" s="352">
        <f t="shared" si="59"/>
        <v>2.2909000000000002</v>
      </c>
      <c r="C97" s="325">
        <f t="shared" si="31"/>
        <v>1.7433630458148459</v>
      </c>
      <c r="D97" s="326">
        <f t="shared" si="32"/>
        <v>0.9598974507746072</v>
      </c>
      <c r="E97" s="326">
        <f t="shared" si="33"/>
        <v>1.0000004512630534</v>
      </c>
      <c r="F97" s="327">
        <f t="shared" si="34"/>
        <v>9.5001356164481072E-4</v>
      </c>
      <c r="G97" s="326">
        <f t="shared" si="35"/>
        <v>1</v>
      </c>
      <c r="H97" s="327">
        <f t="shared" si="36"/>
        <v>0</v>
      </c>
      <c r="I97" s="325">
        <f t="shared" si="37"/>
        <v>3593.0666414173729</v>
      </c>
      <c r="J97" s="328">
        <f t="shared" si="38"/>
        <v>1.5705180129998273</v>
      </c>
      <c r="K97" s="336">
        <f t="shared" si="39"/>
        <v>1.040331309258629</v>
      </c>
      <c r="L97" s="337">
        <f t="shared" si="40"/>
        <v>0.27935950690672562</v>
      </c>
      <c r="M97" s="325">
        <f t="shared" si="41"/>
        <v>1.000089433491324</v>
      </c>
      <c r="N97" s="337">
        <f t="shared" si="42"/>
        <v>1.3373617800845542E-2</v>
      </c>
      <c r="O97" s="343">
        <f t="shared" si="43"/>
        <v>1.0000886045399076</v>
      </c>
      <c r="P97" s="691">
        <f t="shared" si="44"/>
        <v>1.3311498645794839E-2</v>
      </c>
      <c r="Q97" s="336">
        <f t="shared" si="60"/>
        <v>4.1575934011434317</v>
      </c>
      <c r="R97" s="692">
        <f t="shared" si="45"/>
        <v>2.2325732263360251E-2</v>
      </c>
      <c r="S97" s="329">
        <f t="shared" si="46"/>
        <v>0.9999596899578711</v>
      </c>
      <c r="T97" s="330">
        <f t="shared" si="47"/>
        <v>1.3209993807569409E-2</v>
      </c>
      <c r="U97" s="331">
        <f t="shared" si="48"/>
        <v>25.318545813345523</v>
      </c>
      <c r="V97" s="332">
        <f t="shared" si="49"/>
        <v>-130.96118044959391</v>
      </c>
      <c r="W97" s="334">
        <f t="shared" si="50"/>
        <v>49.038819550406089</v>
      </c>
      <c r="Y97" s="307">
        <f t="shared" si="51"/>
        <v>1000000000</v>
      </c>
      <c r="Z97" s="307">
        <f t="shared" si="52"/>
        <v>5248222.8100000005</v>
      </c>
      <c r="AB97" s="333">
        <f t="shared" si="53"/>
        <v>26.940575560799832</v>
      </c>
      <c r="AC97" s="334">
        <f t="shared" si="54"/>
        <v>-74.744185023768267</v>
      </c>
      <c r="AE97" s="333">
        <f t="shared" si="55"/>
        <v>22.795240794164361</v>
      </c>
      <c r="AF97" s="334">
        <f t="shared" si="56"/>
        <v>-55.700517883404039</v>
      </c>
      <c r="AH97">
        <f t="shared" si="57"/>
        <v>0</v>
      </c>
      <c r="AI97">
        <f t="shared" si="61"/>
        <v>0</v>
      </c>
    </row>
    <row r="98" spans="1:35" x14ac:dyDescent="0.25">
      <c r="A98" s="335">
        <v>2511.9</v>
      </c>
      <c r="B98" s="352">
        <f t="shared" si="59"/>
        <v>2.5119000000000002</v>
      </c>
      <c r="C98" s="325">
        <f t="shared" si="31"/>
        <v>1.8578893389352273</v>
      </c>
      <c r="D98" s="326">
        <f t="shared" si="32"/>
        <v>1.0024427533124234</v>
      </c>
      <c r="E98" s="326">
        <f t="shared" si="33"/>
        <v>1.0000005425280349</v>
      </c>
      <c r="F98" s="327">
        <f t="shared" si="34"/>
        <v>1.0416600114814541E-3</v>
      </c>
      <c r="G98" s="326">
        <f t="shared" si="35"/>
        <v>1</v>
      </c>
      <c r="H98" s="327">
        <f t="shared" si="36"/>
        <v>0</v>
      </c>
      <c r="I98" s="325">
        <f t="shared" si="37"/>
        <v>3939.6848565082264</v>
      </c>
      <c r="J98" s="328">
        <f t="shared" si="38"/>
        <v>1.5705424993830197</v>
      </c>
      <c r="K98" s="336">
        <f t="shared" si="39"/>
        <v>1.0482994291579442</v>
      </c>
      <c r="L98" s="337">
        <f t="shared" si="40"/>
        <v>0.30473691400734104</v>
      </c>
      <c r="M98" s="325">
        <f t="shared" si="41"/>
        <v>1.0001075198587943</v>
      </c>
      <c r="N98" s="337">
        <f t="shared" si="42"/>
        <v>1.4663575683403327E-2</v>
      </c>
      <c r="O98" s="343">
        <f t="shared" si="43"/>
        <v>1.0001065232753052</v>
      </c>
      <c r="P98" s="691">
        <f t="shared" si="44"/>
        <v>1.4595466430222533E-2</v>
      </c>
      <c r="Q98" s="336">
        <f t="shared" si="60"/>
        <v>4.1578012248919274</v>
      </c>
      <c r="R98" s="692">
        <f t="shared" si="45"/>
        <v>2.4478652751821657E-2</v>
      </c>
      <c r="S98" s="329">
        <f t="shared" si="46"/>
        <v>0.99995153929565406</v>
      </c>
      <c r="T98" s="330">
        <f t="shared" si="47"/>
        <v>1.4484547178621665E-2</v>
      </c>
      <c r="U98" s="331">
        <f t="shared" si="48"/>
        <v>24.031891038292308</v>
      </c>
      <c r="V98" s="332">
        <f t="shared" si="49"/>
        <v>-132.13770340812454</v>
      </c>
      <c r="W98" s="334">
        <f t="shared" si="50"/>
        <v>47.862296591875463</v>
      </c>
      <c r="Y98" s="307">
        <f t="shared" si="51"/>
        <v>1000000000</v>
      </c>
      <c r="Z98" s="307">
        <f t="shared" si="52"/>
        <v>6309641.6100000003</v>
      </c>
      <c r="AB98" s="333">
        <f t="shared" si="53"/>
        <v>26.206767869186191</v>
      </c>
      <c r="AC98" s="334">
        <f t="shared" si="54"/>
        <v>-73.365478809174931</v>
      </c>
      <c r="AE98" s="333">
        <f t="shared" si="55"/>
        <v>22.242672252551543</v>
      </c>
      <c r="AF98" s="334">
        <f t="shared" si="56"/>
        <v>-58.20595973393349</v>
      </c>
      <c r="AH98">
        <f t="shared" si="57"/>
        <v>0</v>
      </c>
      <c r="AI98">
        <f t="shared" si="61"/>
        <v>0</v>
      </c>
    </row>
    <row r="99" spans="1:35" x14ac:dyDescent="0.25">
      <c r="A99" s="335">
        <v>2754.2</v>
      </c>
      <c r="B99" s="352">
        <f t="shared" si="59"/>
        <v>2.7542</v>
      </c>
      <c r="C99" s="325">
        <f t="shared" si="31"/>
        <v>1.9868472278863039</v>
      </c>
      <c r="D99" s="326">
        <f t="shared" si="32"/>
        <v>1.0433713023143598</v>
      </c>
      <c r="E99" s="326">
        <f t="shared" si="33"/>
        <v>1.0000006522414839</v>
      </c>
      <c r="F99" s="327">
        <f t="shared" si="34"/>
        <v>1.1421393342814013E-3</v>
      </c>
      <c r="G99" s="326">
        <f t="shared" si="35"/>
        <v>1</v>
      </c>
      <c r="H99" s="327">
        <f t="shared" si="36"/>
        <v>0</v>
      </c>
      <c r="I99" s="325">
        <f t="shared" si="37"/>
        <v>4319.7101687956929</v>
      </c>
      <c r="J99" s="328">
        <f t="shared" si="38"/>
        <v>1.570564829780084</v>
      </c>
      <c r="K99" s="336">
        <f t="shared" si="39"/>
        <v>1.0577987956624202</v>
      </c>
      <c r="L99" s="337">
        <f t="shared" si="40"/>
        <v>0.33210122851925422</v>
      </c>
      <c r="M99" s="325">
        <f t="shared" si="41"/>
        <v>1.00012926180631</v>
      </c>
      <c r="N99" s="337">
        <f t="shared" si="42"/>
        <v>1.6077803581354647E-2</v>
      </c>
      <c r="O99" s="343">
        <f t="shared" si="43"/>
        <v>1.0001280637132675</v>
      </c>
      <c r="P99" s="691">
        <f t="shared" si="44"/>
        <v>1.6003127683794718E-2</v>
      </c>
      <c r="Q99" s="336">
        <f t="shared" si="60"/>
        <v>4.1580510447830488</v>
      </c>
      <c r="R99" s="692">
        <f t="shared" si="45"/>
        <v>2.6838813540267265E-2</v>
      </c>
      <c r="S99" s="329">
        <f t="shared" si="46"/>
        <v>0.9999417418359785</v>
      </c>
      <c r="T99" s="330">
        <f t="shared" si="47"/>
        <v>1.5882006798097866E-2</v>
      </c>
      <c r="U99" s="331">
        <f t="shared" si="48"/>
        <v>22.72705269579804</v>
      </c>
      <c r="V99" s="332">
        <f t="shared" si="49"/>
        <v>-133.12607122563452</v>
      </c>
      <c r="W99" s="334">
        <f t="shared" si="50"/>
        <v>46.873928774365481</v>
      </c>
      <c r="Y99" s="307">
        <f t="shared" si="51"/>
        <v>1000000000</v>
      </c>
      <c r="Z99" s="307">
        <f t="shared" si="52"/>
        <v>7585617.6399999987</v>
      </c>
      <c r="AB99" s="333">
        <f t="shared" si="53"/>
        <v>25.485070908328641</v>
      </c>
      <c r="AC99" s="334">
        <f t="shared" si="54"/>
        <v>-71.879927804005149</v>
      </c>
      <c r="AE99" s="333">
        <f t="shared" si="55"/>
        <v>21.659865667658472</v>
      </c>
      <c r="AF99" s="334">
        <f t="shared" si="56"/>
        <v>-60.625304353214503</v>
      </c>
      <c r="AH99">
        <f t="shared" si="57"/>
        <v>0</v>
      </c>
      <c r="AI99">
        <f t="shared" si="61"/>
        <v>0</v>
      </c>
    </row>
    <row r="100" spans="1:35" x14ac:dyDescent="0.25">
      <c r="A100" s="335">
        <v>3020</v>
      </c>
      <c r="B100" s="352">
        <f t="shared" si="59"/>
        <v>3.02</v>
      </c>
      <c r="C100" s="325">
        <f t="shared" si="31"/>
        <v>2.1316510088841198</v>
      </c>
      <c r="D100" s="326">
        <f t="shared" si="32"/>
        <v>1.0825023280177222</v>
      </c>
      <c r="E100" s="326">
        <f t="shared" si="33"/>
        <v>1.0000007842081053</v>
      </c>
      <c r="F100" s="327">
        <f t="shared" si="34"/>
        <v>1.2523638392534348E-3</v>
      </c>
      <c r="G100" s="326">
        <f t="shared" si="35"/>
        <v>1</v>
      </c>
      <c r="H100" s="327">
        <f t="shared" si="36"/>
        <v>0</v>
      </c>
      <c r="I100" s="325">
        <f t="shared" si="37"/>
        <v>4736.5930763702345</v>
      </c>
      <c r="J100" s="328">
        <f t="shared" si="38"/>
        <v>1.5705852045829385</v>
      </c>
      <c r="K100" s="336">
        <f t="shared" si="39"/>
        <v>1.0691131049855067</v>
      </c>
      <c r="L100" s="337">
        <f t="shared" si="40"/>
        <v>0.36153570686649822</v>
      </c>
      <c r="M100" s="325">
        <f t="shared" si="41"/>
        <v>1.0001554130487871</v>
      </c>
      <c r="N100" s="337">
        <f t="shared" si="42"/>
        <v>1.7629119307340776E-2</v>
      </c>
      <c r="O100" s="343">
        <f t="shared" si="43"/>
        <v>1.0001539725855424</v>
      </c>
      <c r="P100" s="691">
        <f t="shared" si="44"/>
        <v>1.7547240913621379E-2</v>
      </c>
      <c r="Q100" s="336">
        <f t="shared" si="60"/>
        <v>4.1583515157826145</v>
      </c>
      <c r="R100" s="692">
        <f t="shared" si="45"/>
        <v>2.9427538984993836E-2</v>
      </c>
      <c r="S100" s="329">
        <f t="shared" si="46"/>
        <v>0.99992995830377507</v>
      </c>
      <c r="T100" s="330">
        <f t="shared" si="47"/>
        <v>1.7415087442146187E-2</v>
      </c>
      <c r="U100" s="331">
        <f t="shared" si="48"/>
        <v>21.407676223380982</v>
      </c>
      <c r="V100" s="332">
        <f t="shared" si="49"/>
        <v>-133.9130692226563</v>
      </c>
      <c r="W100" s="334">
        <f t="shared" si="50"/>
        <v>46.086930777343696</v>
      </c>
      <c r="Y100" s="307">
        <f t="shared" si="51"/>
        <v>1000000000</v>
      </c>
      <c r="Z100" s="307">
        <f t="shared" si="52"/>
        <v>9120400</v>
      </c>
      <c r="AB100" s="333">
        <f t="shared" si="53"/>
        <v>24.777026150013882</v>
      </c>
      <c r="AC100" s="334">
        <f t="shared" si="54"/>
        <v>-70.283507654717923</v>
      </c>
      <c r="AE100" s="333">
        <f t="shared" si="55"/>
        <v>21.048936584761506</v>
      </c>
      <c r="AF100" s="334">
        <f t="shared" si="56"/>
        <v>-62.948870628313529</v>
      </c>
      <c r="AH100">
        <f t="shared" si="57"/>
        <v>0</v>
      </c>
      <c r="AI100">
        <f t="shared" si="61"/>
        <v>0</v>
      </c>
    </row>
    <row r="101" spans="1:35" x14ac:dyDescent="0.25">
      <c r="A101" s="335">
        <v>3311.3</v>
      </c>
      <c r="B101" s="352">
        <f t="shared" si="59"/>
        <v>3.3113000000000001</v>
      </c>
      <c r="C101" s="325">
        <f t="shared" si="31"/>
        <v>2.2935961177029474</v>
      </c>
      <c r="D101" s="326">
        <f t="shared" si="32"/>
        <v>1.1196510026167887</v>
      </c>
      <c r="E101" s="326">
        <f t="shared" si="33"/>
        <v>1.0000009427889085</v>
      </c>
      <c r="F101" s="327">
        <f t="shared" si="34"/>
        <v>1.3731628948682694E-3</v>
      </c>
      <c r="G101" s="326">
        <f t="shared" si="35"/>
        <v>1</v>
      </c>
      <c r="H101" s="327">
        <f t="shared" si="36"/>
        <v>0</v>
      </c>
      <c r="I101" s="325">
        <f t="shared" si="37"/>
        <v>5193.4703956920457</v>
      </c>
      <c r="J101" s="328">
        <f t="shared" si="38"/>
        <v>1.5706037773183446</v>
      </c>
      <c r="K101" s="336">
        <f t="shared" si="39"/>
        <v>1.0825527961728574</v>
      </c>
      <c r="L101" s="337">
        <f t="shared" si="40"/>
        <v>0.39305707374362697</v>
      </c>
      <c r="M101" s="325">
        <f t="shared" si="41"/>
        <v>1.0001868374061651</v>
      </c>
      <c r="N101" s="337">
        <f t="shared" si="42"/>
        <v>1.9329165559956216E-2</v>
      </c>
      <c r="O101" s="343">
        <f t="shared" si="43"/>
        <v>1.0001851057096953</v>
      </c>
      <c r="P101" s="691">
        <f t="shared" si="44"/>
        <v>1.9239395040826026E-2</v>
      </c>
      <c r="Q101" s="336">
        <f t="shared" si="60"/>
        <v>4.1587125551823663</v>
      </c>
      <c r="R101" s="692">
        <f t="shared" si="45"/>
        <v>3.2264169633386519E-2</v>
      </c>
      <c r="S101" s="329">
        <f t="shared" si="46"/>
        <v>0.99991579999950542</v>
      </c>
      <c r="T101" s="330">
        <f t="shared" si="47"/>
        <v>1.9095359343683393E-2</v>
      </c>
      <c r="U101" s="331">
        <f t="shared" si="48"/>
        <v>20.079704113698615</v>
      </c>
      <c r="V101" s="332">
        <f t="shared" si="49"/>
        <v>-134.48888470715985</v>
      </c>
      <c r="W101" s="334">
        <f t="shared" si="50"/>
        <v>45.511115292840145</v>
      </c>
      <c r="Y101" s="307">
        <f t="shared" si="51"/>
        <v>1000000000</v>
      </c>
      <c r="Z101" s="307">
        <f t="shared" si="52"/>
        <v>10964707.690000001</v>
      </c>
      <c r="AB101" s="333">
        <f t="shared" si="53"/>
        <v>24.085430218233277</v>
      </c>
      <c r="AC101" s="334">
        <f t="shared" si="54"/>
        <v>-68.575935980828461</v>
      </c>
      <c r="AE101" s="333">
        <f t="shared" si="55"/>
        <v>20.413044133667817</v>
      </c>
      <c r="AF101" s="334">
        <f t="shared" si="56"/>
        <v>-65.166684112215705</v>
      </c>
      <c r="AH101">
        <f t="shared" si="57"/>
        <v>0</v>
      </c>
      <c r="AI101">
        <f t="shared" si="61"/>
        <v>0</v>
      </c>
    </row>
    <row r="102" spans="1:35" x14ac:dyDescent="0.25">
      <c r="A102" s="335">
        <v>3630.8</v>
      </c>
      <c r="B102" s="352">
        <f t="shared" si="59"/>
        <v>3.6308000000000002</v>
      </c>
      <c r="C102" s="325">
        <f t="shared" si="31"/>
        <v>2.4743559117630212</v>
      </c>
      <c r="D102" s="326">
        <f t="shared" si="32"/>
        <v>1.15475179544883</v>
      </c>
      <c r="E102" s="326">
        <f t="shared" si="33"/>
        <v>1.0000011335012895</v>
      </c>
      <c r="F102" s="327">
        <f t="shared" si="34"/>
        <v>1.5056561485824256E-3</v>
      </c>
      <c r="G102" s="326">
        <f t="shared" si="35"/>
        <v>1</v>
      </c>
      <c r="H102" s="327">
        <f t="shared" si="36"/>
        <v>0</v>
      </c>
      <c r="I102" s="325">
        <f t="shared" si="37"/>
        <v>5694.5768289994548</v>
      </c>
      <c r="J102" s="328">
        <f t="shared" si="38"/>
        <v>1.5706207211203806</v>
      </c>
      <c r="K102" s="336">
        <f t="shared" si="39"/>
        <v>1.0984978768901172</v>
      </c>
      <c r="L102" s="337">
        <f t="shared" si="40"/>
        <v>0.42670589747634119</v>
      </c>
      <c r="M102" s="325">
        <f t="shared" si="41"/>
        <v>1.000224627653036</v>
      </c>
      <c r="N102" s="337">
        <f t="shared" si="42"/>
        <v>2.1193660047702241E-2</v>
      </c>
      <c r="O102" s="343">
        <f t="shared" si="43"/>
        <v>1.0002225457378444</v>
      </c>
      <c r="P102" s="691">
        <f t="shared" si="44"/>
        <v>2.1095235173355899E-2</v>
      </c>
      <c r="Q102" s="336">
        <f t="shared" si="60"/>
        <v>4.1591467068077055</v>
      </c>
      <c r="R102" s="692">
        <f t="shared" si="45"/>
        <v>3.5374815579108598E-2</v>
      </c>
      <c r="S102" s="329">
        <f t="shared" si="46"/>
        <v>0.99989877533844296</v>
      </c>
      <c r="T102" s="330">
        <f t="shared" si="47"/>
        <v>2.0938442249754011E-2</v>
      </c>
      <c r="U102" s="331">
        <f t="shared" si="48"/>
        <v>18.74696620575159</v>
      </c>
      <c r="V102" s="332">
        <f t="shared" si="49"/>
        <v>-134.84977952712907</v>
      </c>
      <c r="W102" s="334">
        <f t="shared" si="50"/>
        <v>45.150220472870927</v>
      </c>
      <c r="Y102" s="307">
        <f t="shared" si="51"/>
        <v>1000000000</v>
      </c>
      <c r="Z102" s="307">
        <f t="shared" si="52"/>
        <v>13182708.640000001</v>
      </c>
      <c r="AB102" s="333">
        <f t="shared" si="53"/>
        <v>23.412028833162513</v>
      </c>
      <c r="AC102" s="334">
        <f t="shared" si="54"/>
        <v>-66.75579886670333</v>
      </c>
      <c r="AE102" s="333">
        <f t="shared" si="55"/>
        <v>19.754289199137101</v>
      </c>
      <c r="AF102" s="334">
        <f t="shared" si="56"/>
        <v>-67.275820969023556</v>
      </c>
      <c r="AH102">
        <f t="shared" si="57"/>
        <v>0</v>
      </c>
      <c r="AI102">
        <f t="shared" si="61"/>
        <v>0</v>
      </c>
    </row>
    <row r="103" spans="1:35" x14ac:dyDescent="0.25">
      <c r="A103" s="335">
        <v>3981.1</v>
      </c>
      <c r="B103" s="352">
        <f t="shared" si="59"/>
        <v>3.9811000000000001</v>
      </c>
      <c r="C103" s="325">
        <f t="shared" si="31"/>
        <v>2.6755458486204362</v>
      </c>
      <c r="D103" s="326">
        <f t="shared" si="32"/>
        <v>1.1877416456494765</v>
      </c>
      <c r="E103" s="326">
        <f t="shared" si="33"/>
        <v>1.0000013627728996</v>
      </c>
      <c r="F103" s="327">
        <f t="shared" si="34"/>
        <v>1.650921773969213E-3</v>
      </c>
      <c r="G103" s="326">
        <f t="shared" si="35"/>
        <v>1</v>
      </c>
      <c r="H103" s="327">
        <f t="shared" si="36"/>
        <v>0</v>
      </c>
      <c r="I103" s="325">
        <f t="shared" si="37"/>
        <v>6243.990237722106</v>
      </c>
      <c r="J103" s="328">
        <f t="shared" si="38"/>
        <v>1.570636172796219</v>
      </c>
      <c r="K103" s="336">
        <f t="shared" si="39"/>
        <v>1.1173656632418414</v>
      </c>
      <c r="L103" s="337">
        <f t="shared" si="40"/>
        <v>0.46244992216537162</v>
      </c>
      <c r="M103" s="325">
        <f t="shared" si="41"/>
        <v>1.0002700566497822</v>
      </c>
      <c r="N103" s="337">
        <f t="shared" si="42"/>
        <v>2.3237723136717278E-2</v>
      </c>
      <c r="O103" s="343">
        <f t="shared" si="43"/>
        <v>1.0002675537415853</v>
      </c>
      <c r="P103" s="691">
        <f t="shared" si="44"/>
        <v>2.312981197638236E-2</v>
      </c>
      <c r="Q103" s="336">
        <f t="shared" si="60"/>
        <v>4.1596685776164959</v>
      </c>
      <c r="R103" s="692">
        <f t="shared" si="45"/>
        <v>3.8784550185657726E-2</v>
      </c>
      <c r="S103" s="329">
        <f t="shared" si="46"/>
        <v>0.99987831200145538</v>
      </c>
      <c r="T103" s="330">
        <f t="shared" si="47"/>
        <v>2.2959394907416424E-2</v>
      </c>
      <c r="U103" s="331">
        <f t="shared" si="48"/>
        <v>17.414954746139696</v>
      </c>
      <c r="V103" s="332">
        <f t="shared" si="49"/>
        <v>-134.99623814588352</v>
      </c>
      <c r="W103" s="334">
        <f t="shared" si="50"/>
        <v>45.003761854116476</v>
      </c>
      <c r="Y103" s="307">
        <f t="shared" si="51"/>
        <v>1000000000</v>
      </c>
      <c r="Z103" s="307">
        <f t="shared" si="52"/>
        <v>15849157.209999999</v>
      </c>
      <c r="AB103" s="333">
        <f t="shared" si="53"/>
        <v>22.759541153671641</v>
      </c>
      <c r="AC103" s="334">
        <f t="shared" si="54"/>
        <v>-64.825818610876112</v>
      </c>
      <c r="AE103" s="333">
        <f t="shared" si="55"/>
        <v>19.075464377787263</v>
      </c>
      <c r="AF103" s="334">
        <f t="shared" si="56"/>
        <v>-69.273469105208861</v>
      </c>
      <c r="AH103">
        <f t="shared" si="57"/>
        <v>0</v>
      </c>
      <c r="AI103">
        <f t="shared" si="61"/>
        <v>0</v>
      </c>
    </row>
    <row r="104" spans="1:35" x14ac:dyDescent="0.25">
      <c r="A104" s="335">
        <v>4365.2</v>
      </c>
      <c r="B104" s="352">
        <f t="shared" si="59"/>
        <v>4.3651999999999997</v>
      </c>
      <c r="C104" s="325">
        <f t="shared" si="31"/>
        <v>2.8990061175784074</v>
      </c>
      <c r="D104" s="326">
        <f t="shared" si="32"/>
        <v>1.2186152807774715</v>
      </c>
      <c r="E104" s="326">
        <f t="shared" si="33"/>
        <v>1.000001638421161</v>
      </c>
      <c r="F104" s="327">
        <f t="shared" si="34"/>
        <v>1.8102038138722452E-3</v>
      </c>
      <c r="G104" s="326">
        <f t="shared" si="35"/>
        <v>1</v>
      </c>
      <c r="H104" s="327">
        <f t="shared" si="36"/>
        <v>0</v>
      </c>
      <c r="I104" s="325">
        <f t="shared" si="37"/>
        <v>6846.4158465991268</v>
      </c>
      <c r="J104" s="328">
        <f t="shared" si="38"/>
        <v>1.5706502649683933</v>
      </c>
      <c r="K104" s="336">
        <f t="shared" si="39"/>
        <v>1.1396365273309788</v>
      </c>
      <c r="L104" s="337">
        <f t="shared" si="40"/>
        <v>0.50022899657934916</v>
      </c>
      <c r="M104" s="325">
        <f t="shared" si="41"/>
        <v>1.0003246722252577</v>
      </c>
      <c r="N104" s="337">
        <f t="shared" si="42"/>
        <v>2.5478791423847489E-2</v>
      </c>
      <c r="O104" s="343">
        <f t="shared" si="43"/>
        <v>1.000321663216595</v>
      </c>
      <c r="P104" s="691">
        <f t="shared" si="44"/>
        <v>2.5360481760722194E-2</v>
      </c>
      <c r="Q104" s="336">
        <f t="shared" si="60"/>
        <v>4.160295925017758</v>
      </c>
      <c r="R104" s="692">
        <f t="shared" si="45"/>
        <v>4.2522258615193848E-2</v>
      </c>
      <c r="S104" s="329">
        <f t="shared" si="46"/>
        <v>0.99985371437770365</v>
      </c>
      <c r="T104" s="330">
        <f t="shared" si="47"/>
        <v>2.5175604299841059E-2</v>
      </c>
      <c r="U104" s="331">
        <f t="shared" si="48"/>
        <v>16.088521471714564</v>
      </c>
      <c r="V104" s="332">
        <f t="shared" si="49"/>
        <v>-134.9339970054821</v>
      </c>
      <c r="W104" s="334">
        <f t="shared" si="50"/>
        <v>45.066002994517902</v>
      </c>
      <c r="Y104" s="307">
        <f t="shared" si="51"/>
        <v>1000000000</v>
      </c>
      <c r="Z104" s="307">
        <f t="shared" si="52"/>
        <v>19054971.039999999</v>
      </c>
      <c r="AB104" s="333">
        <f t="shared" si="53"/>
        <v>22.130466517844383</v>
      </c>
      <c r="AC104" s="334">
        <f t="shared" si="54"/>
        <v>-62.790448267161715</v>
      </c>
      <c r="AE104" s="333">
        <f t="shared" si="55"/>
        <v>18.378945766940372</v>
      </c>
      <c r="AF104" s="334">
        <f t="shared" si="56"/>
        <v>-71.160251354490285</v>
      </c>
      <c r="AH104">
        <f t="shared" si="57"/>
        <v>0</v>
      </c>
      <c r="AI104">
        <f t="shared" si="61"/>
        <v>0</v>
      </c>
    </row>
    <row r="105" spans="1:35" x14ac:dyDescent="0.25">
      <c r="A105" s="335">
        <v>4786.3</v>
      </c>
      <c r="B105" s="352">
        <f t="shared" si="59"/>
        <v>4.7862999999999998</v>
      </c>
      <c r="C105" s="325">
        <f t="shared" si="31"/>
        <v>3.1466929871721381</v>
      </c>
      <c r="D105" s="326">
        <f t="shared" si="32"/>
        <v>1.2473944122089087</v>
      </c>
      <c r="E105" s="326">
        <f t="shared" si="33"/>
        <v>1.0000019697767901</v>
      </c>
      <c r="F105" s="327">
        <f t="shared" si="34"/>
        <v>1.9848292404448646E-3</v>
      </c>
      <c r="G105" s="326">
        <f t="shared" si="35"/>
        <v>1</v>
      </c>
      <c r="H105" s="327">
        <f t="shared" si="36"/>
        <v>0</v>
      </c>
      <c r="I105" s="325">
        <f t="shared" si="37"/>
        <v>7506.8725620307096</v>
      </c>
      <c r="J105" s="328">
        <f t="shared" si="38"/>
        <v>1.5706631155281947</v>
      </c>
      <c r="K105" s="336">
        <f t="shared" si="39"/>
        <v>1.1658452933394674</v>
      </c>
      <c r="L105" s="337">
        <f t="shared" si="40"/>
        <v>0.53992597048436008</v>
      </c>
      <c r="M105" s="325">
        <f t="shared" si="41"/>
        <v>1.0003903214549863</v>
      </c>
      <c r="N105" s="337">
        <f t="shared" si="42"/>
        <v>2.7935444805006853E-2</v>
      </c>
      <c r="O105" s="343">
        <f t="shared" si="43"/>
        <v>1.0003867041376604</v>
      </c>
      <c r="P105" s="691">
        <f t="shared" si="44"/>
        <v>2.7805739048864662E-2</v>
      </c>
      <c r="Q105" s="336">
        <f t="shared" si="60"/>
        <v>4.161049931771621</v>
      </c>
      <c r="R105" s="692">
        <f t="shared" si="45"/>
        <v>4.6618664158748165E-2</v>
      </c>
      <c r="S105" s="329">
        <f t="shared" si="46"/>
        <v>0.99982415290331716</v>
      </c>
      <c r="T105" s="330">
        <f t="shared" si="47"/>
        <v>2.7605638609659262E-2</v>
      </c>
      <c r="U105" s="331">
        <f t="shared" si="48"/>
        <v>14.772672876224696</v>
      </c>
      <c r="V105" s="332">
        <f t="shared" si="49"/>
        <v>-134.67377209984005</v>
      </c>
      <c r="W105" s="334">
        <f t="shared" si="50"/>
        <v>45.32622790015995</v>
      </c>
      <c r="Y105" s="307">
        <f t="shared" si="51"/>
        <v>1000000000</v>
      </c>
      <c r="Z105" s="307">
        <f t="shared" si="52"/>
        <v>22908667.690000001</v>
      </c>
      <c r="AB105" s="333">
        <f t="shared" si="53"/>
        <v>21.527472382513537</v>
      </c>
      <c r="AC105" s="334">
        <f t="shared" si="54"/>
        <v>-60.65747135383431</v>
      </c>
      <c r="AE105" s="333">
        <f t="shared" si="55"/>
        <v>17.667100645517586</v>
      </c>
      <c r="AF105" s="334">
        <f t="shared" si="56"/>
        <v>-72.938399535682038</v>
      </c>
      <c r="AH105">
        <f t="shared" si="57"/>
        <v>0</v>
      </c>
      <c r="AI105">
        <f t="shared" si="61"/>
        <v>0</v>
      </c>
    </row>
    <row r="106" spans="1:35" x14ac:dyDescent="0.25">
      <c r="A106" s="335">
        <v>5248.1</v>
      </c>
      <c r="B106" s="352">
        <f t="shared" si="59"/>
        <v>5.2481</v>
      </c>
      <c r="C106" s="325">
        <f t="shared" si="31"/>
        <v>3.4208591149907508</v>
      </c>
      <c r="D106" s="326">
        <f t="shared" si="32"/>
        <v>1.274139999561992</v>
      </c>
      <c r="E106" s="326">
        <f t="shared" si="33"/>
        <v>1.000002368215942</v>
      </c>
      <c r="F106" s="327">
        <f t="shared" si="34"/>
        <v>2.1763323589969932E-3</v>
      </c>
      <c r="G106" s="326">
        <f t="shared" si="35"/>
        <v>1</v>
      </c>
      <c r="H106" s="327">
        <f t="shared" si="36"/>
        <v>0</v>
      </c>
      <c r="I106" s="325">
        <f t="shared" si="37"/>
        <v>8231.1634945538226</v>
      </c>
      <c r="J106" s="328">
        <f t="shared" si="38"/>
        <v>1.570674837286989</v>
      </c>
      <c r="K106" s="336">
        <f t="shared" si="39"/>
        <v>1.1966001914289663</v>
      </c>
      <c r="L106" s="337">
        <f t="shared" si="40"/>
        <v>0.5813883052160369</v>
      </c>
      <c r="M106" s="325">
        <f t="shared" si="41"/>
        <v>1.0004692558098178</v>
      </c>
      <c r="N106" s="337">
        <f t="shared" si="42"/>
        <v>3.0629148940883085E-2</v>
      </c>
      <c r="O106" s="343">
        <f t="shared" si="43"/>
        <v>1.0004649071356144</v>
      </c>
      <c r="P106" s="691">
        <f t="shared" si="44"/>
        <v>3.0486951028391877E-2</v>
      </c>
      <c r="Q106" s="336">
        <f t="shared" si="60"/>
        <v>4.1619564079622586</v>
      </c>
      <c r="R106" s="692">
        <f t="shared" si="45"/>
        <v>5.1109211479660563E-2</v>
      </c>
      <c r="S106" s="329">
        <f t="shared" si="46"/>
        <v>0.99978861710593536</v>
      </c>
      <c r="T106" s="330">
        <f t="shared" si="47"/>
        <v>3.0270987321065843E-2</v>
      </c>
      <c r="U106" s="331">
        <f t="shared" si="48"/>
        <v>13.471589575033123</v>
      </c>
      <c r="V106" s="332">
        <f t="shared" si="49"/>
        <v>-134.23098226235334</v>
      </c>
      <c r="W106" s="334">
        <f t="shared" si="50"/>
        <v>45.769017737646664</v>
      </c>
      <c r="Y106" s="307">
        <f t="shared" si="51"/>
        <v>1000000000</v>
      </c>
      <c r="Z106" s="307">
        <f t="shared" si="52"/>
        <v>27542553.610000003</v>
      </c>
      <c r="AB106" s="333">
        <f t="shared" si="53"/>
        <v>20.95290624993806</v>
      </c>
      <c r="AC106" s="334">
        <f t="shared" si="54"/>
        <v>-58.436864047963155</v>
      </c>
      <c r="AE106" s="333">
        <f t="shared" si="55"/>
        <v>16.941796500563214</v>
      </c>
      <c r="AF106" s="334">
        <f t="shared" si="56"/>
        <v>-74.612549725162779</v>
      </c>
      <c r="AH106">
        <f t="shared" si="57"/>
        <v>0</v>
      </c>
      <c r="AI106">
        <f t="shared" si="61"/>
        <v>0</v>
      </c>
    </row>
    <row r="107" spans="1:35" x14ac:dyDescent="0.25">
      <c r="A107" s="335">
        <v>5370.3</v>
      </c>
      <c r="B107" s="352">
        <f t="shared" si="59"/>
        <v>5.3703000000000003</v>
      </c>
      <c r="C107" s="325">
        <f t="shared" si="31"/>
        <v>3.4937768140924721</v>
      </c>
      <c r="D107" s="326">
        <f t="shared" si="32"/>
        <v>1.2805135260197353</v>
      </c>
      <c r="E107" s="326">
        <f t="shared" si="33"/>
        <v>1.0000024797857912</v>
      </c>
      <c r="F107" s="327">
        <f t="shared" si="34"/>
        <v>2.2270072594279384E-3</v>
      </c>
      <c r="G107" s="326">
        <f t="shared" si="35"/>
        <v>1</v>
      </c>
      <c r="H107" s="327">
        <f t="shared" si="36"/>
        <v>0</v>
      </c>
      <c r="I107" s="325">
        <f t="shared" si="37"/>
        <v>8422.8229835798265</v>
      </c>
      <c r="J107" s="328">
        <f t="shared" si="38"/>
        <v>1.5706776017541</v>
      </c>
      <c r="K107" s="336">
        <f t="shared" si="39"/>
        <v>1.2050714396839368</v>
      </c>
      <c r="L107" s="337">
        <f t="shared" si="40"/>
        <v>0.59199995405840944</v>
      </c>
      <c r="M107" s="325">
        <f t="shared" si="41"/>
        <v>1.0004913576830334</v>
      </c>
      <c r="N107" s="337">
        <f t="shared" si="42"/>
        <v>3.1341875301654179E-2</v>
      </c>
      <c r="O107" s="343">
        <f t="shared" si="43"/>
        <v>1.000486804236792</v>
      </c>
      <c r="P107" s="691">
        <f t="shared" si="44"/>
        <v>3.1196372764211971E-2</v>
      </c>
      <c r="Q107" s="336">
        <f t="shared" si="60"/>
        <v>4.1622102016499918</v>
      </c>
      <c r="R107" s="692">
        <f t="shared" si="45"/>
        <v>5.2297151806358889E-2</v>
      </c>
      <c r="S107" s="329">
        <f t="shared" si="46"/>
        <v>0.99977866851332764</v>
      </c>
      <c r="T107" s="330">
        <f t="shared" si="47"/>
        <v>3.0976366966622471E-2</v>
      </c>
      <c r="U107" s="331">
        <f t="shared" si="48"/>
        <v>13.149291763827723</v>
      </c>
      <c r="V107" s="332">
        <f t="shared" si="49"/>
        <v>-134.09407925561442</v>
      </c>
      <c r="W107" s="334">
        <f t="shared" si="50"/>
        <v>45.905920744385583</v>
      </c>
      <c r="Y107" s="307">
        <f t="shared" si="51"/>
        <v>1000000000</v>
      </c>
      <c r="Z107" s="307">
        <f t="shared" si="52"/>
        <v>28840122.090000004</v>
      </c>
      <c r="AB107" s="333">
        <f t="shared" si="53"/>
        <v>20.814059974556347</v>
      </c>
      <c r="AC107" s="334">
        <f t="shared" si="54"/>
        <v>-57.869855959690391</v>
      </c>
      <c r="AE107" s="333">
        <f t="shared" si="55"/>
        <v>16.758684503761586</v>
      </c>
      <c r="AF107" s="334">
        <f t="shared" si="56"/>
        <v>-75.015237710989481</v>
      </c>
      <c r="AH107">
        <f t="shared" si="57"/>
        <v>0</v>
      </c>
      <c r="AI107">
        <f t="shared" si="61"/>
        <v>0</v>
      </c>
    </row>
    <row r="108" spans="1:35" x14ac:dyDescent="0.25">
      <c r="A108" s="335">
        <v>5432.85</v>
      </c>
      <c r="B108" s="352">
        <f t="shared" si="59"/>
        <v>5.4328500000000002</v>
      </c>
      <c r="C108" s="325">
        <f t="shared" si="31"/>
        <v>3.5311540903651326</v>
      </c>
      <c r="D108" s="326">
        <f t="shared" si="32"/>
        <v>1.2836739998812059</v>
      </c>
      <c r="E108" s="326">
        <f t="shared" si="33"/>
        <v>1.0000025378882138</v>
      </c>
      <c r="F108" s="327">
        <f t="shared" si="34"/>
        <v>2.2529460031525139E-3</v>
      </c>
      <c r="G108" s="326">
        <f t="shared" si="35"/>
        <v>1</v>
      </c>
      <c r="H108" s="327">
        <f t="shared" si="36"/>
        <v>0</v>
      </c>
      <c r="I108" s="325">
        <f t="shared" si="37"/>
        <v>8520.9269200897816</v>
      </c>
      <c r="J108" s="328">
        <f t="shared" si="38"/>
        <v>1.5706789686704021</v>
      </c>
      <c r="K108" s="336">
        <f t="shared" si="39"/>
        <v>1.2094595313357253</v>
      </c>
      <c r="L108" s="337">
        <f t="shared" si="40"/>
        <v>0.59737386721947372</v>
      </c>
      <c r="M108" s="325">
        <f t="shared" si="41"/>
        <v>1.0005028675213024</v>
      </c>
      <c r="N108" s="337">
        <f t="shared" si="42"/>
        <v>3.1706683267195022E-2</v>
      </c>
      <c r="O108" s="343">
        <f t="shared" si="43"/>
        <v>1.0004982074391298</v>
      </c>
      <c r="P108" s="691">
        <f t="shared" si="44"/>
        <v>3.1559489375389216E-2</v>
      </c>
      <c r="Q108" s="336">
        <f t="shared" si="60"/>
        <v>4.1623423641102661</v>
      </c>
      <c r="R108" s="692">
        <f t="shared" si="45"/>
        <v>5.290516156705094E-2</v>
      </c>
      <c r="S108" s="329">
        <f t="shared" si="46"/>
        <v>0.99977348792189269</v>
      </c>
      <c r="T108" s="330">
        <f t="shared" si="47"/>
        <v>3.1337440821388111E-2</v>
      </c>
      <c r="U108" s="331">
        <f t="shared" si="48"/>
        <v>12.987617943200734</v>
      </c>
      <c r="V108" s="332">
        <f t="shared" si="49"/>
        <v>-134.02147197207785</v>
      </c>
      <c r="W108" s="334">
        <f t="shared" si="50"/>
        <v>45.978528027922152</v>
      </c>
      <c r="Y108" s="307">
        <f t="shared" si="51"/>
        <v>1000000000</v>
      </c>
      <c r="Z108" s="307">
        <f t="shared" si="52"/>
        <v>29515859.122500002</v>
      </c>
      <c r="AB108" s="333">
        <f t="shared" si="53"/>
        <v>20.744947662854031</v>
      </c>
      <c r="AC108" s="334">
        <f t="shared" si="54"/>
        <v>-57.58293369105705</v>
      </c>
      <c r="AE108" s="333">
        <f t="shared" si="55"/>
        <v>16.666299794894165</v>
      </c>
      <c r="AF108" s="334">
        <f t="shared" si="56"/>
        <v>-75.215521352171294</v>
      </c>
      <c r="AH108">
        <f t="shared" si="57"/>
        <v>0</v>
      </c>
      <c r="AI108">
        <f t="shared" si="61"/>
        <v>0</v>
      </c>
    </row>
    <row r="109" spans="1:35" x14ac:dyDescent="0.25">
      <c r="A109" s="335">
        <v>5495.4</v>
      </c>
      <c r="B109" s="352">
        <f t="shared" si="59"/>
        <v>5.4954000000000001</v>
      </c>
      <c r="C109" s="325">
        <f t="shared" si="31"/>
        <v>3.5685658988381714</v>
      </c>
      <c r="D109" s="326">
        <f t="shared" si="32"/>
        <v>1.2867682371320615</v>
      </c>
      <c r="E109" s="326">
        <f t="shared" si="33"/>
        <v>1.0000025966634567</v>
      </c>
      <c r="F109" s="327">
        <f t="shared" si="34"/>
        <v>2.2788847438454372E-3</v>
      </c>
      <c r="G109" s="326">
        <f t="shared" si="35"/>
        <v>1</v>
      </c>
      <c r="H109" s="327">
        <f t="shared" si="36"/>
        <v>0</v>
      </c>
      <c r="I109" s="325">
        <f t="shared" si="37"/>
        <v>8619.0308566152962</v>
      </c>
      <c r="J109" s="328">
        <f t="shared" si="38"/>
        <v>1.5706803044695472</v>
      </c>
      <c r="K109" s="336">
        <f t="shared" si="39"/>
        <v>1.2138822977905854</v>
      </c>
      <c r="L109" s="337">
        <f t="shared" si="40"/>
        <v>0.6027087739321576</v>
      </c>
      <c r="M109" s="325">
        <f t="shared" si="41"/>
        <v>1.0005145105082731</v>
      </c>
      <c r="N109" s="337">
        <f t="shared" si="42"/>
        <v>3.2071482790743899E-2</v>
      </c>
      <c r="O109" s="343">
        <f t="shared" si="43"/>
        <v>1.0005097425578142</v>
      </c>
      <c r="P109" s="691">
        <f t="shared" si="44"/>
        <v>3.1922597661524332E-2</v>
      </c>
      <c r="Q109" s="336">
        <f t="shared" si="60"/>
        <v>4.1624760527368263</v>
      </c>
      <c r="R109" s="692">
        <f t="shared" si="45"/>
        <v>5.3513132653502417E-2</v>
      </c>
      <c r="S109" s="329">
        <f t="shared" si="46"/>
        <v>0.9997682475866293</v>
      </c>
      <c r="T109" s="330">
        <f t="shared" si="47"/>
        <v>3.169852440008368E-2</v>
      </c>
      <c r="U109" s="331">
        <f t="shared" si="48"/>
        <v>12.828115874388384</v>
      </c>
      <c r="V109" s="332">
        <f t="shared" si="49"/>
        <v>-133.94730106702855</v>
      </c>
      <c r="W109" s="334">
        <f t="shared" si="50"/>
        <v>46.052698932971452</v>
      </c>
      <c r="Y109" s="307">
        <f t="shared" si="51"/>
        <v>1000000000</v>
      </c>
      <c r="Z109" s="307">
        <f t="shared" si="52"/>
        <v>30199421.159999996</v>
      </c>
      <c r="AB109" s="333">
        <f t="shared" si="53"/>
        <v>20.677119419983118</v>
      </c>
      <c r="AC109" s="334">
        <f t="shared" si="54"/>
        <v>-57.298244060719966</v>
      </c>
      <c r="AE109" s="333">
        <f t="shared" si="55"/>
        <v>16.574804800824602</v>
      </c>
      <c r="AF109" s="334">
        <f t="shared" si="56"/>
        <v>-75.412010472425152</v>
      </c>
      <c r="AH109">
        <f t="shared" si="57"/>
        <v>0</v>
      </c>
      <c r="AI109">
        <f t="shared" si="61"/>
        <v>0</v>
      </c>
    </row>
    <row r="110" spans="1:35" x14ac:dyDescent="0.25">
      <c r="A110" s="335">
        <v>5559.4</v>
      </c>
      <c r="B110" s="352">
        <f t="shared" si="59"/>
        <v>5.5593999999999992</v>
      </c>
      <c r="C110" s="325">
        <f t="shared" si="31"/>
        <v>3.6068795889057972</v>
      </c>
      <c r="D110" s="326">
        <f t="shared" si="32"/>
        <v>1.2898677346847638</v>
      </c>
      <c r="E110" s="326">
        <f t="shared" si="33"/>
        <v>1.0000026574975913</v>
      </c>
      <c r="F110" s="327">
        <f t="shared" si="34"/>
        <v>2.3054247791099501E-3</v>
      </c>
      <c r="G110" s="326">
        <f t="shared" si="35"/>
        <v>1</v>
      </c>
      <c r="H110" s="327">
        <f t="shared" si="36"/>
        <v>0</v>
      </c>
      <c r="I110" s="325">
        <f t="shared" si="37"/>
        <v>8719.4089851301796</v>
      </c>
      <c r="J110" s="328">
        <f t="shared" si="38"/>
        <v>1.5706816401224515</v>
      </c>
      <c r="K110" s="336">
        <f t="shared" si="39"/>
        <v>1.2184430863826319</v>
      </c>
      <c r="L110" s="337">
        <f t="shared" si="40"/>
        <v>0.6081271063769681</v>
      </c>
      <c r="M110" s="325">
        <f t="shared" si="41"/>
        <v>1.0005265612061207</v>
      </c>
      <c r="N110" s="337">
        <f t="shared" si="42"/>
        <v>3.2444730059201836E-2</v>
      </c>
      <c r="O110" s="343">
        <f t="shared" si="43"/>
        <v>1.0005216816113822</v>
      </c>
      <c r="P110" s="691">
        <f t="shared" si="44"/>
        <v>3.2294114609667503E-2</v>
      </c>
      <c r="Q110" s="336">
        <f t="shared" si="60"/>
        <v>4.1626144199513577</v>
      </c>
      <c r="R110" s="692">
        <f t="shared" si="45"/>
        <v>5.4135156905627459E-2</v>
      </c>
      <c r="S110" s="329">
        <f t="shared" si="46"/>
        <v>0.99976282394437643</v>
      </c>
      <c r="T110" s="330">
        <f t="shared" si="47"/>
        <v>3.2067988602894511E-2</v>
      </c>
      <c r="U110" s="331">
        <f t="shared" si="48"/>
        <v>12.667116497495725</v>
      </c>
      <c r="V110" s="332">
        <f t="shared" si="49"/>
        <v>-133.86990475345519</v>
      </c>
      <c r="W110" s="334">
        <f t="shared" si="50"/>
        <v>46.130095246544812</v>
      </c>
      <c r="Y110" s="307">
        <f t="shared" si="51"/>
        <v>1000000000</v>
      </c>
      <c r="Z110" s="307">
        <f t="shared" si="52"/>
        <v>30906928.359999996</v>
      </c>
      <c r="AB110" s="333">
        <f t="shared" si="53"/>
        <v>20.609015937092913</v>
      </c>
      <c r="AC110" s="334">
        <f t="shared" si="54"/>
        <v>-57.009258499775051</v>
      </c>
      <c r="AE110" s="333">
        <f t="shared" si="55"/>
        <v>16.482093986731257</v>
      </c>
      <c r="AF110" s="334">
        <f t="shared" si="56"/>
        <v>-75.60924670852495</v>
      </c>
      <c r="AH110">
        <f t="shared" si="57"/>
        <v>0</v>
      </c>
      <c r="AI110">
        <f t="shared" si="61"/>
        <v>0</v>
      </c>
    </row>
    <row r="111" spans="1:35" x14ac:dyDescent="0.25">
      <c r="A111" s="335">
        <v>5623.4</v>
      </c>
      <c r="B111" s="352">
        <f t="shared" si="59"/>
        <v>5.6233999999999993</v>
      </c>
      <c r="C111" s="325">
        <f t="shared" si="31"/>
        <v>3.6452272012531823</v>
      </c>
      <c r="D111" s="326">
        <f t="shared" si="32"/>
        <v>1.2929020477528854</v>
      </c>
      <c r="E111" s="326">
        <f t="shared" si="33"/>
        <v>1.0000027190361012</v>
      </c>
      <c r="F111" s="327">
        <f t="shared" si="34"/>
        <v>2.3319648111266981E-3</v>
      </c>
      <c r="G111" s="326">
        <f t="shared" si="35"/>
        <v>1</v>
      </c>
      <c r="H111" s="327">
        <f t="shared" si="36"/>
        <v>0</v>
      </c>
      <c r="I111" s="325">
        <f t="shared" si="37"/>
        <v>8819.7871136602644</v>
      </c>
      <c r="J111" s="328">
        <f t="shared" si="38"/>
        <v>1.5706829453731848</v>
      </c>
      <c r="K111" s="336">
        <f t="shared" si="39"/>
        <v>1.2230393790268097</v>
      </c>
      <c r="L111" s="337">
        <f t="shared" si="40"/>
        <v>0.61350487055281899</v>
      </c>
      <c r="M111" s="325">
        <f t="shared" si="41"/>
        <v>1.0005387512874795</v>
      </c>
      <c r="N111" s="337">
        <f t="shared" si="42"/>
        <v>3.2817968284726613E-2</v>
      </c>
      <c r="O111" s="343">
        <f t="shared" si="43"/>
        <v>1.0005337587584913</v>
      </c>
      <c r="P111" s="691">
        <f t="shared" si="44"/>
        <v>3.2665622640144568E-2</v>
      </c>
      <c r="Q111" s="336">
        <f t="shared" si="60"/>
        <v>4.16275438459658</v>
      </c>
      <c r="R111" s="692">
        <f t="shared" si="45"/>
        <v>5.4757139737401331E-2</v>
      </c>
      <c r="S111" s="329">
        <f t="shared" si="46"/>
        <v>0.99975733777449116</v>
      </c>
      <c r="T111" s="330">
        <f t="shared" si="47"/>
        <v>3.2437463222829886E-2</v>
      </c>
      <c r="U111" s="331">
        <f t="shared" si="48"/>
        <v>12.508295275264762</v>
      </c>
      <c r="V111" s="332">
        <f t="shared" si="49"/>
        <v>-133.79109450935616</v>
      </c>
      <c r="W111" s="334">
        <f t="shared" si="50"/>
        <v>46.208905490643843</v>
      </c>
      <c r="Y111" s="307">
        <f t="shared" si="51"/>
        <v>1000000000</v>
      </c>
      <c r="Z111" s="307">
        <f t="shared" si="52"/>
        <v>31622627.559999995</v>
      </c>
      <c r="AB111" s="333">
        <f t="shared" si="53"/>
        <v>20.542192886443512</v>
      </c>
      <c r="AC111" s="334">
        <f t="shared" si="54"/>
        <v>-56.722595069388333</v>
      </c>
      <c r="AE111" s="333">
        <f t="shared" si="55"/>
        <v>16.390283021028765</v>
      </c>
      <c r="AF111" s="334">
        <f t="shared" si="56"/>
        <v>-75.802748745807619</v>
      </c>
      <c r="AH111">
        <f t="shared" si="57"/>
        <v>0</v>
      </c>
      <c r="AI111">
        <f t="shared" si="61"/>
        <v>0</v>
      </c>
    </row>
    <row r="112" spans="1:35" x14ac:dyDescent="0.25">
      <c r="A112" s="335">
        <v>5688.9</v>
      </c>
      <c r="B112" s="352">
        <f t="shared" si="59"/>
        <v>5.6888999999999994</v>
      </c>
      <c r="C112" s="325">
        <f t="shared" si="31"/>
        <v>3.6845076046723415</v>
      </c>
      <c r="D112" s="326">
        <f t="shared" si="32"/>
        <v>1.2959420499884453</v>
      </c>
      <c r="E112" s="326">
        <f t="shared" si="33"/>
        <v>1.0000027827462514</v>
      </c>
      <c r="F112" s="327">
        <f t="shared" si="34"/>
        <v>2.3591268717419863E-3</v>
      </c>
      <c r="G112" s="326">
        <f t="shared" si="35"/>
        <v>1</v>
      </c>
      <c r="H112" s="327">
        <f t="shared" si="36"/>
        <v>0</v>
      </c>
      <c r="I112" s="325">
        <f t="shared" si="37"/>
        <v>8922.5178545929775</v>
      </c>
      <c r="J112" s="328">
        <f t="shared" si="38"/>
        <v>1.5706842508071104</v>
      </c>
      <c r="K112" s="336">
        <f t="shared" si="39"/>
        <v>1.2277797431640429</v>
      </c>
      <c r="L112" s="337">
        <f t="shared" si="40"/>
        <v>0.61896682319252005</v>
      </c>
      <c r="M112" s="325">
        <f t="shared" si="41"/>
        <v>1.0005513713905498</v>
      </c>
      <c r="N112" s="337">
        <f t="shared" si="42"/>
        <v>3.3199944809661784E-2</v>
      </c>
      <c r="O112" s="343">
        <f t="shared" si="43"/>
        <v>1.0005462619448378</v>
      </c>
      <c r="P112" s="691">
        <f t="shared" si="44"/>
        <v>3.3045828549785099E-2</v>
      </c>
      <c r="Q112" s="336">
        <f t="shared" si="60"/>
        <v>4.1628992835241485</v>
      </c>
      <c r="R112" s="692">
        <f t="shared" si="45"/>
        <v>5.5393656912179602E-2</v>
      </c>
      <c r="S112" s="329">
        <f t="shared" si="46"/>
        <v>0.99975165828922752</v>
      </c>
      <c r="T112" s="330">
        <f t="shared" si="47"/>
        <v>3.2815608315530632E-2</v>
      </c>
      <c r="U112" s="331">
        <f t="shared" si="48"/>
        <v>12.347958726166572</v>
      </c>
      <c r="V112" s="332">
        <f t="shared" si="49"/>
        <v>-133.70908281167468</v>
      </c>
      <c r="W112" s="334">
        <f t="shared" si="50"/>
        <v>46.290917188325324</v>
      </c>
      <c r="Y112" s="307">
        <f t="shared" si="51"/>
        <v>1000000000</v>
      </c>
      <c r="Z112" s="307">
        <f t="shared" si="52"/>
        <v>32363583.209999997</v>
      </c>
      <c r="AB112" s="333">
        <f t="shared" si="53"/>
        <v>20.475097331454499</v>
      </c>
      <c r="AC112" s="334">
        <f t="shared" si="54"/>
        <v>-56.431608673506851</v>
      </c>
      <c r="AE112" s="333">
        <f t="shared" si="55"/>
        <v>16.297235821121038</v>
      </c>
      <c r="AF112" s="334">
        <f t="shared" si="56"/>
        <v>-75.997037890256735</v>
      </c>
      <c r="AH112">
        <f t="shared" si="57"/>
        <v>0</v>
      </c>
      <c r="AI112">
        <f t="shared" si="61"/>
        <v>0</v>
      </c>
    </row>
    <row r="113" spans="1:35" x14ac:dyDescent="0.25">
      <c r="A113" s="335">
        <v>5754.4</v>
      </c>
      <c r="B113" s="352">
        <f t="shared" si="59"/>
        <v>5.7543999999999995</v>
      </c>
      <c r="C113" s="325">
        <f t="shared" si="31"/>
        <v>3.7238213403421061</v>
      </c>
      <c r="D113" s="326">
        <f t="shared" si="32"/>
        <v>1.2989178904263297</v>
      </c>
      <c r="E113" s="326">
        <f t="shared" si="33"/>
        <v>1.0000028471941815</v>
      </c>
      <c r="F113" s="327">
        <f t="shared" si="34"/>
        <v>2.3862889288762475E-3</v>
      </c>
      <c r="G113" s="326">
        <f t="shared" si="35"/>
        <v>1</v>
      </c>
      <c r="H113" s="327">
        <f t="shared" si="36"/>
        <v>0</v>
      </c>
      <c r="I113" s="325">
        <f t="shared" si="37"/>
        <v>9025.24859554055</v>
      </c>
      <c r="J113" s="328">
        <f t="shared" si="38"/>
        <v>1.5706855265225872</v>
      </c>
      <c r="K113" s="336">
        <f t="shared" si="39"/>
        <v>1.2325564531879629</v>
      </c>
      <c r="L113" s="337">
        <f t="shared" si="40"/>
        <v>0.6243866014399978</v>
      </c>
      <c r="M113" s="325">
        <f t="shared" si="41"/>
        <v>1.0005641374764389</v>
      </c>
      <c r="N113" s="337">
        <f t="shared" si="42"/>
        <v>3.3581911643135558E-2</v>
      </c>
      <c r="O113" s="343">
        <f t="shared" si="43"/>
        <v>1.0005589097630567</v>
      </c>
      <c r="P113" s="691">
        <f t="shared" si="44"/>
        <v>3.3426024902206232E-2</v>
      </c>
      <c r="Q113" s="336">
        <f t="shared" si="60"/>
        <v>4.1630458552960219</v>
      </c>
      <c r="R113" s="692">
        <f t="shared" si="45"/>
        <v>5.6030129703828313E-2</v>
      </c>
      <c r="S113" s="329">
        <f t="shared" si="46"/>
        <v>0.99974591333096319</v>
      </c>
      <c r="T113" s="330">
        <f t="shared" si="47"/>
        <v>3.3193764573557515E-2</v>
      </c>
      <c r="U113" s="331">
        <f t="shared" si="48"/>
        <v>12.189806943131829</v>
      </c>
      <c r="V113" s="332">
        <f t="shared" si="49"/>
        <v>-133.62580771498318</v>
      </c>
      <c r="W113" s="334">
        <f t="shared" si="50"/>
        <v>46.374192285016818</v>
      </c>
      <c r="Y113" s="307">
        <f t="shared" si="51"/>
        <v>1000000000</v>
      </c>
      <c r="Z113" s="307">
        <f t="shared" si="52"/>
        <v>33113119.359999996</v>
      </c>
      <c r="AB113" s="333">
        <f t="shared" si="53"/>
        <v>20.40927868012151</v>
      </c>
      <c r="AC113" s="334">
        <f t="shared" si="54"/>
        <v>-56.143036434284518</v>
      </c>
      <c r="AE113" s="333">
        <f t="shared" si="55"/>
        <v>16.205098709166531</v>
      </c>
      <c r="AF113" s="334">
        <f t="shared" si="56"/>
        <v>-76.187651474414409</v>
      </c>
      <c r="AH113">
        <f t="shared" si="57"/>
        <v>0</v>
      </c>
      <c r="AI113">
        <f t="shared" si="61"/>
        <v>0</v>
      </c>
    </row>
    <row r="114" spans="1:35" x14ac:dyDescent="0.25">
      <c r="A114" s="335">
        <v>5821.4</v>
      </c>
      <c r="B114" s="352">
        <f t="shared" si="59"/>
        <v>5.8213999999999997</v>
      </c>
      <c r="C114" s="325">
        <f t="shared" si="31"/>
        <v>3.7640687877429166</v>
      </c>
      <c r="D114" s="326">
        <f t="shared" si="32"/>
        <v>1.3018975390386018</v>
      </c>
      <c r="E114" s="326">
        <f t="shared" si="33"/>
        <v>1.0000029138813347</v>
      </c>
      <c r="F114" s="327">
        <f t="shared" si="34"/>
        <v>2.4140730142099783E-3</v>
      </c>
      <c r="G114" s="326">
        <f t="shared" si="35"/>
        <v>1</v>
      </c>
      <c r="H114" s="327">
        <f t="shared" si="36"/>
        <v>0</v>
      </c>
      <c r="I114" s="325">
        <f t="shared" si="37"/>
        <v>9130.3319488910838</v>
      </c>
      <c r="J114" s="328">
        <f t="shared" si="38"/>
        <v>1.5706868017516018</v>
      </c>
      <c r="K114" s="336">
        <f t="shared" si="39"/>
        <v>1.2374797186577375</v>
      </c>
      <c r="L114" s="337">
        <f t="shared" si="40"/>
        <v>0.62988704177230614</v>
      </c>
      <c r="M114" s="325">
        <f t="shared" si="41"/>
        <v>1.0005773469453905</v>
      </c>
      <c r="N114" s="337">
        <f t="shared" si="42"/>
        <v>3.3972615665952111E-2</v>
      </c>
      <c r="O114" s="343">
        <f t="shared" si="43"/>
        <v>1.000571996858318</v>
      </c>
      <c r="P114" s="691">
        <f t="shared" si="44"/>
        <v>3.3814918039090411E-2</v>
      </c>
      <c r="Q114" s="336">
        <f t="shared" si="60"/>
        <v>4.1631975142362414</v>
      </c>
      <c r="R114" s="692">
        <f t="shared" si="45"/>
        <v>5.6681131762740318E-2</v>
      </c>
      <c r="S114" s="329">
        <f t="shared" si="46"/>
        <v>0.99973996908023677</v>
      </c>
      <c r="T114" s="330">
        <f t="shared" si="47"/>
        <v>3.3580592584383749E-2</v>
      </c>
      <c r="U114" s="331">
        <f t="shared" si="48"/>
        <v>12.030244902281224</v>
      </c>
      <c r="V114" s="332">
        <f t="shared" si="49"/>
        <v>-133.53942518167699</v>
      </c>
      <c r="W114" s="334">
        <f t="shared" si="50"/>
        <v>46.460574818323011</v>
      </c>
      <c r="Y114" s="307">
        <f t="shared" si="51"/>
        <v>1000000000</v>
      </c>
      <c r="Z114" s="307">
        <f t="shared" si="52"/>
        <v>33888697.959999993</v>
      </c>
      <c r="AB114" s="333">
        <f t="shared" si="53"/>
        <v>20.343241527217589</v>
      </c>
      <c r="AC114" s="334">
        <f t="shared" si="54"/>
        <v>-55.850343174231888</v>
      </c>
      <c r="AE114" s="333">
        <f t="shared" si="55"/>
        <v>16.111776631879732</v>
      </c>
      <c r="AF114" s="334">
        <f t="shared" si="56"/>
        <v>-76.378944466138719</v>
      </c>
      <c r="AH114">
        <f t="shared" si="57"/>
        <v>0</v>
      </c>
      <c r="AI114">
        <f t="shared" si="61"/>
        <v>0</v>
      </c>
    </row>
    <row r="115" spans="1:35" x14ac:dyDescent="0.25">
      <c r="A115" s="335">
        <v>5888.4</v>
      </c>
      <c r="B115" s="352">
        <f t="shared" si="59"/>
        <v>5.8883999999999999</v>
      </c>
      <c r="C115" s="325">
        <f t="shared" si="31"/>
        <v>3.8043489464352112</v>
      </c>
      <c r="D115" s="326">
        <f t="shared" si="32"/>
        <v>1.3048141165023444</v>
      </c>
      <c r="E115" s="326">
        <f t="shared" si="33"/>
        <v>1.0000029813404452</v>
      </c>
      <c r="F115" s="327">
        <f t="shared" si="34"/>
        <v>2.4418570958165881E-3</v>
      </c>
      <c r="G115" s="326">
        <f t="shared" si="35"/>
        <v>1</v>
      </c>
      <c r="H115" s="327">
        <f t="shared" si="36"/>
        <v>0</v>
      </c>
      <c r="I115" s="325">
        <f t="shared" si="37"/>
        <v>9235.4153022561277</v>
      </c>
      <c r="J115" s="328">
        <f t="shared" si="38"/>
        <v>1.5706880479607321</v>
      </c>
      <c r="K115" s="336">
        <f t="shared" si="39"/>
        <v>1.2424401265095755</v>
      </c>
      <c r="L115" s="337">
        <f t="shared" si="40"/>
        <v>0.63534372539074568</v>
      </c>
      <c r="M115" s="325">
        <f t="shared" si="41"/>
        <v>1.0005907091480608</v>
      </c>
      <c r="N115" s="337">
        <f t="shared" si="42"/>
        <v>3.4363309313238069E-2</v>
      </c>
      <c r="O115" s="343">
        <f t="shared" si="43"/>
        <v>1.000585235273987</v>
      </c>
      <c r="P115" s="691">
        <f t="shared" si="44"/>
        <v>3.4203800944151562E-2</v>
      </c>
      <c r="Q115" s="336">
        <f t="shared" si="60"/>
        <v>4.1633509231407908</v>
      </c>
      <c r="R115" s="692">
        <f t="shared" si="45"/>
        <v>5.7332086314432443E-2</v>
      </c>
      <c r="S115" s="329">
        <f t="shared" si="46"/>
        <v>0.99973395634527862</v>
      </c>
      <c r="T115" s="330">
        <f t="shared" si="47"/>
        <v>3.396743254989424E-2</v>
      </c>
      <c r="U115" s="331">
        <f t="shared" si="48"/>
        <v>11.872871063312036</v>
      </c>
      <c r="V115" s="332">
        <f t="shared" si="49"/>
        <v>-133.45193230503227</v>
      </c>
      <c r="W115" s="334">
        <f t="shared" si="50"/>
        <v>46.548067694967727</v>
      </c>
      <c r="Y115" s="307">
        <f t="shared" si="51"/>
        <v>1000000000</v>
      </c>
      <c r="Z115" s="307">
        <f t="shared" si="52"/>
        <v>34673254.559999995</v>
      </c>
      <c r="AB115" s="333">
        <f t="shared" si="53"/>
        <v>20.278475868799891</v>
      </c>
      <c r="AC115" s="334">
        <f t="shared" si="54"/>
        <v>-55.560154732021161</v>
      </c>
      <c r="AE115" s="333">
        <f t="shared" si="55"/>
        <v>16.019373589269279</v>
      </c>
      <c r="AF115" s="334">
        <f t="shared" si="56"/>
        <v>-76.566624432405618</v>
      </c>
      <c r="AH115">
        <f t="shared" si="57"/>
        <v>0</v>
      </c>
      <c r="AI115">
        <f t="shared" si="61"/>
        <v>0</v>
      </c>
    </row>
    <row r="116" spans="1:35" x14ac:dyDescent="0.25">
      <c r="A116" s="335">
        <v>5957</v>
      </c>
      <c r="B116" s="352">
        <f t="shared" si="59"/>
        <v>5.9569999999999999</v>
      </c>
      <c r="C116" s="325">
        <f t="shared" si="31"/>
        <v>3.8456238382540096</v>
      </c>
      <c r="D116" s="326">
        <f t="shared" si="32"/>
        <v>1.3077370139742077</v>
      </c>
      <c r="E116" s="326">
        <f t="shared" si="33"/>
        <v>1.0000030512103495</v>
      </c>
      <c r="F116" s="327">
        <f t="shared" si="34"/>
        <v>2.4703046739729864E-3</v>
      </c>
      <c r="G116" s="326">
        <f t="shared" si="35"/>
        <v>1</v>
      </c>
      <c r="H116" s="327">
        <f t="shared" si="36"/>
        <v>0</v>
      </c>
      <c r="I116" s="325">
        <f t="shared" si="37"/>
        <v>9343.0081088503866</v>
      </c>
      <c r="J116" s="328">
        <f t="shared" si="38"/>
        <v>1.5706892948850171</v>
      </c>
      <c r="K116" s="336">
        <f t="shared" si="39"/>
        <v>1.2475570125922142</v>
      </c>
      <c r="L116" s="337">
        <f t="shared" si="40"/>
        <v>0.64088558912382565</v>
      </c>
      <c r="M116" s="325">
        <f t="shared" si="41"/>
        <v>1.0006045486900457</v>
      </c>
      <c r="N116" s="337">
        <f t="shared" si="42"/>
        <v>3.4763322083795692E-2</v>
      </c>
      <c r="O116" s="343">
        <f t="shared" si="43"/>
        <v>1.0005989466086407</v>
      </c>
      <c r="P116" s="691">
        <f t="shared" si="44"/>
        <v>3.4601959881489203E-2</v>
      </c>
      <c r="Q116" s="336">
        <f t="shared" si="60"/>
        <v>4.1635098084881577</v>
      </c>
      <c r="R116" s="692">
        <f t="shared" si="45"/>
        <v>5.7998536263304756E-2</v>
      </c>
      <c r="S116" s="329">
        <f t="shared" si="46"/>
        <v>0.99972772907744467</v>
      </c>
      <c r="T116" s="330">
        <f t="shared" si="47"/>
        <v>3.4363523014751228E-2</v>
      </c>
      <c r="U116" s="331">
        <f t="shared" si="48"/>
        <v>11.71395679469863</v>
      </c>
      <c r="V116" s="332">
        <f t="shared" si="49"/>
        <v>-133.36130340689519</v>
      </c>
      <c r="W116" s="334">
        <f t="shared" si="50"/>
        <v>46.638696593104811</v>
      </c>
      <c r="Y116" s="307">
        <f t="shared" si="51"/>
        <v>1000000000</v>
      </c>
      <c r="Z116" s="307">
        <f t="shared" si="52"/>
        <v>35485849</v>
      </c>
      <c r="AB116" s="333">
        <f t="shared" si="53"/>
        <v>20.21344846337529</v>
      </c>
      <c r="AC116" s="334">
        <f t="shared" si="54"/>
        <v>-55.265619816145694</v>
      </c>
      <c r="AE116" s="333">
        <f t="shared" si="55"/>
        <v>15.925699173414849</v>
      </c>
      <c r="AF116" s="334">
        <f t="shared" si="56"/>
        <v>-76.755158507484239</v>
      </c>
      <c r="AH116">
        <f t="shared" si="57"/>
        <v>0</v>
      </c>
      <c r="AI116">
        <f t="shared" si="61"/>
        <v>0</v>
      </c>
    </row>
    <row r="117" spans="1:35" x14ac:dyDescent="0.25">
      <c r="A117" s="335">
        <v>6025.6</v>
      </c>
      <c r="B117" s="352">
        <f t="shared" si="59"/>
        <v>6.0256000000000007</v>
      </c>
      <c r="C117" s="325">
        <f t="shared" si="31"/>
        <v>3.886930886588007</v>
      </c>
      <c r="D117" s="326">
        <f t="shared" si="32"/>
        <v>1.3105978112398211</v>
      </c>
      <c r="E117" s="326">
        <f t="shared" si="33"/>
        <v>1.0000031218895207</v>
      </c>
      <c r="F117" s="327">
        <f t="shared" si="34"/>
        <v>2.4987522481311163E-3</v>
      </c>
      <c r="G117" s="326">
        <f t="shared" si="35"/>
        <v>1</v>
      </c>
      <c r="H117" s="327">
        <f t="shared" si="36"/>
        <v>0</v>
      </c>
      <c r="I117" s="325">
        <f t="shared" si="37"/>
        <v>9450.6009154588373</v>
      </c>
      <c r="J117" s="328">
        <f t="shared" si="38"/>
        <v>1.5706905134174394</v>
      </c>
      <c r="K117" s="336">
        <f t="shared" si="39"/>
        <v>1.2527119002702187</v>
      </c>
      <c r="L117" s="337">
        <f t="shared" si="40"/>
        <v>0.64638201116669125</v>
      </c>
      <c r="M117" s="325">
        <f t="shared" si="41"/>
        <v>1.0006185483345376</v>
      </c>
      <c r="N117" s="337">
        <f t="shared" si="42"/>
        <v>3.516332372520653E-2</v>
      </c>
      <c r="O117" s="343">
        <f t="shared" si="43"/>
        <v>1.000612816564423</v>
      </c>
      <c r="P117" s="691">
        <f t="shared" si="44"/>
        <v>3.5000107843814632E-2</v>
      </c>
      <c r="Q117" s="336">
        <f t="shared" si="60"/>
        <v>4.1636705279654498</v>
      </c>
      <c r="R117" s="692">
        <f t="shared" si="45"/>
        <v>5.8664935264065868E-2</v>
      </c>
      <c r="S117" s="329">
        <f t="shared" si="46"/>
        <v>0.99972143003944602</v>
      </c>
      <c r="T117" s="330">
        <f t="shared" si="47"/>
        <v>3.4759626304020359E-2</v>
      </c>
      <c r="U117" s="331">
        <f t="shared" si="48"/>
        <v>11.557237442968709</v>
      </c>
      <c r="V117" s="332">
        <f t="shared" si="49"/>
        <v>-133.26971622643214</v>
      </c>
      <c r="W117" s="334">
        <f t="shared" si="50"/>
        <v>46.730283773567862</v>
      </c>
      <c r="Y117" s="307">
        <f t="shared" si="51"/>
        <v>1000000000</v>
      </c>
      <c r="Z117" s="307">
        <f t="shared" si="52"/>
        <v>36307855.360000007</v>
      </c>
      <c r="AB117" s="333">
        <f t="shared" si="53"/>
        <v>20.149689001270477</v>
      </c>
      <c r="AC117" s="334">
        <f t="shared" si="54"/>
        <v>-54.973686252949378</v>
      </c>
      <c r="AE117" s="333">
        <f t="shared" si="55"/>
        <v>15.832954169388191</v>
      </c>
      <c r="AF117" s="334">
        <f t="shared" si="56"/>
        <v>-76.940135237847542</v>
      </c>
      <c r="AH117">
        <f t="shared" si="57"/>
        <v>0</v>
      </c>
      <c r="AI117">
        <f t="shared" si="61"/>
        <v>0</v>
      </c>
    </row>
    <row r="118" spans="1:35" x14ac:dyDescent="0.25">
      <c r="A118" s="335">
        <v>6095.8</v>
      </c>
      <c r="B118" s="352">
        <f t="shared" si="59"/>
        <v>6.0958000000000006</v>
      </c>
      <c r="C118" s="325">
        <f t="shared" si="31"/>
        <v>3.9292335968075496</v>
      </c>
      <c r="D118" s="326">
        <f t="shared" si="32"/>
        <v>1.3134630382245231</v>
      </c>
      <c r="E118" s="326">
        <f t="shared" si="33"/>
        <v>1.0000031950549852</v>
      </c>
      <c r="F118" s="327">
        <f t="shared" si="34"/>
        <v>2.5278633183738824E-3</v>
      </c>
      <c r="G118" s="326">
        <f t="shared" si="35"/>
        <v>1</v>
      </c>
      <c r="H118" s="327">
        <f t="shared" si="36"/>
        <v>0</v>
      </c>
      <c r="I118" s="325">
        <f t="shared" si="37"/>
        <v>9560.7031752968396</v>
      </c>
      <c r="J118" s="328">
        <f t="shared" si="38"/>
        <v>1.5706917319776026</v>
      </c>
      <c r="K118" s="336">
        <f t="shared" si="39"/>
        <v>1.2580258726009226</v>
      </c>
      <c r="L118" s="337">
        <f t="shared" si="40"/>
        <v>0.65195982433336586</v>
      </c>
      <c r="M118" s="325">
        <f t="shared" si="41"/>
        <v>1.0006330402416461</v>
      </c>
      <c r="N118" s="337">
        <f t="shared" si="42"/>
        <v>3.5572643196378845E-2</v>
      </c>
      <c r="O118" s="343">
        <f t="shared" si="43"/>
        <v>1.0006271742245345</v>
      </c>
      <c r="P118" s="691">
        <f t="shared" si="44"/>
        <v>3.540753056280966E-2</v>
      </c>
      <c r="Q118" s="336">
        <f t="shared" si="60"/>
        <v>4.1638368945770106</v>
      </c>
      <c r="R118" s="692">
        <f t="shared" si="45"/>
        <v>5.9346823750436893E-2</v>
      </c>
      <c r="S118" s="329">
        <f t="shared" si="46"/>
        <v>0.99971490979740796</v>
      </c>
      <c r="T118" s="330">
        <f t="shared" si="47"/>
        <v>3.516498158462885E-2</v>
      </c>
      <c r="U118" s="331">
        <f t="shared" si="48"/>
        <v>11.399085078314087</v>
      </c>
      <c r="V118" s="332">
        <f t="shared" si="49"/>
        <v>-133.17510151846824</v>
      </c>
      <c r="W118" s="334">
        <f t="shared" si="50"/>
        <v>46.824898481531761</v>
      </c>
      <c r="Y118" s="307">
        <f t="shared" si="51"/>
        <v>1000000000</v>
      </c>
      <c r="Z118" s="307">
        <f t="shared" si="52"/>
        <v>37158777.640000001</v>
      </c>
      <c r="AB118" s="333">
        <f t="shared" si="53"/>
        <v>20.085722377825718</v>
      </c>
      <c r="AC118" s="334">
        <f t="shared" si="54"/>
        <v>-54.677623195773258</v>
      </c>
      <c r="AE118" s="333">
        <f t="shared" si="55"/>
        <v>15.738990849112684</v>
      </c>
      <c r="AF118" s="334">
        <f t="shared" si="56"/>
        <v>-77.125857856950375</v>
      </c>
      <c r="AH118">
        <f t="shared" si="57"/>
        <v>0</v>
      </c>
      <c r="AI118">
        <f t="shared" si="61"/>
        <v>0</v>
      </c>
    </row>
    <row r="119" spans="1:35" x14ac:dyDescent="0.25">
      <c r="A119" s="335">
        <v>6166</v>
      </c>
      <c r="B119" s="352">
        <f t="shared" si="59"/>
        <v>6.1660000000000004</v>
      </c>
      <c r="C119" s="325">
        <f t="shared" si="31"/>
        <v>3.9715678768519385</v>
      </c>
      <c r="D119" s="326">
        <f t="shared" si="32"/>
        <v>1.3162672049835207</v>
      </c>
      <c r="E119" s="326">
        <f t="shared" si="33"/>
        <v>1.0000032690679066</v>
      </c>
      <c r="F119" s="327">
        <f t="shared" si="34"/>
        <v>2.5569743843321417E-3</v>
      </c>
      <c r="G119" s="326">
        <f t="shared" si="35"/>
        <v>1</v>
      </c>
      <c r="H119" s="327">
        <f t="shared" si="36"/>
        <v>0</v>
      </c>
      <c r="I119" s="325">
        <f t="shared" si="37"/>
        <v>9670.805435148719</v>
      </c>
      <c r="J119" s="328">
        <f t="shared" si="38"/>
        <v>1.5706929227911155</v>
      </c>
      <c r="K119" s="336">
        <f t="shared" si="39"/>
        <v>1.2633786546697121</v>
      </c>
      <c r="L119" s="337">
        <f t="shared" si="40"/>
        <v>0.65749054332747747</v>
      </c>
      <c r="M119" s="325">
        <f t="shared" si="41"/>
        <v>1.0006476997923732</v>
      </c>
      <c r="N119" s="337">
        <f t="shared" si="42"/>
        <v>3.5981950743014711E-2</v>
      </c>
      <c r="O119" s="343">
        <f t="shared" si="43"/>
        <v>1.0006416979772421</v>
      </c>
      <c r="P119" s="691">
        <f t="shared" si="44"/>
        <v>3.5814941522406281E-2</v>
      </c>
      <c r="Q119" s="336">
        <f t="shared" si="60"/>
        <v>4.1640051814207508</v>
      </c>
      <c r="R119" s="692">
        <f t="shared" si="45"/>
        <v>6.0028657658418451E-2</v>
      </c>
      <c r="S119" s="329">
        <f t="shared" si="46"/>
        <v>0.99970831442462205</v>
      </c>
      <c r="T119" s="330">
        <f t="shared" si="47"/>
        <v>3.5570350607782228E-2</v>
      </c>
      <c r="U119" s="331">
        <f t="shared" si="48"/>
        <v>11.243131018746521</v>
      </c>
      <c r="V119" s="332">
        <f t="shared" si="49"/>
        <v>-133.07968267589828</v>
      </c>
      <c r="W119" s="334">
        <f t="shared" si="50"/>
        <v>46.920317324101717</v>
      </c>
      <c r="Y119" s="307">
        <f t="shared" si="51"/>
        <v>1000000000</v>
      </c>
      <c r="Z119" s="307">
        <f t="shared" si="52"/>
        <v>38019556</v>
      </c>
      <c r="AB119" s="333">
        <f t="shared" si="53"/>
        <v>20.023018155386524</v>
      </c>
      <c r="AC119" s="334">
        <f t="shared" si="54"/>
        <v>-54.384256162936175</v>
      </c>
      <c r="AE119" s="333">
        <f t="shared" si="55"/>
        <v>15.645965984605198</v>
      </c>
      <c r="AF119" s="334">
        <f t="shared" si="56"/>
        <v>-77.308082770455528</v>
      </c>
      <c r="AH119">
        <f t="shared" si="57"/>
        <v>0</v>
      </c>
      <c r="AI119">
        <f t="shared" si="61"/>
        <v>0</v>
      </c>
    </row>
    <row r="120" spans="1:35" x14ac:dyDescent="0.25">
      <c r="A120" s="335">
        <v>6237.8</v>
      </c>
      <c r="B120" s="352">
        <f t="shared" si="59"/>
        <v>6.2378</v>
      </c>
      <c r="C120" s="325">
        <f t="shared" si="31"/>
        <v>4.0148986572084526</v>
      </c>
      <c r="D120" s="326">
        <f t="shared" si="32"/>
        <v>1.3190740887668773</v>
      </c>
      <c r="E120" s="326">
        <f t="shared" si="33"/>
        <v>1.0000033456443822</v>
      </c>
      <c r="F120" s="327">
        <f t="shared" si="34"/>
        <v>2.5867489458856973E-3</v>
      </c>
      <c r="G120" s="326">
        <f t="shared" si="35"/>
        <v>1</v>
      </c>
      <c r="H120" s="327">
        <f t="shared" si="36"/>
        <v>0</v>
      </c>
      <c r="I120" s="325">
        <f t="shared" si="37"/>
        <v>9783.4171482304591</v>
      </c>
      <c r="J120" s="328">
        <f t="shared" si="38"/>
        <v>1.5706941130196288</v>
      </c>
      <c r="K120" s="336">
        <f t="shared" si="39"/>
        <v>1.2688930721637046</v>
      </c>
      <c r="L120" s="337">
        <f t="shared" si="40"/>
        <v>0.66309887299958248</v>
      </c>
      <c r="M120" s="325">
        <f t="shared" si="41"/>
        <v>1.0006628668748019</v>
      </c>
      <c r="N120" s="337">
        <f t="shared" si="42"/>
        <v>3.6400574758874912E-2</v>
      </c>
      <c r="O120" s="343">
        <f t="shared" si="43"/>
        <v>1.00065672456223</v>
      </c>
      <c r="P120" s="691">
        <f t="shared" si="44"/>
        <v>3.6231625896964166E-2</v>
      </c>
      <c r="Q120" s="336">
        <f t="shared" si="60"/>
        <v>4.1641792899993177</v>
      </c>
      <c r="R120" s="692">
        <f t="shared" si="45"/>
        <v>6.0725974836058239E-2</v>
      </c>
      <c r="S120" s="329">
        <f t="shared" si="46"/>
        <v>0.9997014910252412</v>
      </c>
      <c r="T120" s="330">
        <f t="shared" si="47"/>
        <v>3.5984973191861946E-2</v>
      </c>
      <c r="U120" s="331">
        <f t="shared" si="48"/>
        <v>11.085845927234747</v>
      </c>
      <c r="V120" s="332">
        <f t="shared" si="49"/>
        <v>-132.98135447686263</v>
      </c>
      <c r="W120" s="334">
        <f t="shared" si="50"/>
        <v>47.018645523137366</v>
      </c>
      <c r="Y120" s="307">
        <f t="shared" si="51"/>
        <v>1000000000</v>
      </c>
      <c r="Z120" s="307">
        <f t="shared" si="52"/>
        <v>38910148.840000004</v>
      </c>
      <c r="AB120" s="333">
        <f t="shared" si="53"/>
        <v>19.960157814606053</v>
      </c>
      <c r="AC120" s="334">
        <f t="shared" si="54"/>
        <v>-54.086976126648949</v>
      </c>
      <c r="AE120" s="333">
        <f t="shared" si="55"/>
        <v>15.55177397278195</v>
      </c>
      <c r="AF120" s="334">
        <f t="shared" si="56"/>
        <v>-77.490955532479234</v>
      </c>
      <c r="AH120">
        <f t="shared" si="57"/>
        <v>0</v>
      </c>
      <c r="AI120">
        <f t="shared" si="61"/>
        <v>0</v>
      </c>
    </row>
    <row r="121" spans="1:35" x14ac:dyDescent="0.25">
      <c r="A121" s="335">
        <v>6309.6</v>
      </c>
      <c r="B121" s="352">
        <f t="shared" si="59"/>
        <v>6.3096000000000005</v>
      </c>
      <c r="C121" s="325">
        <f t="shared" si="31"/>
        <v>4.0582603937120334</v>
      </c>
      <c r="D121" s="326">
        <f t="shared" si="32"/>
        <v>1.3218210117752158</v>
      </c>
      <c r="E121" s="326">
        <f t="shared" si="33"/>
        <v>1.0000034231073851</v>
      </c>
      <c r="F121" s="327">
        <f t="shared" si="34"/>
        <v>2.6165235028528105E-3</v>
      </c>
      <c r="G121" s="326">
        <f t="shared" si="35"/>
        <v>1</v>
      </c>
      <c r="H121" s="327">
        <f t="shared" si="36"/>
        <v>0</v>
      </c>
      <c r="I121" s="325">
        <f t="shared" si="37"/>
        <v>9896.0288613257399</v>
      </c>
      <c r="J121" s="328">
        <f t="shared" si="38"/>
        <v>1.5706952761597666</v>
      </c>
      <c r="K121" s="336">
        <f t="shared" si="39"/>
        <v>1.2744470544996933</v>
      </c>
      <c r="L121" s="337">
        <f t="shared" si="40"/>
        <v>0.66865849458503224</v>
      </c>
      <c r="M121" s="325">
        <f t="shared" si="41"/>
        <v>1.0006782093141282</v>
      </c>
      <c r="N121" s="337">
        <f t="shared" si="42"/>
        <v>3.6819186011372088E-2</v>
      </c>
      <c r="O121" s="343">
        <f t="shared" si="43"/>
        <v>1.0006719248818745</v>
      </c>
      <c r="P121" s="691">
        <f t="shared" si="44"/>
        <v>3.6648297684899744E-2</v>
      </c>
      <c r="Q121" s="336">
        <f t="shared" si="60"/>
        <v>4.1643554068440913</v>
      </c>
      <c r="R121" s="692">
        <f t="shared" si="45"/>
        <v>6.1423233608262531E-2</v>
      </c>
      <c r="S121" s="329">
        <f t="shared" si="46"/>
        <v>0.99969458906016739</v>
      </c>
      <c r="T121" s="330">
        <f t="shared" si="47"/>
        <v>3.6399610486975077E-2</v>
      </c>
      <c r="U121" s="331">
        <f t="shared" si="48"/>
        <v>10.930759342775787</v>
      </c>
      <c r="V121" s="332">
        <f t="shared" si="49"/>
        <v>-132.88237748085677</v>
      </c>
      <c r="W121" s="334">
        <f t="shared" si="50"/>
        <v>47.117622519143225</v>
      </c>
      <c r="Y121" s="307">
        <f t="shared" si="51"/>
        <v>1000000000</v>
      </c>
      <c r="Z121" s="307">
        <f t="shared" si="52"/>
        <v>39811052.160000004</v>
      </c>
      <c r="AB121" s="333">
        <f t="shared" si="53"/>
        <v>19.898552439496637</v>
      </c>
      <c r="AC121" s="334">
        <f t="shared" si="54"/>
        <v>-53.792484574821984</v>
      </c>
      <c r="AE121" s="333">
        <f t="shared" si="55"/>
        <v>15.458528169871315</v>
      </c>
      <c r="AF121" s="334">
        <f t="shared" si="56"/>
        <v>-77.670393638297071</v>
      </c>
      <c r="AH121">
        <f t="shared" si="57"/>
        <v>0</v>
      </c>
      <c r="AI121">
        <f t="shared" si="61"/>
        <v>0</v>
      </c>
    </row>
    <row r="122" spans="1:35" x14ac:dyDescent="0.25">
      <c r="A122" s="335">
        <v>6383.05</v>
      </c>
      <c r="B122" s="352">
        <f t="shared" si="59"/>
        <v>6.3830499999999999</v>
      </c>
      <c r="C122" s="325">
        <f t="shared" si="31"/>
        <v>4.1026496126412608</v>
      </c>
      <c r="D122" s="326">
        <f t="shared" si="32"/>
        <v>1.3245709567507435</v>
      </c>
      <c r="E122" s="326">
        <f t="shared" si="33"/>
        <v>1.0000035032678471</v>
      </c>
      <c r="F122" s="327">
        <f t="shared" si="34"/>
        <v>2.6469822892669814E-3</v>
      </c>
      <c r="G122" s="326">
        <f t="shared" si="35"/>
        <v>1</v>
      </c>
      <c r="H122" s="327">
        <f t="shared" si="36"/>
        <v>0</v>
      </c>
      <c r="I122" s="325">
        <f t="shared" si="37"/>
        <v>10011.228448064188</v>
      </c>
      <c r="J122" s="328">
        <f t="shared" si="38"/>
        <v>1.5706964389532745</v>
      </c>
      <c r="K122" s="336">
        <f t="shared" si="39"/>
        <v>1.2801690723098926</v>
      </c>
      <c r="L122" s="337">
        <f t="shared" si="40"/>
        <v>0.67429578419289105</v>
      </c>
      <c r="M122" s="325">
        <f t="shared" si="41"/>
        <v>1.0006940857698776</v>
      </c>
      <c r="N122" s="337">
        <f t="shared" si="42"/>
        <v>3.724740380129031E-2</v>
      </c>
      <c r="O122" s="343">
        <f t="shared" si="43"/>
        <v>1.0006876542735266</v>
      </c>
      <c r="P122" s="691">
        <f t="shared" si="44"/>
        <v>3.7074531625370263E-2</v>
      </c>
      <c r="Q122" s="336">
        <f t="shared" si="60"/>
        <v>4.1645376486995449</v>
      </c>
      <c r="R122" s="692">
        <f t="shared" si="45"/>
        <v>6.2136454611983388E-2</v>
      </c>
      <c r="S122" s="329">
        <f t="shared" si="46"/>
        <v>0.99968744720529168</v>
      </c>
      <c r="T122" s="330">
        <f t="shared" si="47"/>
        <v>3.6823791753610342E-2</v>
      </c>
      <c r="U122" s="331">
        <f t="shared" si="48"/>
        <v>10.774332638994494</v>
      </c>
      <c r="V122" s="332">
        <f t="shared" si="49"/>
        <v>-132.78054829845851</v>
      </c>
      <c r="W122" s="334">
        <f t="shared" si="50"/>
        <v>47.219451701541487</v>
      </c>
      <c r="Y122" s="307">
        <f t="shared" si="51"/>
        <v>1000000000</v>
      </c>
      <c r="Z122" s="307">
        <f t="shared" si="52"/>
        <v>40743327.302500002</v>
      </c>
      <c r="AB122" s="333">
        <f t="shared" si="53"/>
        <v>19.836796921579548</v>
      </c>
      <c r="AC122" s="334">
        <f t="shared" si="54"/>
        <v>-53.494093367292933</v>
      </c>
      <c r="AE122" s="333">
        <f t="shared" si="55"/>
        <v>15.364100559427404</v>
      </c>
      <c r="AF122" s="334">
        <f t="shared" si="56"/>
        <v>-77.850512515909912</v>
      </c>
      <c r="AH122">
        <f t="shared" si="57"/>
        <v>0</v>
      </c>
      <c r="AI122">
        <f t="shared" si="61"/>
        <v>0</v>
      </c>
    </row>
    <row r="123" spans="1:35" x14ac:dyDescent="0.25">
      <c r="A123" s="335">
        <v>6456.5</v>
      </c>
      <c r="B123" s="352">
        <f t="shared" si="59"/>
        <v>6.4565000000000001</v>
      </c>
      <c r="C123" s="325">
        <f t="shared" si="31"/>
        <v>4.1470691923123812</v>
      </c>
      <c r="D123" s="326">
        <f t="shared" si="32"/>
        <v>1.3272620119672276</v>
      </c>
      <c r="E123" s="326">
        <f t="shared" si="33"/>
        <v>1.00000358435605</v>
      </c>
      <c r="F123" s="327">
        <f t="shared" si="34"/>
        <v>2.6774410707697308E-3</v>
      </c>
      <c r="G123" s="326">
        <f t="shared" si="35"/>
        <v>1</v>
      </c>
      <c r="H123" s="327">
        <f t="shared" si="36"/>
        <v>0</v>
      </c>
      <c r="I123" s="325">
        <f t="shared" si="37"/>
        <v>10126.428034815865</v>
      </c>
      <c r="J123" s="328">
        <f t="shared" si="38"/>
        <v>1.5706975752905965</v>
      </c>
      <c r="K123" s="336">
        <f t="shared" si="39"/>
        <v>1.2859314098557462</v>
      </c>
      <c r="L123" s="337">
        <f t="shared" si="40"/>
        <v>0.67988272794773419</v>
      </c>
      <c r="M123" s="325">
        <f t="shared" si="41"/>
        <v>1.0007101457175354</v>
      </c>
      <c r="N123" s="337">
        <f t="shared" si="42"/>
        <v>3.7675607925176491E-2</v>
      </c>
      <c r="O123" s="343">
        <f t="shared" si="43"/>
        <v>1.000703565459746</v>
      </c>
      <c r="P123" s="691">
        <f t="shared" si="44"/>
        <v>3.7500752089033612E-2</v>
      </c>
      <c r="Q123" s="336">
        <f t="shared" si="60"/>
        <v>4.1647219916412412</v>
      </c>
      <c r="R123" s="692">
        <f t="shared" si="45"/>
        <v>6.284961309335603E-2</v>
      </c>
      <c r="S123" s="329">
        <f t="shared" si="46"/>
        <v>0.99968022316387406</v>
      </c>
      <c r="T123" s="330">
        <f t="shared" si="47"/>
        <v>3.7247988773683155E-2</v>
      </c>
      <c r="U123" s="331">
        <f t="shared" si="48"/>
        <v>10.620104563438028</v>
      </c>
      <c r="V123" s="332">
        <f t="shared" si="49"/>
        <v>-132.67822538025428</v>
      </c>
      <c r="W123" s="334">
        <f t="shared" si="50"/>
        <v>47.321774619745725</v>
      </c>
      <c r="Y123" s="307">
        <f t="shared" si="51"/>
        <v>1000000000</v>
      </c>
      <c r="Z123" s="307">
        <f t="shared" si="52"/>
        <v>41686392.25</v>
      </c>
      <c r="AB123" s="333">
        <f t="shared" si="53"/>
        <v>19.776288817558608</v>
      </c>
      <c r="AC123" s="334">
        <f t="shared" si="54"/>
        <v>-53.198584465827224</v>
      </c>
      <c r="AE123" s="333">
        <f t="shared" si="55"/>
        <v>15.27062695288652</v>
      </c>
      <c r="AF123" s="334">
        <f t="shared" si="56"/>
        <v>-78.027258161756066</v>
      </c>
      <c r="AH123">
        <f t="shared" si="57"/>
        <v>0</v>
      </c>
      <c r="AI123">
        <f t="shared" si="61"/>
        <v>0</v>
      </c>
    </row>
    <row r="124" spans="1:35" x14ac:dyDescent="0.25">
      <c r="A124" s="335">
        <v>6531.7</v>
      </c>
      <c r="B124" s="352">
        <f t="shared" si="59"/>
        <v>6.5316999999999998</v>
      </c>
      <c r="C124" s="325">
        <f t="shared" si="31"/>
        <v>4.1925775476797309</v>
      </c>
      <c r="D124" s="326">
        <f t="shared" si="32"/>
        <v>1.3299580870004701</v>
      </c>
      <c r="E124" s="326">
        <f t="shared" si="33"/>
        <v>1.0000036683373987</v>
      </c>
      <c r="F124" s="327">
        <f t="shared" si="34"/>
        <v>2.7086255498838677E-3</v>
      </c>
      <c r="G124" s="326">
        <f t="shared" si="35"/>
        <v>1</v>
      </c>
      <c r="H124" s="327">
        <f t="shared" si="36"/>
        <v>0</v>
      </c>
      <c r="I124" s="325">
        <f t="shared" si="37"/>
        <v>10244.37233603708</v>
      </c>
      <c r="J124" s="328">
        <f t="shared" si="38"/>
        <v>1.5706987122247906</v>
      </c>
      <c r="K124" s="336">
        <f t="shared" si="39"/>
        <v>1.291872248029998</v>
      </c>
      <c r="L124" s="337">
        <f t="shared" si="40"/>
        <v>0.68555096713103414</v>
      </c>
      <c r="M124" s="325">
        <f t="shared" si="41"/>
        <v>1.0007267783977059</v>
      </c>
      <c r="N124" s="337">
        <f t="shared" si="42"/>
        <v>3.8114000004066784E-2</v>
      </c>
      <c r="O124" s="343">
        <f t="shared" si="43"/>
        <v>1.0007200440758146</v>
      </c>
      <c r="P124" s="691">
        <f t="shared" si="44"/>
        <v>3.7937113443838315E-2</v>
      </c>
      <c r="Q124" s="336">
        <f t="shared" si="60"/>
        <v>4.1649129031695677</v>
      </c>
      <c r="R124" s="692">
        <f t="shared" si="45"/>
        <v>6.3579697583285785E-2</v>
      </c>
      <c r="S124" s="329">
        <f t="shared" si="46"/>
        <v>0.99967274187425981</v>
      </c>
      <c r="T124" s="330">
        <f t="shared" si="47"/>
        <v>3.7682309108406649E-2</v>
      </c>
      <c r="U124" s="331">
        <f t="shared" si="48"/>
        <v>10.464428157760551</v>
      </c>
      <c r="V124" s="332">
        <f t="shared" si="49"/>
        <v>-132.57304315482384</v>
      </c>
      <c r="W124" s="334">
        <f t="shared" si="50"/>
        <v>47.426956845176164</v>
      </c>
      <c r="Y124" s="307">
        <f t="shared" si="51"/>
        <v>1000000000</v>
      </c>
      <c r="Z124" s="307">
        <f t="shared" si="52"/>
        <v>42663104.890000001</v>
      </c>
      <c r="AB124" s="333">
        <f t="shared" si="53"/>
        <v>19.715598259153488</v>
      </c>
      <c r="AC124" s="334">
        <f t="shared" si="54"/>
        <v>-52.899001440434411</v>
      </c>
      <c r="AE124" s="333">
        <f t="shared" si="55"/>
        <v>15.17589622944014</v>
      </c>
      <c r="AF124" s="334">
        <f t="shared" si="56"/>
        <v>-78.204829865711176</v>
      </c>
      <c r="AH124">
        <f t="shared" si="57"/>
        <v>0</v>
      </c>
      <c r="AI124">
        <f t="shared" si="61"/>
        <v>0</v>
      </c>
    </row>
    <row r="125" spans="1:35" x14ac:dyDescent="0.25">
      <c r="A125" s="335">
        <v>6606.9</v>
      </c>
      <c r="B125" s="352">
        <f t="shared" si="59"/>
        <v>6.6068999999999996</v>
      </c>
      <c r="C125" s="325">
        <f t="shared" si="31"/>
        <v>4.2381157235380043</v>
      </c>
      <c r="D125" s="326">
        <f t="shared" si="32"/>
        <v>1.3325962426961009</v>
      </c>
      <c r="E125" s="326">
        <f t="shared" si="33"/>
        <v>1.0000037532912223</v>
      </c>
      <c r="F125" s="327">
        <f t="shared" si="34"/>
        <v>2.7398100237298688E-3</v>
      </c>
      <c r="G125" s="326">
        <f t="shared" si="35"/>
        <v>1</v>
      </c>
      <c r="H125" s="327">
        <f t="shared" si="36"/>
        <v>0</v>
      </c>
      <c r="I125" s="325">
        <f t="shared" si="37"/>
        <v>10362.316637271239</v>
      </c>
      <c r="J125" s="328">
        <f t="shared" si="38"/>
        <v>1.5706998232777241</v>
      </c>
      <c r="K125" s="336">
        <f t="shared" si="39"/>
        <v>1.2978542119244416</v>
      </c>
      <c r="L125" s="337">
        <f t="shared" si="40"/>
        <v>0.69116713420401754</v>
      </c>
      <c r="M125" s="325">
        <f t="shared" si="41"/>
        <v>1.0007436033987542</v>
      </c>
      <c r="N125" s="337">
        <f t="shared" si="42"/>
        <v>3.8552377426272481E-2</v>
      </c>
      <c r="O125" s="343">
        <f t="shared" si="43"/>
        <v>1.0007367132339233</v>
      </c>
      <c r="P125" s="691">
        <f t="shared" si="44"/>
        <v>3.8373460344882732E-2</v>
      </c>
      <c r="Q125" s="336">
        <f t="shared" si="60"/>
        <v>4.1651060165014639</v>
      </c>
      <c r="R125" s="692">
        <f t="shared" si="45"/>
        <v>6.4309715034017209E-2</v>
      </c>
      <c r="S125" s="329">
        <f t="shared" si="46"/>
        <v>0.99966517446983105</v>
      </c>
      <c r="T125" s="330">
        <f t="shared" si="47"/>
        <v>3.8116646340770645E-2</v>
      </c>
      <c r="U125" s="331">
        <f t="shared" si="48"/>
        <v>10.310953191189638</v>
      </c>
      <c r="V125" s="332">
        <f t="shared" si="49"/>
        <v>-132.46752154083561</v>
      </c>
      <c r="W125" s="334">
        <f t="shared" si="50"/>
        <v>47.532478459164395</v>
      </c>
      <c r="Y125" s="307">
        <f t="shared" si="51"/>
        <v>1000000000</v>
      </c>
      <c r="Z125" s="307">
        <f t="shared" si="52"/>
        <v>43651127.609999992</v>
      </c>
      <c r="AB125" s="333">
        <f t="shared" si="53"/>
        <v>19.65614898672673</v>
      </c>
      <c r="AC125" s="334">
        <f t="shared" si="54"/>
        <v>-52.602399604543315</v>
      </c>
      <c r="AE125" s="333">
        <f t="shared" si="55"/>
        <v>15.082128581048611</v>
      </c>
      <c r="AF125" s="334">
        <f t="shared" si="56"/>
        <v>-78.379084004530469</v>
      </c>
      <c r="AH125">
        <f t="shared" si="57"/>
        <v>0</v>
      </c>
      <c r="AI125">
        <f t="shared" si="61"/>
        <v>0</v>
      </c>
    </row>
    <row r="126" spans="1:35" x14ac:dyDescent="0.25">
      <c r="A126" s="335">
        <v>6683.85</v>
      </c>
      <c r="B126" s="352">
        <f t="shared" si="59"/>
        <v>6.6838500000000005</v>
      </c>
      <c r="C126" s="325">
        <f t="shared" si="31"/>
        <v>4.2847435085090941</v>
      </c>
      <c r="D126" s="326">
        <f t="shared" si="32"/>
        <v>1.3352377236418589</v>
      </c>
      <c r="E126" s="326">
        <f t="shared" si="33"/>
        <v>1.0000038412287144</v>
      </c>
      <c r="F126" s="327">
        <f t="shared" si="34"/>
        <v>2.7717201945755064E-3</v>
      </c>
      <c r="G126" s="326">
        <f t="shared" si="35"/>
        <v>1</v>
      </c>
      <c r="H126" s="327">
        <f t="shared" si="36"/>
        <v>0</v>
      </c>
      <c r="I126" s="325">
        <f t="shared" si="37"/>
        <v>10483.005652975249</v>
      </c>
      <c r="J126" s="328">
        <f t="shared" si="38"/>
        <v>1.5707009343058891</v>
      </c>
      <c r="K126" s="336">
        <f t="shared" si="39"/>
        <v>1.304017365733199</v>
      </c>
      <c r="L126" s="337">
        <f t="shared" si="40"/>
        <v>0.69686047340937818</v>
      </c>
      <c r="M126" s="325">
        <f t="shared" si="41"/>
        <v>1.0007610190152183</v>
      </c>
      <c r="N126" s="337">
        <f t="shared" si="42"/>
        <v>3.9000941103456366E-2</v>
      </c>
      <c r="O126" s="343">
        <f t="shared" si="43"/>
        <v>1.0007539675395563</v>
      </c>
      <c r="P126" s="691">
        <f t="shared" si="44"/>
        <v>3.8819946460561812E-2</v>
      </c>
      <c r="Q126" s="336">
        <f t="shared" si="60"/>
        <v>4.1653059027655832</v>
      </c>
      <c r="R126" s="692">
        <f t="shared" si="45"/>
        <v>6.5056650733226112E-2</v>
      </c>
      <c r="S126" s="329">
        <f t="shared" si="46"/>
        <v>0.99965734183673316</v>
      </c>
      <c r="T126" s="330">
        <f t="shared" si="47"/>
        <v>3.8561108850029023E-2</v>
      </c>
      <c r="U126" s="331">
        <f t="shared" si="48"/>
        <v>10.156133470403525</v>
      </c>
      <c r="V126" s="332">
        <f t="shared" si="49"/>
        <v>-132.35927940644686</v>
      </c>
      <c r="W126" s="334">
        <f t="shared" si="50"/>
        <v>47.640720593553141</v>
      </c>
      <c r="Y126" s="307">
        <f t="shared" si="51"/>
        <v>1000000000</v>
      </c>
      <c r="Z126" s="307">
        <f t="shared" si="52"/>
        <v>44673850.822500005</v>
      </c>
      <c r="AB126" s="333">
        <f t="shared" si="53"/>
        <v>19.596567887154912</v>
      </c>
      <c r="AC126" s="334">
        <f t="shared" si="54"/>
        <v>-52.30195975916677</v>
      </c>
      <c r="AE126" s="333">
        <f t="shared" si="55"/>
        <v>14.987157034195949</v>
      </c>
      <c r="AF126" s="334">
        <f t="shared" si="56"/>
        <v>-78.554067222405862</v>
      </c>
      <c r="AH126">
        <f t="shared" si="57"/>
        <v>0</v>
      </c>
      <c r="AI126">
        <f t="shared" si="61"/>
        <v>0</v>
      </c>
    </row>
    <row r="127" spans="1:35" x14ac:dyDescent="0.25">
      <c r="A127" s="335">
        <v>6760.8</v>
      </c>
      <c r="B127" s="352">
        <f t="shared" si="59"/>
        <v>6.7608000000000006</v>
      </c>
      <c r="C127" s="325">
        <f t="shared" si="31"/>
        <v>4.331400546147508</v>
      </c>
      <c r="D127" s="326">
        <f t="shared" si="32"/>
        <v>1.3378223152204136</v>
      </c>
      <c r="E127" s="326">
        <f t="shared" si="33"/>
        <v>1.000003930184469</v>
      </c>
      <c r="F127" s="327">
        <f t="shared" si="34"/>
        <v>2.8036303597764713E-3</v>
      </c>
      <c r="G127" s="326">
        <f t="shared" si="35"/>
        <v>1</v>
      </c>
      <c r="H127" s="327">
        <f t="shared" si="36"/>
        <v>0</v>
      </c>
      <c r="I127" s="325">
        <f t="shared" si="37"/>
        <v>10603.694668691905</v>
      </c>
      <c r="J127" s="328">
        <f t="shared" si="38"/>
        <v>1.5707020200430779</v>
      </c>
      <c r="K127" s="336">
        <f t="shared" si="39"/>
        <v>1.3102223896570417</v>
      </c>
      <c r="L127" s="337">
        <f t="shared" si="40"/>
        <v>0.70250006831771206</v>
      </c>
      <c r="M127" s="325">
        <f t="shared" si="41"/>
        <v>1.0007786359871473</v>
      </c>
      <c r="N127" s="337">
        <f t="shared" si="42"/>
        <v>3.9449489078518758E-2</v>
      </c>
      <c r="O127" s="343">
        <f t="shared" si="43"/>
        <v>1.000771421338442</v>
      </c>
      <c r="P127" s="691">
        <f t="shared" si="44"/>
        <v>3.9266417091498355E-2</v>
      </c>
      <c r="Q127" s="336">
        <f t="shared" si="60"/>
        <v>4.1655080938507485</v>
      </c>
      <c r="R127" s="692">
        <f t="shared" si="45"/>
        <v>6.5803514628718252E-2</v>
      </c>
      <c r="S127" s="329">
        <f t="shared" si="46"/>
        <v>0.99964941907223059</v>
      </c>
      <c r="T127" s="330">
        <f t="shared" si="47"/>
        <v>3.9005589464715204E-2</v>
      </c>
      <c r="U127" s="331">
        <f t="shared" si="48"/>
        <v>10.003514656285846</v>
      </c>
      <c r="V127" s="332">
        <f t="shared" si="49"/>
        <v>-132.25085253492753</v>
      </c>
      <c r="W127" s="334">
        <f t="shared" si="50"/>
        <v>47.749147465072468</v>
      </c>
      <c r="Y127" s="307">
        <f t="shared" si="51"/>
        <v>1000000000</v>
      </c>
      <c r="Z127" s="307">
        <f t="shared" si="52"/>
        <v>45708416.640000001</v>
      </c>
      <c r="AB127" s="333">
        <f t="shared" si="53"/>
        <v>19.538219941185538</v>
      </c>
      <c r="AC127" s="334">
        <f t="shared" si="54"/>
        <v>-52.004596886454785</v>
      </c>
      <c r="AE127" s="333">
        <f t="shared" si="55"/>
        <v>14.893156297546559</v>
      </c>
      <c r="AF127" s="334">
        <f t="shared" si="56"/>
        <v>-78.725791957325654</v>
      </c>
      <c r="AH127">
        <f t="shared" si="57"/>
        <v>0</v>
      </c>
      <c r="AI127">
        <f t="shared" si="61"/>
        <v>0</v>
      </c>
    </row>
    <row r="128" spans="1:35" x14ac:dyDescent="0.25">
      <c r="A128" s="335">
        <v>6839.55</v>
      </c>
      <c r="B128" s="352">
        <f t="shared" si="59"/>
        <v>6.83955</v>
      </c>
      <c r="C128" s="325">
        <f t="shared" si="31"/>
        <v>4.379178287945364</v>
      </c>
      <c r="D128" s="326">
        <f t="shared" si="32"/>
        <v>1.3404103259179021</v>
      </c>
      <c r="E128" s="326">
        <f t="shared" si="33"/>
        <v>1.0000040222753297</v>
      </c>
      <c r="F128" s="327">
        <f t="shared" si="34"/>
        <v>2.8362869556782435E-3</v>
      </c>
      <c r="G128" s="326">
        <f t="shared" si="35"/>
        <v>1</v>
      </c>
      <c r="H128" s="327">
        <f t="shared" si="36"/>
        <v>0</v>
      </c>
      <c r="I128" s="325">
        <f t="shared" si="37"/>
        <v>10727.206819291772</v>
      </c>
      <c r="J128" s="328">
        <f t="shared" si="38"/>
        <v>1.5707031058830325</v>
      </c>
      <c r="K128" s="336">
        <f t="shared" si="39"/>
        <v>1.3166152933157984</v>
      </c>
      <c r="L128" s="337">
        <f t="shared" si="40"/>
        <v>0.70821636012483224</v>
      </c>
      <c r="M128" s="325">
        <f t="shared" si="41"/>
        <v>1.0007968735165482</v>
      </c>
      <c r="N128" s="337">
        <f t="shared" si="42"/>
        <v>3.9908512959045461E-2</v>
      </c>
      <c r="O128" s="343">
        <f t="shared" si="43"/>
        <v>1.000789489950028</v>
      </c>
      <c r="P128" s="691">
        <f t="shared" si="44"/>
        <v>3.9723315262704437E-2</v>
      </c>
      <c r="Q128" s="336">
        <f t="shared" si="60"/>
        <v>4.1657174005242883</v>
      </c>
      <c r="R128" s="692">
        <f t="shared" si="45"/>
        <v>6.6567773834046301E-2</v>
      </c>
      <c r="S128" s="329">
        <f t="shared" si="46"/>
        <v>0.99964121768176317</v>
      </c>
      <c r="T128" s="330">
        <f t="shared" si="47"/>
        <v>3.9460486249935714E-2</v>
      </c>
      <c r="U128" s="331">
        <f t="shared" si="48"/>
        <v>9.8495519971696215</v>
      </c>
      <c r="V128" s="332">
        <f t="shared" si="49"/>
        <v>-132.13978064601548</v>
      </c>
      <c r="W128" s="334">
        <f t="shared" si="50"/>
        <v>47.860219353984519</v>
      </c>
      <c r="Y128" s="307">
        <f t="shared" si="51"/>
        <v>1000000000</v>
      </c>
      <c r="Z128" s="307">
        <f t="shared" si="52"/>
        <v>46779444.202500001</v>
      </c>
      <c r="AB128" s="333">
        <f t="shared" si="53"/>
        <v>19.479750432335354</v>
      </c>
      <c r="AC128" s="334">
        <f t="shared" si="54"/>
        <v>-51.703439836193986</v>
      </c>
      <c r="AE128" s="333">
        <f t="shared" si="55"/>
        <v>14.79794276161712</v>
      </c>
      <c r="AF128" s="334">
        <f t="shared" si="56"/>
        <v>-78.898266628612305</v>
      </c>
      <c r="AH128">
        <f t="shared" si="57"/>
        <v>0</v>
      </c>
      <c r="AI128">
        <f t="shared" si="61"/>
        <v>0</v>
      </c>
    </row>
    <row r="129" spans="1:35" x14ac:dyDescent="0.25">
      <c r="A129" s="335">
        <v>6918.3</v>
      </c>
      <c r="B129" s="352">
        <f t="shared" si="59"/>
        <v>6.9183000000000003</v>
      </c>
      <c r="C129" s="325">
        <f t="shared" si="31"/>
        <v>4.4269847273876053</v>
      </c>
      <c r="D129" s="326">
        <f t="shared" si="32"/>
        <v>1.3429424580810561</v>
      </c>
      <c r="E129" s="326">
        <f t="shared" si="33"/>
        <v>1.0000041154326476</v>
      </c>
      <c r="F129" s="327">
        <f t="shared" si="34"/>
        <v>2.8689435455304655E-3</v>
      </c>
      <c r="G129" s="326">
        <f t="shared" si="35"/>
        <v>1</v>
      </c>
      <c r="H129" s="327">
        <f t="shared" si="36"/>
        <v>0</v>
      </c>
      <c r="I129" s="325">
        <f t="shared" si="37"/>
        <v>10850.718969904001</v>
      </c>
      <c r="J129" s="328">
        <f t="shared" si="38"/>
        <v>1.5707041670030719</v>
      </c>
      <c r="K129" s="336">
        <f t="shared" si="39"/>
        <v>1.3230508021132097</v>
      </c>
      <c r="L129" s="337">
        <f t="shared" si="40"/>
        <v>0.71387722568826173</v>
      </c>
      <c r="M129" s="325">
        <f t="shared" si="41"/>
        <v>1.0008153219090645</v>
      </c>
      <c r="N129" s="337">
        <f t="shared" si="42"/>
        <v>4.0367520013575339E-2</v>
      </c>
      <c r="O129" s="343">
        <f t="shared" si="43"/>
        <v>1.0008077674747944</v>
      </c>
      <c r="P129" s="691">
        <f t="shared" si="44"/>
        <v>4.0180196840829498E-2</v>
      </c>
      <c r="Q129" s="336">
        <f t="shared" si="60"/>
        <v>4.1659291203926525</v>
      </c>
      <c r="R129" s="692">
        <f t="shared" si="45"/>
        <v>6.7331956115700642E-2</v>
      </c>
      <c r="S129" s="329">
        <f t="shared" si="46"/>
        <v>0.99963292193563158</v>
      </c>
      <c r="T129" s="330">
        <f t="shared" si="47"/>
        <v>3.9915402439288226E-2</v>
      </c>
      <c r="U129" s="331">
        <f t="shared" si="48"/>
        <v>9.6977892923200031</v>
      </c>
      <c r="V129" s="332">
        <f t="shared" si="49"/>
        <v>-132.02867811778609</v>
      </c>
      <c r="W129" s="334">
        <f t="shared" si="50"/>
        <v>47.971321882213914</v>
      </c>
      <c r="Y129" s="307">
        <f t="shared" si="51"/>
        <v>1000000000</v>
      </c>
      <c r="Z129" s="307">
        <f t="shared" si="52"/>
        <v>47862874.890000001</v>
      </c>
      <c r="AB129" s="333">
        <f t="shared" si="53"/>
        <v>19.422505587466482</v>
      </c>
      <c r="AC129" s="334">
        <f t="shared" si="54"/>
        <v>-51.405456095369139</v>
      </c>
      <c r="AE129" s="333">
        <f t="shared" si="55"/>
        <v>14.703707715214327</v>
      </c>
      <c r="AF129" s="334">
        <f t="shared" si="56"/>
        <v>-79.067540807834035</v>
      </c>
      <c r="AH129">
        <f t="shared" si="57"/>
        <v>0</v>
      </c>
      <c r="AI129">
        <f t="shared" si="61"/>
        <v>0</v>
      </c>
    </row>
    <row r="130" spans="1:35" x14ac:dyDescent="0.25">
      <c r="A130" s="335">
        <v>6998.9</v>
      </c>
      <c r="B130" s="352">
        <f t="shared" si="59"/>
        <v>6.9988999999999999</v>
      </c>
      <c r="C130" s="325">
        <f t="shared" si="31"/>
        <v>4.4759429959006454</v>
      </c>
      <c r="D130" s="326">
        <f t="shared" si="32"/>
        <v>1.3454780474969386</v>
      </c>
      <c r="E130" s="326">
        <f t="shared" si="33"/>
        <v>1.0000042118827546</v>
      </c>
      <c r="F130" s="327">
        <f t="shared" si="34"/>
        <v>2.9023672997278462E-3</v>
      </c>
      <c r="G130" s="326">
        <f t="shared" si="35"/>
        <v>1</v>
      </c>
      <c r="H130" s="327">
        <f t="shared" si="36"/>
        <v>0</v>
      </c>
      <c r="I130" s="325">
        <f t="shared" si="37"/>
        <v>10977.132675812814</v>
      </c>
      <c r="J130" s="328">
        <f t="shared" si="38"/>
        <v>1.5707052283240195</v>
      </c>
      <c r="K130" s="336">
        <f t="shared" si="39"/>
        <v>1.3296809668878395</v>
      </c>
      <c r="L130" s="337">
        <f t="shared" si="40"/>
        <v>0.71961414611890551</v>
      </c>
      <c r="M130" s="325">
        <f t="shared" si="41"/>
        <v>1.0008344220319341</v>
      </c>
      <c r="N130" s="337">
        <f t="shared" si="42"/>
        <v>4.0837292466543308E-2</v>
      </c>
      <c r="O130" s="343">
        <f t="shared" si="43"/>
        <v>1.0008266906969172</v>
      </c>
      <c r="P130" s="691">
        <f t="shared" si="44"/>
        <v>4.0647794129522206E-2</v>
      </c>
      <c r="Q130" s="336">
        <f t="shared" si="60"/>
        <v>4.1661483125107566</v>
      </c>
      <c r="R130" s="692">
        <f t="shared" si="45"/>
        <v>6.8114010052671814E-2</v>
      </c>
      <c r="S130" s="329">
        <f t="shared" si="46"/>
        <v>0.99962433362110314</v>
      </c>
      <c r="T130" s="330">
        <f t="shared" si="47"/>
        <v>4.0381025875076484E-2</v>
      </c>
      <c r="U130" s="331">
        <f t="shared" si="48"/>
        <v>9.54468643910762</v>
      </c>
      <c r="V130" s="332">
        <f t="shared" si="49"/>
        <v>-131.91501240623188</v>
      </c>
      <c r="W130" s="334">
        <f t="shared" si="50"/>
        <v>48.084987593768119</v>
      </c>
      <c r="Y130" s="307">
        <f t="shared" si="51"/>
        <v>1000000000</v>
      </c>
      <c r="Z130" s="307">
        <f t="shared" si="52"/>
        <v>48984601.209999993</v>
      </c>
      <c r="AB130" s="333">
        <f t="shared" si="53"/>
        <v>19.365150503567993</v>
      </c>
      <c r="AC130" s="334">
        <f t="shared" si="54"/>
        <v>-51.103731555043673</v>
      </c>
      <c r="AE130" s="333">
        <f t="shared" si="55"/>
        <v>14.608252714820678</v>
      </c>
      <c r="AF130" s="334">
        <f t="shared" si="56"/>
        <v>-79.237582597798493</v>
      </c>
      <c r="AH130">
        <f t="shared" si="57"/>
        <v>0</v>
      </c>
      <c r="AI130">
        <f t="shared" si="61"/>
        <v>0</v>
      </c>
    </row>
    <row r="131" spans="1:35" x14ac:dyDescent="0.25">
      <c r="A131" s="335">
        <v>7079.5</v>
      </c>
      <c r="B131" s="352">
        <f t="shared" si="59"/>
        <v>7.0795000000000003</v>
      </c>
      <c r="C131" s="325">
        <f t="shared" si="31"/>
        <v>4.524929418389954</v>
      </c>
      <c r="D131" s="326">
        <f t="shared" si="32"/>
        <v>1.3479587525126555</v>
      </c>
      <c r="E131" s="326">
        <f t="shared" si="33"/>
        <v>1.0000043094500133</v>
      </c>
      <c r="F131" s="327">
        <f t="shared" si="34"/>
        <v>2.9357910474404666E-3</v>
      </c>
      <c r="G131" s="326">
        <f t="shared" si="35"/>
        <v>1</v>
      </c>
      <c r="H131" s="327">
        <f t="shared" si="36"/>
        <v>0</v>
      </c>
      <c r="I131" s="325">
        <f t="shared" si="37"/>
        <v>11103.546381733713</v>
      </c>
      <c r="J131" s="328">
        <f t="shared" si="38"/>
        <v>1.5707062654787214</v>
      </c>
      <c r="K131" s="336">
        <f t="shared" si="39"/>
        <v>1.3363544593796264</v>
      </c>
      <c r="L131" s="337">
        <f t="shared" si="40"/>
        <v>0.72529395382208606</v>
      </c>
      <c r="M131" s="325">
        <f t="shared" si="41"/>
        <v>1.000853743016648</v>
      </c>
      <c r="N131" s="337">
        <f t="shared" si="42"/>
        <v>4.1307046885728213E-2</v>
      </c>
      <c r="O131" s="343">
        <f t="shared" si="43"/>
        <v>1.0008458327387155</v>
      </c>
      <c r="P131" s="691">
        <f t="shared" si="44"/>
        <v>4.1115373634041871E-2</v>
      </c>
      <c r="Q131" s="336">
        <f t="shared" si="60"/>
        <v>4.1663700317530452</v>
      </c>
      <c r="R131" s="692">
        <f t="shared" si="45"/>
        <v>6.8895981566050854E-2</v>
      </c>
      <c r="S131" s="329">
        <f t="shared" si="46"/>
        <v>0.99961564651140622</v>
      </c>
      <c r="T131" s="330">
        <f t="shared" si="47"/>
        <v>4.0846670111001154E-2</v>
      </c>
      <c r="U131" s="331">
        <f t="shared" si="48"/>
        <v>9.3937820711325752</v>
      </c>
      <c r="V131" s="332">
        <f t="shared" si="49"/>
        <v>-131.8014694391095</v>
      </c>
      <c r="W131" s="334">
        <f t="shared" si="50"/>
        <v>48.198530560890504</v>
      </c>
      <c r="Y131" s="307">
        <f t="shared" si="51"/>
        <v>1000000000</v>
      </c>
      <c r="Z131" s="307">
        <f t="shared" si="52"/>
        <v>50119320.25</v>
      </c>
      <c r="AB131" s="333">
        <f t="shared" si="53"/>
        <v>19.309011170298348</v>
      </c>
      <c r="AC131" s="334">
        <f t="shared" si="54"/>
        <v>-50.805276915078537</v>
      </c>
      <c r="AE131" s="333">
        <f t="shared" si="55"/>
        <v>14.513783797513771</v>
      </c>
      <c r="AF131" s="334">
        <f t="shared" si="56"/>
        <v>-79.404480935400343</v>
      </c>
      <c r="AH131">
        <f t="shared" si="57"/>
        <v>0</v>
      </c>
      <c r="AI131">
        <f t="shared" si="61"/>
        <v>0</v>
      </c>
    </row>
    <row r="132" spans="1:35" x14ac:dyDescent="0.25">
      <c r="A132" s="335">
        <v>7161.95</v>
      </c>
      <c r="B132" s="352">
        <f t="shared" si="59"/>
        <v>7.16195</v>
      </c>
      <c r="C132" s="325">
        <f t="shared" si="31"/>
        <v>4.5750684068844469</v>
      </c>
      <c r="D132" s="326">
        <f t="shared" si="32"/>
        <v>1.3504414150929598</v>
      </c>
      <c r="E132" s="326">
        <f t="shared" si="33"/>
        <v>1.0000044104126273</v>
      </c>
      <c r="F132" s="327">
        <f t="shared" si="34"/>
        <v>2.9699819587534382E-3</v>
      </c>
      <c r="G132" s="326">
        <f t="shared" si="35"/>
        <v>1</v>
      </c>
      <c r="H132" s="327">
        <f t="shared" si="36"/>
        <v>0</v>
      </c>
      <c r="I132" s="325">
        <f t="shared" si="37"/>
        <v>11232.861642951473</v>
      </c>
      <c r="J132" s="328">
        <f t="shared" si="38"/>
        <v>1.570707302285105</v>
      </c>
      <c r="K132" s="336">
        <f t="shared" si="39"/>
        <v>1.3432252851085578</v>
      </c>
      <c r="L132" s="337">
        <f t="shared" si="40"/>
        <v>0.73104554360825669</v>
      </c>
      <c r="M132" s="325">
        <f t="shared" si="41"/>
        <v>1.0008737359838966</v>
      </c>
      <c r="N132" s="337">
        <f t="shared" si="42"/>
        <v>4.1787564634841103E-2</v>
      </c>
      <c r="O132" s="343">
        <f t="shared" si="43"/>
        <v>1.0008656405430258</v>
      </c>
      <c r="P132" s="691">
        <f t="shared" si="44"/>
        <v>4.159366680922455E-2</v>
      </c>
      <c r="Q132" s="336">
        <f t="shared" si="60"/>
        <v>4.1665994544609575</v>
      </c>
      <c r="R132" s="692">
        <f t="shared" si="45"/>
        <v>6.9695815302868253E-2</v>
      </c>
      <c r="S132" s="329">
        <f t="shared" si="46"/>
        <v>0.99960665780968061</v>
      </c>
      <c r="T132" s="330">
        <f t="shared" si="47"/>
        <v>4.1323023982412999E-2</v>
      </c>
      <c r="U132" s="331">
        <f t="shared" si="48"/>
        <v>9.2416353663569097</v>
      </c>
      <c r="V132" s="332">
        <f t="shared" si="49"/>
        <v>-131.68552173877521</v>
      </c>
      <c r="W132" s="334">
        <f t="shared" si="50"/>
        <v>48.314478261224792</v>
      </c>
      <c r="Y132" s="307">
        <f t="shared" si="51"/>
        <v>1000000000</v>
      </c>
      <c r="Z132" s="307">
        <f t="shared" si="52"/>
        <v>51293527.802499995</v>
      </c>
      <c r="AB132" s="333">
        <f t="shared" si="53"/>
        <v>19.252807515918199</v>
      </c>
      <c r="AC132" s="334">
        <f t="shared" si="54"/>
        <v>-50.503326138130632</v>
      </c>
      <c r="AE132" s="333">
        <f t="shared" si="55"/>
        <v>14.418147124377969</v>
      </c>
      <c r="AF132" s="334">
        <f t="shared" si="56"/>
        <v>-79.572061094869014</v>
      </c>
      <c r="AH132">
        <f t="shared" si="57"/>
        <v>0</v>
      </c>
      <c r="AI132">
        <f t="shared" si="61"/>
        <v>0</v>
      </c>
    </row>
    <row r="133" spans="1:35" x14ac:dyDescent="0.25">
      <c r="A133" s="335">
        <v>7244.4</v>
      </c>
      <c r="B133" s="352">
        <f t="shared" si="59"/>
        <v>7.2443999999999997</v>
      </c>
      <c r="C133" s="325">
        <f t="shared" si="31"/>
        <v>4.625234982861306</v>
      </c>
      <c r="D133" s="326">
        <f t="shared" si="32"/>
        <v>1.3528702370862362</v>
      </c>
      <c r="E133" s="326">
        <f t="shared" si="33"/>
        <v>1.0000045125442649</v>
      </c>
      <c r="F133" s="327">
        <f t="shared" si="34"/>
        <v>3.0041728631224635E-3</v>
      </c>
      <c r="G133" s="326">
        <f t="shared" si="35"/>
        <v>1</v>
      </c>
      <c r="H133" s="327">
        <f t="shared" si="36"/>
        <v>0</v>
      </c>
      <c r="I133" s="325">
        <f t="shared" si="37"/>
        <v>11362.176904181033</v>
      </c>
      <c r="J133" s="328">
        <f t="shared" si="38"/>
        <v>1.5707083154912773</v>
      </c>
      <c r="K133" s="336">
        <f t="shared" si="39"/>
        <v>1.3501400926756271</v>
      </c>
      <c r="L133" s="337">
        <f t="shared" si="40"/>
        <v>0.73673840603044871</v>
      </c>
      <c r="M133" s="325">
        <f t="shared" si="41"/>
        <v>1.0008939600409321</v>
      </c>
      <c r="N133" s="337">
        <f t="shared" si="42"/>
        <v>4.2268063076218873E-2</v>
      </c>
      <c r="O133" s="343">
        <f t="shared" si="43"/>
        <v>1.0008856773006323</v>
      </c>
      <c r="P133" s="691">
        <f t="shared" si="44"/>
        <v>4.2071940943887498E-2</v>
      </c>
      <c r="Q133" s="336">
        <f t="shared" si="60"/>
        <v>4.1668315207749886</v>
      </c>
      <c r="R133" s="692">
        <f t="shared" si="45"/>
        <v>7.0495560817836353E-2</v>
      </c>
      <c r="S133" s="329">
        <f t="shared" si="46"/>
        <v>0.99959756577564807</v>
      </c>
      <c r="T133" s="330">
        <f t="shared" si="47"/>
        <v>4.1799400126874622E-2</v>
      </c>
      <c r="U133" s="331">
        <f t="shared" si="48"/>
        <v>9.0916824433393089</v>
      </c>
      <c r="V133" s="332">
        <f t="shared" si="49"/>
        <v>-131.5698488844431</v>
      </c>
      <c r="W133" s="334">
        <f t="shared" si="50"/>
        <v>48.430151115556896</v>
      </c>
      <c r="Y133" s="307">
        <f t="shared" si="51"/>
        <v>1000000000</v>
      </c>
      <c r="Z133" s="307">
        <f t="shared" si="52"/>
        <v>52481331.359999992</v>
      </c>
      <c r="AB133" s="333">
        <f t="shared" si="53"/>
        <v>19.197808773946338</v>
      </c>
      <c r="AC133" s="334">
        <f t="shared" si="54"/>
        <v>-50.204737732840229</v>
      </c>
      <c r="AE133" s="333">
        <f t="shared" si="55"/>
        <v>14.323502821436762</v>
      </c>
      <c r="AF133" s="334">
        <f t="shared" si="56"/>
        <v>-79.736557692480559</v>
      </c>
      <c r="AH133">
        <f t="shared" si="57"/>
        <v>0</v>
      </c>
      <c r="AI133">
        <f t="shared" si="61"/>
        <v>0</v>
      </c>
    </row>
    <row r="134" spans="1:35" x14ac:dyDescent="0.25">
      <c r="A134" s="335">
        <v>7328.75</v>
      </c>
      <c r="B134" s="352">
        <f t="shared" si="59"/>
        <v>7.3287500000000003</v>
      </c>
      <c r="C134" s="325">
        <f t="shared" si="31"/>
        <v>4.676585233538157</v>
      </c>
      <c r="D134" s="326">
        <f t="shared" si="32"/>
        <v>1.3553010909582783</v>
      </c>
      <c r="E134" s="326">
        <f t="shared" si="33"/>
        <v>1.0000046182391937</v>
      </c>
      <c r="F134" s="327">
        <f t="shared" si="34"/>
        <v>3.039151664628635E-3</v>
      </c>
      <c r="G134" s="326">
        <f t="shared" si="35"/>
        <v>1</v>
      </c>
      <c r="H134" s="327">
        <f t="shared" si="36"/>
        <v>0</v>
      </c>
      <c r="I134" s="325">
        <f t="shared" si="37"/>
        <v>11494.472141120827</v>
      </c>
      <c r="J134" s="328">
        <f t="shared" si="38"/>
        <v>1.5707093284543914</v>
      </c>
      <c r="K134" s="336">
        <f t="shared" si="39"/>
        <v>1.3572590597356786</v>
      </c>
      <c r="L134" s="337">
        <f t="shared" si="40"/>
        <v>0.74250223762720535</v>
      </c>
      <c r="M134" s="325">
        <f t="shared" si="41"/>
        <v>1.0009148892710638</v>
      </c>
      <c r="N134" s="337">
        <f t="shared" si="42"/>
        <v>4.2759614042657372E-2</v>
      </c>
      <c r="O134" s="343">
        <f t="shared" si="43"/>
        <v>1.0009064127045164</v>
      </c>
      <c r="P134" s="691">
        <f t="shared" si="44"/>
        <v>4.2561216625781419E-2</v>
      </c>
      <c r="Q134" s="336">
        <f t="shared" si="60"/>
        <v>4.1670716701150816</v>
      </c>
      <c r="R134" s="692">
        <f t="shared" si="45"/>
        <v>7.1313643550652894E-2</v>
      </c>
      <c r="S134" s="329">
        <f t="shared" si="46"/>
        <v>0.99958815731768291</v>
      </c>
      <c r="T134" s="330">
        <f t="shared" si="47"/>
        <v>4.2286777327741686E-2</v>
      </c>
      <c r="U134" s="331">
        <f t="shared" si="48"/>
        <v>8.9404904071503299</v>
      </c>
      <c r="V134" s="332">
        <f t="shared" si="49"/>
        <v>-131.45186493700862</v>
      </c>
      <c r="W134" s="334">
        <f t="shared" si="50"/>
        <v>48.548135062991378</v>
      </c>
      <c r="Y134" s="307">
        <f t="shared" si="51"/>
        <v>1000000000</v>
      </c>
      <c r="Z134" s="307">
        <f t="shared" si="52"/>
        <v>53710576.5625</v>
      </c>
      <c r="AB134" s="333">
        <f t="shared" si="53"/>
        <v>19.142755751091162</v>
      </c>
      <c r="AC134" s="334">
        <f t="shared" si="54"/>
        <v>-49.902716342480552</v>
      </c>
      <c r="AE134" s="333">
        <f t="shared" si="55"/>
        <v>14.227684448239561</v>
      </c>
      <c r="AF134" s="334">
        <f t="shared" si="56"/>
        <v>-79.901755879092221</v>
      </c>
      <c r="AH134">
        <f t="shared" si="57"/>
        <v>0</v>
      </c>
      <c r="AI134">
        <f t="shared" si="61"/>
        <v>0</v>
      </c>
    </row>
    <row r="135" spans="1:35" x14ac:dyDescent="0.25">
      <c r="A135" s="335">
        <v>7413.1</v>
      </c>
      <c r="B135" s="352">
        <f t="shared" si="59"/>
        <v>7.4131</v>
      </c>
      <c r="C135" s="325">
        <f t="shared" si="31"/>
        <v>4.7279625180316387</v>
      </c>
      <c r="D135" s="326">
        <f t="shared" si="32"/>
        <v>1.3576791279770501</v>
      </c>
      <c r="E135" s="326">
        <f t="shared" si="33"/>
        <v>1.0000047251576445</v>
      </c>
      <c r="F135" s="327">
        <f t="shared" si="34"/>
        <v>3.0741304586978809E-3</v>
      </c>
      <c r="G135" s="326">
        <f t="shared" si="35"/>
        <v>1</v>
      </c>
      <c r="H135" s="327">
        <f t="shared" si="36"/>
        <v>0</v>
      </c>
      <c r="I135" s="325">
        <f t="shared" si="37"/>
        <v>11626.767378072145</v>
      </c>
      <c r="J135" s="328">
        <f t="shared" si="38"/>
        <v>1.5707103183654927</v>
      </c>
      <c r="K135" s="336">
        <f t="shared" si="39"/>
        <v>1.3644226459290103</v>
      </c>
      <c r="L135" s="337">
        <f t="shared" si="40"/>
        <v>0.74820573371916299</v>
      </c>
      <c r="M135" s="325">
        <f t="shared" si="41"/>
        <v>1.0009360603344579</v>
      </c>
      <c r="N135" s="337">
        <f t="shared" si="42"/>
        <v>4.3251144334007376E-2</v>
      </c>
      <c r="O135" s="343">
        <f t="shared" si="43"/>
        <v>1.0009273877061191</v>
      </c>
      <c r="P135" s="691">
        <f t="shared" si="44"/>
        <v>4.3050471918695099E-2</v>
      </c>
      <c r="Q135" s="336">
        <f t="shared" si="60"/>
        <v>4.1673145853646174</v>
      </c>
      <c r="R135" s="692">
        <f t="shared" si="45"/>
        <v>7.2131631841126032E-2</v>
      </c>
      <c r="S135" s="329">
        <f t="shared" si="46"/>
        <v>0.99957864076507741</v>
      </c>
      <c r="T135" s="330">
        <f t="shared" si="47"/>
        <v>4.2774178382979429E-2</v>
      </c>
      <c r="U135" s="331">
        <f t="shared" si="48"/>
        <v>8.7914869579836949</v>
      </c>
      <c r="V135" s="332">
        <f t="shared" si="49"/>
        <v>-131.33430639543226</v>
      </c>
      <c r="W135" s="334">
        <f t="shared" si="50"/>
        <v>48.665693604567736</v>
      </c>
      <c r="Y135" s="307">
        <f t="shared" si="51"/>
        <v>1000000000</v>
      </c>
      <c r="Z135" s="307">
        <f t="shared" si="52"/>
        <v>54954051.610000007</v>
      </c>
      <c r="AB135" s="333">
        <f t="shared" si="53"/>
        <v>19.088896397720564</v>
      </c>
      <c r="AC135" s="334">
        <f t="shared" si="54"/>
        <v>-49.604149416526248</v>
      </c>
      <c r="AE135" s="333">
        <f t="shared" si="55"/>
        <v>14.132864653226251</v>
      </c>
      <c r="AF135" s="334">
        <f t="shared" si="56"/>
        <v>-80.063929250101751</v>
      </c>
      <c r="AH135">
        <f t="shared" si="57"/>
        <v>0</v>
      </c>
      <c r="AI135">
        <f t="shared" si="61"/>
        <v>0</v>
      </c>
    </row>
    <row r="136" spans="1:35" x14ac:dyDescent="0.25">
      <c r="A136" s="335">
        <v>7499.45</v>
      </c>
      <c r="B136" s="352">
        <f t="shared" si="59"/>
        <v>7.4994499999999995</v>
      </c>
      <c r="C136" s="325">
        <f t="shared" si="31"/>
        <v>4.7805850883169763</v>
      </c>
      <c r="D136" s="326">
        <f t="shared" si="32"/>
        <v>1.3600605900462939</v>
      </c>
      <c r="E136" s="326">
        <f t="shared" si="33"/>
        <v>1.0000048358785909</v>
      </c>
      <c r="F136" s="327">
        <f t="shared" si="34"/>
        <v>3.1099386176848395E-3</v>
      </c>
      <c r="G136" s="326">
        <f t="shared" si="35"/>
        <v>1</v>
      </c>
      <c r="H136" s="327">
        <f t="shared" si="36"/>
        <v>0</v>
      </c>
      <c r="I136" s="325">
        <f t="shared" si="37"/>
        <v>11762.199431560221</v>
      </c>
      <c r="J136" s="328">
        <f t="shared" si="38"/>
        <v>1.5707113086818283</v>
      </c>
      <c r="K136" s="336">
        <f t="shared" si="39"/>
        <v>1.3718015747639765</v>
      </c>
      <c r="L136" s="337">
        <f t="shared" si="40"/>
        <v>0.75398256809623732</v>
      </c>
      <c r="M136" s="325">
        <f t="shared" si="41"/>
        <v>1.0009579838654856</v>
      </c>
      <c r="N136" s="337">
        <f t="shared" si="42"/>
        <v>4.3754307504120057E-2</v>
      </c>
      <c r="O136" s="343">
        <f t="shared" si="43"/>
        <v>1.0009491082112008</v>
      </c>
      <c r="P136" s="691">
        <f t="shared" si="44"/>
        <v>4.355130644825983E-2</v>
      </c>
      <c r="Q136" s="336">
        <f t="shared" si="60"/>
        <v>4.1675661248664131</v>
      </c>
      <c r="R136" s="692">
        <f t="shared" si="45"/>
        <v>7.2968916290940974E-2</v>
      </c>
      <c r="S136" s="329">
        <f t="shared" si="46"/>
        <v>0.99956878662807269</v>
      </c>
      <c r="T136" s="330">
        <f t="shared" si="47"/>
        <v>4.32731610687506E-2</v>
      </c>
      <c r="U136" s="331">
        <f t="shared" si="48"/>
        <v>8.6411634275707936</v>
      </c>
      <c r="V136" s="332">
        <f t="shared" si="49"/>
        <v>-131.21446686519184</v>
      </c>
      <c r="W136" s="334">
        <f t="shared" si="50"/>
        <v>48.785533134808162</v>
      </c>
      <c r="Y136" s="307">
        <f t="shared" si="51"/>
        <v>1000000000</v>
      </c>
      <c r="Z136" s="307">
        <f t="shared" si="52"/>
        <v>56241750.302499995</v>
      </c>
      <c r="AB136" s="333">
        <f t="shared" si="53"/>
        <v>19.034962608680463</v>
      </c>
      <c r="AC136" s="334">
        <f t="shared" si="54"/>
        <v>-49.30204705442889</v>
      </c>
      <c r="AE136" s="333">
        <f t="shared" si="55"/>
        <v>14.036810692085515</v>
      </c>
      <c r="AF136" s="334">
        <f t="shared" si="56"/>
        <v>-80.226914921488856</v>
      </c>
      <c r="AH136">
        <f t="shared" si="57"/>
        <v>0</v>
      </c>
      <c r="AI136">
        <f t="shared" si="61"/>
        <v>0</v>
      </c>
    </row>
    <row r="137" spans="1:35" x14ac:dyDescent="0.25">
      <c r="A137" s="335">
        <v>7585.8</v>
      </c>
      <c r="B137" s="352">
        <f t="shared" si="59"/>
        <v>7.5857999999999999</v>
      </c>
      <c r="C137" s="325">
        <f t="shared" si="31"/>
        <v>4.8332341805590895</v>
      </c>
      <c r="D137" s="326">
        <f t="shared" si="32"/>
        <v>1.3623901818935547</v>
      </c>
      <c r="E137" s="326">
        <f t="shared" si="33"/>
        <v>1.0000049478817674</v>
      </c>
      <c r="F137" s="327">
        <f t="shared" si="34"/>
        <v>3.1457467686964967E-3</v>
      </c>
      <c r="G137" s="326">
        <f t="shared" si="35"/>
        <v>1</v>
      </c>
      <c r="H137" s="327">
        <f t="shared" si="36"/>
        <v>0</v>
      </c>
      <c r="I137" s="325">
        <f t="shared" si="37"/>
        <v>11897.63148505957</v>
      </c>
      <c r="J137" s="328">
        <f t="shared" si="38"/>
        <v>1.5707122764524033</v>
      </c>
      <c r="K137" s="336">
        <f t="shared" si="39"/>
        <v>1.3792257923768207</v>
      </c>
      <c r="L137" s="337">
        <f t="shared" si="40"/>
        <v>0.75969739938304126</v>
      </c>
      <c r="M137" s="325">
        <f t="shared" si="41"/>
        <v>1.0009801608010866</v>
      </c>
      <c r="N137" s="337">
        <f t="shared" si="42"/>
        <v>4.4257448506228494E-2</v>
      </c>
      <c r="O137" s="343">
        <f t="shared" si="43"/>
        <v>1.0009710797786449</v>
      </c>
      <c r="P137" s="691">
        <f t="shared" si="44"/>
        <v>4.4052119116553184E-2</v>
      </c>
      <c r="Q137" s="336">
        <f t="shared" si="60"/>
        <v>4.167820561964561</v>
      </c>
      <c r="R137" s="692">
        <f t="shared" si="45"/>
        <v>7.3806099509495515E-2</v>
      </c>
      <c r="S137" s="329">
        <f t="shared" si="46"/>
        <v>0.99955881926999035</v>
      </c>
      <c r="T137" s="330">
        <f t="shared" si="47"/>
        <v>4.3772169335833395E-2</v>
      </c>
      <c r="U137" s="331">
        <f t="shared" si="48"/>
        <v>8.4930252223279616</v>
      </c>
      <c r="V137" s="332">
        <f t="shared" si="49"/>
        <v>-131.09520226222213</v>
      </c>
      <c r="W137" s="334">
        <f t="shared" si="50"/>
        <v>48.904797737777869</v>
      </c>
      <c r="Y137" s="307">
        <f t="shared" si="51"/>
        <v>1000000000</v>
      </c>
      <c r="Z137" s="307">
        <f t="shared" si="52"/>
        <v>57544361.640000001</v>
      </c>
      <c r="AB137" s="333">
        <f t="shared" si="53"/>
        <v>18.982212143465539</v>
      </c>
      <c r="AC137" s="334">
        <f t="shared" si="54"/>
        <v>-49.003494645814854</v>
      </c>
      <c r="AE137" s="333">
        <f t="shared" si="55"/>
        <v>13.941762564851523</v>
      </c>
      <c r="AF137" s="334">
        <f t="shared" si="56"/>
        <v>-80.386930114228676</v>
      </c>
      <c r="AH137">
        <f t="shared" si="57"/>
        <v>0</v>
      </c>
      <c r="AI137">
        <f t="shared" si="61"/>
        <v>0</v>
      </c>
    </row>
    <row r="138" spans="1:35" x14ac:dyDescent="0.25">
      <c r="A138" s="335">
        <v>7674.15</v>
      </c>
      <c r="B138" s="352">
        <f t="shared" si="59"/>
        <v>7.67415</v>
      </c>
      <c r="C138" s="325">
        <f t="shared" si="31"/>
        <v>4.8871292639592312</v>
      </c>
      <c r="D138" s="326">
        <f t="shared" si="32"/>
        <v>1.3647217670222587</v>
      </c>
      <c r="E138" s="326">
        <f t="shared" si="33"/>
        <v>1.000005063806233</v>
      </c>
      <c r="F138" s="327">
        <f t="shared" si="34"/>
        <v>3.1823842837032357E-3</v>
      </c>
      <c r="G138" s="326">
        <f t="shared" si="35"/>
        <v>1</v>
      </c>
      <c r="H138" s="327">
        <f t="shared" si="36"/>
        <v>0</v>
      </c>
      <c r="I138" s="325">
        <f t="shared" si="37"/>
        <v>12036.200355095942</v>
      </c>
      <c r="J138" s="328">
        <f t="shared" si="38"/>
        <v>1.570713244096732</v>
      </c>
      <c r="K138" s="336">
        <f t="shared" si="39"/>
        <v>1.3868680821282455</v>
      </c>
      <c r="L138" s="337">
        <f t="shared" si="40"/>
        <v>0.76548107366269957</v>
      </c>
      <c r="M138" s="325">
        <f t="shared" si="41"/>
        <v>1.0010031136477719</v>
      </c>
      <c r="N138" s="337">
        <f t="shared" si="42"/>
        <v>4.4772219826464267E-2</v>
      </c>
      <c r="O138" s="343">
        <f t="shared" si="43"/>
        <v>1.0009938200766386</v>
      </c>
      <c r="P138" s="691">
        <f t="shared" si="44"/>
        <v>4.4564508496257385E-2</v>
      </c>
      <c r="Q138" s="336">
        <f t="shared" si="60"/>
        <v>4.1680838907100926</v>
      </c>
      <c r="R138" s="692">
        <f t="shared" si="45"/>
        <v>7.4662567225494705E-2</v>
      </c>
      <c r="S138" s="329">
        <f t="shared" si="46"/>
        <v>0.99954850389980798</v>
      </c>
      <c r="T138" s="330">
        <f t="shared" si="47"/>
        <v>4.4282762192922348E-2</v>
      </c>
      <c r="U138" s="331">
        <f t="shared" si="48"/>
        <v>8.3436632494793965</v>
      </c>
      <c r="V138" s="332">
        <f t="shared" si="49"/>
        <v>-130.97383166650141</v>
      </c>
      <c r="W138" s="334">
        <f t="shared" si="50"/>
        <v>49.026168333498589</v>
      </c>
      <c r="Y138" s="307">
        <f t="shared" si="51"/>
        <v>1000000000</v>
      </c>
      <c r="Z138" s="307">
        <f t="shared" si="52"/>
        <v>58892578.222499996</v>
      </c>
      <c r="AB138" s="333">
        <f t="shared" si="53"/>
        <v>18.929430730379224</v>
      </c>
      <c r="AC138" s="334">
        <f t="shared" si="54"/>
        <v>-48.701664185167154</v>
      </c>
      <c r="AE138" s="333">
        <f t="shared" si="55"/>
        <v>13.84553344858066</v>
      </c>
      <c r="AF138" s="334">
        <f t="shared" si="56"/>
        <v>-80.54767574264153</v>
      </c>
      <c r="AH138">
        <f t="shared" si="57"/>
        <v>0</v>
      </c>
      <c r="AI138">
        <f t="shared" si="61"/>
        <v>0</v>
      </c>
    </row>
    <row r="139" spans="1:35" x14ac:dyDescent="0.25">
      <c r="A139" s="335">
        <v>7762.5</v>
      </c>
      <c r="B139" s="352">
        <f t="shared" si="59"/>
        <v>7.7625000000000002</v>
      </c>
      <c r="C139" s="325">
        <f t="shared" si="31"/>
        <v>4.9410503355404938</v>
      </c>
      <c r="D139" s="326">
        <f t="shared" si="32"/>
        <v>1.3670024757244448</v>
      </c>
      <c r="E139" s="326">
        <f t="shared" si="33"/>
        <v>1.0000051810730122</v>
      </c>
      <c r="F139" s="327">
        <f t="shared" si="34"/>
        <v>3.2190217901664716E-3</v>
      </c>
      <c r="G139" s="326">
        <f t="shared" si="35"/>
        <v>1</v>
      </c>
      <c r="H139" s="327">
        <f t="shared" si="36"/>
        <v>0</v>
      </c>
      <c r="I139" s="325">
        <f t="shared" si="37"/>
        <v>12174.769225143327</v>
      </c>
      <c r="J139" s="328">
        <f t="shared" si="38"/>
        <v>1.5707141897142973</v>
      </c>
      <c r="K139" s="336">
        <f t="shared" si="39"/>
        <v>1.3945562544852779</v>
      </c>
      <c r="L139" s="337">
        <f t="shared" si="40"/>
        <v>0.7712011668773896</v>
      </c>
      <c r="M139" s="325">
        <f t="shared" si="41"/>
        <v>1.0010263317375785</v>
      </c>
      <c r="N139" s="337">
        <f t="shared" si="42"/>
        <v>4.5286967403592331E-2</v>
      </c>
      <c r="O139" s="343">
        <f t="shared" si="43"/>
        <v>1.0010168231664485</v>
      </c>
      <c r="P139" s="691">
        <f t="shared" si="44"/>
        <v>4.5076874461341961E-2</v>
      </c>
      <c r="Q139" s="336">
        <f t="shared" si="60"/>
        <v>4.1683502517018285</v>
      </c>
      <c r="R139" s="692">
        <f t="shared" si="45"/>
        <v>7.5518926551767673E-2</v>
      </c>
      <c r="S139" s="329">
        <f t="shared" si="46"/>
        <v>0.99953807006921691</v>
      </c>
      <c r="T139" s="330">
        <f t="shared" si="47"/>
        <v>4.4793382453948129E-2</v>
      </c>
      <c r="U139" s="331">
        <f t="shared" si="48"/>
        <v>8.1964800828459019</v>
      </c>
      <c r="V139" s="332">
        <f t="shared" si="49"/>
        <v>-130.85318307242898</v>
      </c>
      <c r="W139" s="334">
        <f t="shared" si="50"/>
        <v>49.146816927571024</v>
      </c>
      <c r="Y139" s="307">
        <f t="shared" si="51"/>
        <v>1000000000</v>
      </c>
      <c r="Z139" s="307">
        <f t="shared" si="52"/>
        <v>60256406.25</v>
      </c>
      <c r="AB139" s="333">
        <f t="shared" si="53"/>
        <v>18.877820367190317</v>
      </c>
      <c r="AC139" s="334">
        <f t="shared" si="54"/>
        <v>-48.403474028782817</v>
      </c>
      <c r="AE139" s="333">
        <f t="shared" si="55"/>
        <v>13.750316096689733</v>
      </c>
      <c r="AF139" s="334">
        <f t="shared" si="56"/>
        <v>-80.705507937154337</v>
      </c>
      <c r="AH139">
        <f t="shared" si="57"/>
        <v>0</v>
      </c>
      <c r="AI139">
        <f t="shared" si="61"/>
        <v>0</v>
      </c>
    </row>
    <row r="140" spans="1:35" x14ac:dyDescent="0.25">
      <c r="A140" s="335">
        <v>7852.9</v>
      </c>
      <c r="B140" s="352">
        <f t="shared" si="59"/>
        <v>7.8529</v>
      </c>
      <c r="C140" s="325">
        <f t="shared" si="31"/>
        <v>4.9962485688910663</v>
      </c>
      <c r="D140" s="326">
        <f t="shared" si="32"/>
        <v>1.3692851370789232</v>
      </c>
      <c r="E140" s="326">
        <f t="shared" si="33"/>
        <v>1.0000053024501463</v>
      </c>
      <c r="F140" s="327">
        <f t="shared" si="34"/>
        <v>3.2565093939459799E-3</v>
      </c>
      <c r="G140" s="326">
        <f t="shared" si="35"/>
        <v>1</v>
      </c>
      <c r="H140" s="327">
        <f t="shared" si="36"/>
        <v>0</v>
      </c>
      <c r="I140" s="325">
        <f t="shared" si="37"/>
        <v>12316.553332141139</v>
      </c>
      <c r="J140" s="328">
        <f t="shared" si="38"/>
        <v>1.5707151352493294</v>
      </c>
      <c r="K140" s="336">
        <f t="shared" si="39"/>
        <v>1.4024695215934995</v>
      </c>
      <c r="L140" s="337">
        <f t="shared" si="40"/>
        <v>0.77698887685365425</v>
      </c>
      <c r="M140" s="325">
        <f t="shared" si="41"/>
        <v>1.0010503630876444</v>
      </c>
      <c r="N140" s="337">
        <f t="shared" si="42"/>
        <v>4.581363389718459E-2</v>
      </c>
      <c r="O140" s="343">
        <f t="shared" si="43"/>
        <v>1.0010406319909084</v>
      </c>
      <c r="P140" s="691">
        <f t="shared" si="44"/>
        <v>4.5601104425844301E-2</v>
      </c>
      <c r="Q140" s="336">
        <f t="shared" si="60"/>
        <v>4.1686259311054865</v>
      </c>
      <c r="R140" s="692">
        <f t="shared" si="45"/>
        <v>7.6395042664634344E-2</v>
      </c>
      <c r="S140" s="329">
        <f t="shared" si="46"/>
        <v>0.99952727156091559</v>
      </c>
      <c r="T140" s="330">
        <f t="shared" si="47"/>
        <v>4.531587941750833E-2</v>
      </c>
      <c r="U140" s="331">
        <f t="shared" si="48"/>
        <v>8.0480822440171575</v>
      </c>
      <c r="V140" s="332">
        <f t="shared" si="49"/>
        <v>-130.73053910224303</v>
      </c>
      <c r="W140" s="334">
        <f t="shared" si="50"/>
        <v>49.269460897756971</v>
      </c>
      <c r="Y140" s="307">
        <f t="shared" si="51"/>
        <v>1000000000</v>
      </c>
      <c r="Z140" s="307">
        <f t="shared" si="52"/>
        <v>61668038.409999996</v>
      </c>
      <c r="AB140" s="333">
        <f t="shared" si="53"/>
        <v>18.826190655341101</v>
      </c>
      <c r="AC140" s="334">
        <f t="shared" si="54"/>
        <v>-48.102092616213227</v>
      </c>
      <c r="AE140" s="333">
        <f t="shared" si="55"/>
        <v>13.653915815312827</v>
      </c>
      <c r="AF140" s="334">
        <f t="shared" si="56"/>
        <v>-80.864083788344544</v>
      </c>
      <c r="AH140">
        <f t="shared" si="57"/>
        <v>0</v>
      </c>
      <c r="AI140">
        <f t="shared" si="61"/>
        <v>0</v>
      </c>
    </row>
    <row r="141" spans="1:35" x14ac:dyDescent="0.25">
      <c r="A141" s="335">
        <v>7943.3</v>
      </c>
      <c r="B141" s="352">
        <f t="shared" si="59"/>
        <v>7.9432999999999998</v>
      </c>
      <c r="C141" s="325">
        <f t="shared" ref="C141:C204" si="62">SQRT(1+(A141/pole1)^2)</f>
        <v>5.0514722663937954</v>
      </c>
      <c r="D141" s="326">
        <f t="shared" ref="D141:D204" si="63">ATAN(A141/pole1)</f>
        <v>1.3715179008422664</v>
      </c>
      <c r="E141" s="326">
        <f t="shared" ref="E141:E204" si="64">SQRT(1+(A141/Zero1)^2)</f>
        <v>1.0000054252326078</v>
      </c>
      <c r="F141" s="327">
        <f t="shared" ref="F141:F204" si="65">ATAN(A141/Zero1)</f>
        <v>3.2939969885725797E-3</v>
      </c>
      <c r="G141" s="326">
        <f t="shared" ref="G141:G204" si="66">IF(VIN_nom&gt;Vout, 1, SQRT(1+(A141/z_RHP)^2))</f>
        <v>1</v>
      </c>
      <c r="H141" s="327">
        <f t="shared" ref="H141:H204" si="67">IF(VIN_nom&gt;Vout, 0, -ATAN(A141/z_RHP))</f>
        <v>0</v>
      </c>
      <c r="I141" s="325">
        <f t="shared" ref="I141:I204" si="68">SQRT(1+(A141/Pole2)^2)</f>
        <v>12458.337439149709</v>
      </c>
      <c r="J141" s="328">
        <f t="shared" ref="J141:J204" si="69">ATAN(A141/Pole2)</f>
        <v>1.5707160592627354</v>
      </c>
      <c r="K141" s="336">
        <f t="shared" ref="K141:K147" si="70">SQRT(1+(A141/Zero2)^2)</f>
        <v>1.4104292399754266</v>
      </c>
      <c r="L141" s="337">
        <f t="shared" ref="L141:L147" si="71">ATAN(A141/Zero2)</f>
        <v>0.78271145116595198</v>
      </c>
      <c r="M141" s="325">
        <f t="shared" ref="M141:M204" si="72">SQRT(1+(A141/pole4)^2)</f>
        <v>1.0010746720932766</v>
      </c>
      <c r="N141" s="337">
        <f t="shared" ref="N141:N204" si="73">ATAN(A141/pole4)</f>
        <v>4.6340274958859839E-2</v>
      </c>
      <c r="O141" s="343">
        <f t="shared" ref="O141:O204" si="74">IF(VOUT_setting=1,1,SQRT(1+(A141*zterm1)^2))</f>
        <v>1.0010647159052775</v>
      </c>
      <c r="P141" s="691">
        <f t="shared" ref="P141:P204" si="75">IF(VOUT_setting=1,0,ATAN(((A141*zterm1))))</f>
        <v>4.6125309310238762E-2</v>
      </c>
      <c r="Q141" s="336">
        <f t="shared" si="60"/>
        <v>4.1689047838651696</v>
      </c>
      <c r="R141" s="692">
        <f t="shared" ref="R141:R204" si="76">IF(VOUT_setting=1,0,ATAN(A141*$Q$4/(1+Afbr-$Q$5*(A141)^2)))</f>
        <v>7.7271042716650779E-2</v>
      </c>
      <c r="S141" s="329">
        <f t="shared" ref="S141:S204" si="77">SQRT((1-(Z141/pterm2))^2+(A141/pterm1)^2)</f>
        <v>0.99951634910364306</v>
      </c>
      <c r="T141" s="330">
        <f t="shared" ref="T141:T204" si="78">IF((ATAN((A141/pterm1)/(1-A141^2/pterm2))&gt;0),ATAN((A141/pterm1)/(1-A141^2/pterm2)),PI()+ATAN((A141/pterm1)/(1-A141^2/pterm2)))</f>
        <v>4.5838405739806284E-2</v>
      </c>
      <c r="U141" s="331">
        <f t="shared" ref="U141:U204" si="79">20*LOG10(((E141*K141*G141*O141)/(C141*I141*S141*M141*Q141))*Adc)</f>
        <v>7.9018560044273141</v>
      </c>
      <c r="V141" s="332">
        <f t="shared" ref="V141:V204" si="80">((F141+L141+H141+P141)-(D141+J141+T141+N141+R141))*radconv</f>
        <v>-130.60876198892302</v>
      </c>
      <c r="W141" s="334">
        <f t="shared" ref="W141:W204" si="81">IF(V141&gt;0,V141,V141+180)</f>
        <v>49.391238011076979</v>
      </c>
      <c r="Y141" s="307">
        <f t="shared" ref="Y141:Y204" si="82">IF(U141&lt;0,A141,1000000000)</f>
        <v>1000000000</v>
      </c>
      <c r="Z141" s="307">
        <f t="shared" ref="Z141:Z204" si="83">A141^2</f>
        <v>63096014.890000001</v>
      </c>
      <c r="AB141" s="333">
        <f t="shared" ref="AB141:AB204" si="84">20*LOG10((K141/(I141*M141))*AEA)</f>
        <v>18.775719191912469</v>
      </c>
      <c r="AC141" s="334">
        <f t="shared" ref="AC141:AC204" si="85">(L141-(J141+N141))*radconv</f>
        <v>-47.804440512049119</v>
      </c>
      <c r="AE141" s="333">
        <f t="shared" ref="AE141:AE204" si="86">20*LOG10((E141*G141/(C141*S141))*Acs*Am)</f>
        <v>13.558533076492836</v>
      </c>
      <c r="AF141" s="334">
        <f t="shared" ref="AF141:AF204" si="87">(F141+H141-(D141+T141))*radconv</f>
        <v>-81.019802400807748</v>
      </c>
      <c r="AH141">
        <f t="shared" ref="AH141:AH204" si="88">SUM((U142&lt;0)*(U141&gt;0))*A141</f>
        <v>0</v>
      </c>
      <c r="AI141">
        <f t="shared" si="61"/>
        <v>0</v>
      </c>
    </row>
    <row r="142" spans="1:35" x14ac:dyDescent="0.25">
      <c r="A142" s="335">
        <v>8035.8</v>
      </c>
      <c r="B142" s="352">
        <f t="shared" ref="B142:B205" si="89">A142/1000</f>
        <v>8.0358000000000001</v>
      </c>
      <c r="C142" s="325">
        <f t="shared" si="62"/>
        <v>5.10800431208318</v>
      </c>
      <c r="D142" s="326">
        <f t="shared" si="63"/>
        <v>1.3737525474866976</v>
      </c>
      <c r="E142" s="326">
        <f t="shared" si="64"/>
        <v>1.000005552321992</v>
      </c>
      <c r="F142" s="327">
        <f t="shared" si="65"/>
        <v>3.3323554137556243E-3</v>
      </c>
      <c r="G142" s="326">
        <f t="shared" si="66"/>
        <v>1</v>
      </c>
      <c r="H142" s="327">
        <f t="shared" si="67"/>
        <v>0</v>
      </c>
      <c r="I142" s="325">
        <f t="shared" si="68"/>
        <v>12603.415203522116</v>
      </c>
      <c r="J142" s="328">
        <f t="shared" si="69"/>
        <v>1.5707169832213572</v>
      </c>
      <c r="K142" s="336">
        <f t="shared" si="70"/>
        <v>1.4186211300787324</v>
      </c>
      <c r="L142" s="337">
        <f t="shared" si="71"/>
        <v>0.78850029463297477</v>
      </c>
      <c r="M142" s="325">
        <f t="shared" si="72"/>
        <v>1.0010998331835892</v>
      </c>
      <c r="N142" s="337">
        <f t="shared" si="73"/>
        <v>4.6879123311261706E-2</v>
      </c>
      <c r="O142" s="343">
        <f t="shared" si="74"/>
        <v>1.0010896440200747</v>
      </c>
      <c r="P142" s="691">
        <f t="shared" si="75"/>
        <v>4.6661665261073647E-2</v>
      </c>
      <c r="Q142" s="336">
        <f t="shared" si="60"/>
        <v>4.1691933985232001</v>
      </c>
      <c r="R142" s="692">
        <f t="shared" si="76"/>
        <v>7.8167270830165156E-2</v>
      </c>
      <c r="S142" s="329">
        <f t="shared" si="77"/>
        <v>0.99950504465421885</v>
      </c>
      <c r="T142" s="330">
        <f t="shared" si="78"/>
        <v>4.6373101137057803E-2</v>
      </c>
      <c r="U142" s="331">
        <f t="shared" si="79"/>
        <v>7.754425723200252</v>
      </c>
      <c r="V142" s="332">
        <f t="shared" si="80"/>
        <v>-130.48510535640969</v>
      </c>
      <c r="W142" s="334">
        <f t="shared" si="81"/>
        <v>49.51489464359031</v>
      </c>
      <c r="Y142" s="307">
        <f t="shared" si="82"/>
        <v>1000000000</v>
      </c>
      <c r="Z142" s="307">
        <f t="shared" si="83"/>
        <v>64574081.640000001</v>
      </c>
      <c r="AB142" s="333">
        <f t="shared" si="84"/>
        <v>18.725240230825634</v>
      </c>
      <c r="AC142" s="334">
        <f t="shared" si="85"/>
        <v>-47.503690888102867</v>
      </c>
      <c r="AE142" s="333">
        <f t="shared" si="86"/>
        <v>13.461966772682164</v>
      </c>
      <c r="AF142" s="334">
        <f t="shared" si="87"/>
        <v>-81.176276236131358</v>
      </c>
      <c r="AH142">
        <f t="shared" si="88"/>
        <v>0</v>
      </c>
      <c r="AI142">
        <f t="shared" si="61"/>
        <v>0</v>
      </c>
    </row>
    <row r="143" spans="1:35" x14ac:dyDescent="0.25">
      <c r="A143" s="335">
        <v>8128.3</v>
      </c>
      <c r="B143" s="352">
        <f t="shared" si="89"/>
        <v>8.1282999999999994</v>
      </c>
      <c r="C143" s="325">
        <f t="shared" si="62"/>
        <v>5.1645613068435496</v>
      </c>
      <c r="D143" s="326">
        <f t="shared" si="63"/>
        <v>1.3759382617171854</v>
      </c>
      <c r="E143" s="326">
        <f t="shared" si="64"/>
        <v>1.0000056808827524</v>
      </c>
      <c r="F143" s="327">
        <f t="shared" si="65"/>
        <v>3.3707138291323873E-3</v>
      </c>
      <c r="G143" s="326">
        <f t="shared" si="66"/>
        <v>1</v>
      </c>
      <c r="H143" s="327">
        <f t="shared" si="67"/>
        <v>0</v>
      </c>
      <c r="I143" s="325">
        <f t="shared" si="68"/>
        <v>12748.492967905036</v>
      </c>
      <c r="J143" s="328">
        <f t="shared" si="69"/>
        <v>1.5707178861506932</v>
      </c>
      <c r="K143" s="336">
        <f t="shared" si="70"/>
        <v>1.4268600123965078</v>
      </c>
      <c r="L143" s="337">
        <f t="shared" si="71"/>
        <v>0.79422247689080194</v>
      </c>
      <c r="M143" s="325">
        <f t="shared" si="72"/>
        <v>1.0011252849361332</v>
      </c>
      <c r="N143" s="337">
        <f t="shared" si="73"/>
        <v>4.7417944421668953E-2</v>
      </c>
      <c r="O143" s="343">
        <f t="shared" si="74"/>
        <v>1.0011148601116537</v>
      </c>
      <c r="P143" s="691">
        <f t="shared" si="75"/>
        <v>4.7197994346713401E-2</v>
      </c>
      <c r="Q143" s="336">
        <f t="shared" ref="Q143:Q206" si="90">IF(VOUT_setting=1,1,SQRT((1+Afbr-$Q$5*(A143)^2)^2+(A143*$Q$4)^2))</f>
        <v>4.1694853343279741</v>
      </c>
      <c r="R143" s="692">
        <f t="shared" si="76"/>
        <v>7.9063374665486408E-2</v>
      </c>
      <c r="S143" s="329">
        <f t="shared" si="77"/>
        <v>0.99949361050976426</v>
      </c>
      <c r="T143" s="330">
        <f t="shared" si="78"/>
        <v>4.6907827988893647E-2</v>
      </c>
      <c r="U143" s="331">
        <f t="shared" si="79"/>
        <v>7.6091590971098988</v>
      </c>
      <c r="V143" s="332">
        <f t="shared" si="80"/>
        <v>-130.36245796472383</v>
      </c>
      <c r="W143" s="334">
        <f t="shared" si="81"/>
        <v>49.637542035276169</v>
      </c>
      <c r="Y143" s="307">
        <f t="shared" si="82"/>
        <v>1000000000</v>
      </c>
      <c r="Z143" s="307">
        <f t="shared" si="83"/>
        <v>66069260.890000001</v>
      </c>
      <c r="AB143" s="333">
        <f t="shared" si="84"/>
        <v>18.675906161700201</v>
      </c>
      <c r="AC143" s="334">
        <f t="shared" si="85"/>
        <v>-47.206757904364466</v>
      </c>
      <c r="AE143" s="333">
        <f t="shared" si="86"/>
        <v>13.366423615888717</v>
      </c>
      <c r="AF143" s="334">
        <f t="shared" si="87"/>
        <v>-81.329948253428199</v>
      </c>
      <c r="AH143">
        <f t="shared" si="88"/>
        <v>0</v>
      </c>
      <c r="AI143">
        <f t="shared" si="61"/>
        <v>0</v>
      </c>
    </row>
    <row r="144" spans="1:35" x14ac:dyDescent="0.25">
      <c r="A144" s="335">
        <v>8222.9500000000007</v>
      </c>
      <c r="B144" s="352">
        <f t="shared" si="89"/>
        <v>8.2229500000000009</v>
      </c>
      <c r="C144" s="325">
        <f t="shared" si="62"/>
        <v>5.222457849701188</v>
      </c>
      <c r="D144" s="326">
        <f t="shared" si="63"/>
        <v>1.3781257643161722</v>
      </c>
      <c r="E144" s="326">
        <f t="shared" si="64"/>
        <v>1.000005813954755</v>
      </c>
      <c r="F144" s="327">
        <f t="shared" si="65"/>
        <v>3.4099638082196074E-3</v>
      </c>
      <c r="G144" s="326">
        <f t="shared" si="66"/>
        <v>1</v>
      </c>
      <c r="H144" s="327">
        <f t="shared" si="67"/>
        <v>0</v>
      </c>
      <c r="I144" s="325">
        <f t="shared" si="68"/>
        <v>12896.942810065211</v>
      </c>
      <c r="J144" s="328">
        <f t="shared" si="69"/>
        <v>1.5707187890391874</v>
      </c>
      <c r="K144" s="336">
        <f t="shared" si="70"/>
        <v>1.4353381921863408</v>
      </c>
      <c r="L144" s="337">
        <f t="shared" si="71"/>
        <v>0.80000946792302174</v>
      </c>
      <c r="M144" s="325">
        <f t="shared" si="72"/>
        <v>1.0011516291214722</v>
      </c>
      <c r="N144" s="337">
        <f t="shared" si="73"/>
        <v>4.7969260958876873E-2</v>
      </c>
      <c r="O144" s="343">
        <f t="shared" si="74"/>
        <v>1.0011409603791253</v>
      </c>
      <c r="P144" s="691">
        <f t="shared" si="75"/>
        <v>4.7746761330911727E-2</v>
      </c>
      <c r="Q144" s="336">
        <f t="shared" si="90"/>
        <v>4.1697874927751997</v>
      </c>
      <c r="R144" s="692">
        <f t="shared" si="76"/>
        <v>7.9980176759945565E-2</v>
      </c>
      <c r="S144" s="329">
        <f t="shared" si="77"/>
        <v>0.99948177638952918</v>
      </c>
      <c r="T144" s="330">
        <f t="shared" si="78"/>
        <v>4.7455016564490374E-2</v>
      </c>
      <c r="U144" s="331">
        <f t="shared" si="79"/>
        <v>7.4627003917602943</v>
      </c>
      <c r="V144" s="332">
        <f t="shared" si="80"/>
        <v>-130.23805190777151</v>
      </c>
      <c r="W144" s="334">
        <f t="shared" si="81"/>
        <v>49.761948092228494</v>
      </c>
      <c r="Y144" s="307">
        <f t="shared" si="82"/>
        <v>1000000000</v>
      </c>
      <c r="Z144" s="307">
        <f t="shared" si="83"/>
        <v>67616906.702500015</v>
      </c>
      <c r="AB144" s="333">
        <f t="shared" si="84"/>
        <v>18.626576570850947</v>
      </c>
      <c r="AC144" s="334">
        <f t="shared" si="85"/>
        <v>-46.906827584253371</v>
      </c>
      <c r="AE144" s="333">
        <f t="shared" si="86"/>
        <v>13.269697487718757</v>
      </c>
      <c r="AF144" s="334">
        <f t="shared" si="87"/>
        <v>-81.484385658032309</v>
      </c>
      <c r="AH144">
        <f t="shared" si="88"/>
        <v>0</v>
      </c>
      <c r="AI144">
        <f t="shared" si="61"/>
        <v>0</v>
      </c>
    </row>
    <row r="145" spans="1:35" x14ac:dyDescent="0.25">
      <c r="A145" s="335">
        <v>8270.2750000000015</v>
      </c>
      <c r="B145" s="352">
        <f t="shared" si="89"/>
        <v>8.2702750000000016</v>
      </c>
      <c r="C145" s="325">
        <f t="shared" si="62"/>
        <v>5.2514153375157502</v>
      </c>
      <c r="D145" s="326">
        <f t="shared" si="63"/>
        <v>1.3792014252307827</v>
      </c>
      <c r="E145" s="326">
        <f t="shared" si="64"/>
        <v>1.0000058810684698</v>
      </c>
      <c r="F145" s="327">
        <f t="shared" si="65"/>
        <v>3.4295887938308187E-3</v>
      </c>
      <c r="G145" s="326">
        <f t="shared" si="66"/>
        <v>1</v>
      </c>
      <c r="H145" s="327">
        <f t="shared" si="67"/>
        <v>0</v>
      </c>
      <c r="I145" s="325">
        <f t="shared" si="68"/>
        <v>12971.167731149173</v>
      </c>
      <c r="J145" s="328">
        <f t="shared" si="69"/>
        <v>1.5707192327335355</v>
      </c>
      <c r="K145" s="336">
        <f t="shared" si="70"/>
        <v>1.4395951483393332</v>
      </c>
      <c r="L145" s="337">
        <f t="shared" si="71"/>
        <v>0.80287735454254072</v>
      </c>
      <c r="M145" s="325">
        <f t="shared" si="72"/>
        <v>1.0011649153221138</v>
      </c>
      <c r="N145" s="337">
        <f t="shared" si="73"/>
        <v>4.8244908305275343E-2</v>
      </c>
      <c r="O145" s="343">
        <f t="shared" si="74"/>
        <v>1.0011541235667296</v>
      </c>
      <c r="P145" s="691">
        <f t="shared" si="75"/>
        <v>4.8021134051857775E-2</v>
      </c>
      <c r="Q145" s="336">
        <f t="shared" si="90"/>
        <v>4.1699398754876489</v>
      </c>
      <c r="R145" s="692">
        <f t="shared" si="76"/>
        <v>8.0438527996521667E-2</v>
      </c>
      <c r="S145" s="329">
        <f t="shared" si="77"/>
        <v>0.99947580843650352</v>
      </c>
      <c r="T145" s="330">
        <f t="shared" si="78"/>
        <v>4.7728623465870507E-2</v>
      </c>
      <c r="U145" s="331">
        <f t="shared" si="79"/>
        <v>7.3902825052639978</v>
      </c>
      <c r="V145" s="332">
        <f t="shared" si="80"/>
        <v>-130.17627707458385</v>
      </c>
      <c r="W145" s="334">
        <f t="shared" si="81"/>
        <v>49.823722925416149</v>
      </c>
      <c r="Y145" s="307">
        <f t="shared" si="82"/>
        <v>1000000000</v>
      </c>
      <c r="Z145" s="307">
        <f t="shared" si="83"/>
        <v>68397448.575625017</v>
      </c>
      <c r="AB145" s="333">
        <f t="shared" si="84"/>
        <v>18.602337945205303</v>
      </c>
      <c r="AC145" s="334">
        <f t="shared" si="85"/>
        <v>-46.75832863605936</v>
      </c>
      <c r="AE145" s="333">
        <f t="shared" si="86"/>
        <v>13.22172143943963</v>
      </c>
      <c r="AF145" s="334">
        <f t="shared" si="87"/>
        <v>-81.560568580559917</v>
      </c>
      <c r="AH145">
        <f t="shared" si="88"/>
        <v>0</v>
      </c>
      <c r="AI145">
        <f t="shared" si="61"/>
        <v>0</v>
      </c>
    </row>
    <row r="146" spans="1:35" x14ac:dyDescent="0.25">
      <c r="A146" s="335">
        <v>8317.6</v>
      </c>
      <c r="B146" s="352">
        <f t="shared" si="89"/>
        <v>8.3176000000000005</v>
      </c>
      <c r="C146" s="325">
        <f t="shared" si="62"/>
        <v>5.2803788348147096</v>
      </c>
      <c r="D146" s="326">
        <f t="shared" si="63"/>
        <v>1.3802652871125196</v>
      </c>
      <c r="E146" s="326">
        <f t="shared" si="64"/>
        <v>1.0000059485673267</v>
      </c>
      <c r="F146" s="327">
        <f t="shared" si="65"/>
        <v>3.4492137768002756E-3</v>
      </c>
      <c r="G146" s="326">
        <f t="shared" si="66"/>
        <v>1</v>
      </c>
      <c r="H146" s="327">
        <f t="shared" si="67"/>
        <v>0</v>
      </c>
      <c r="I146" s="325">
        <f t="shared" si="68"/>
        <v>13045.39265223566</v>
      </c>
      <c r="J146" s="328">
        <f t="shared" si="69"/>
        <v>1.5707196713788707</v>
      </c>
      <c r="K146" s="336">
        <f t="shared" si="70"/>
        <v>1.4438638749619968</v>
      </c>
      <c r="L146" s="337">
        <f t="shared" si="71"/>
        <v>0.8057283069077853</v>
      </c>
      <c r="M146" s="325">
        <f t="shared" si="72"/>
        <v>1.0011782775907045</v>
      </c>
      <c r="N146" s="337">
        <f t="shared" si="73"/>
        <v>4.8520548314738739E-2</v>
      </c>
      <c r="O146" s="343">
        <f t="shared" si="74"/>
        <v>1.0011673621196218</v>
      </c>
      <c r="P146" s="691">
        <f t="shared" si="75"/>
        <v>4.8295499537332663E-2</v>
      </c>
      <c r="Q146" s="336">
        <f t="shared" si="90"/>
        <v>4.1700931270658286</v>
      </c>
      <c r="R146" s="692">
        <f t="shared" si="76"/>
        <v>8.0896845777191861E-2</v>
      </c>
      <c r="S146" s="329">
        <f t="shared" si="77"/>
        <v>0.9994698065623171</v>
      </c>
      <c r="T146" s="330">
        <f t="shared" si="78"/>
        <v>4.800223884096351E-2</v>
      </c>
      <c r="U146" s="331">
        <f t="shared" si="79"/>
        <v>7.3183966197330133</v>
      </c>
      <c r="V146" s="332">
        <f t="shared" si="80"/>
        <v>-130.11479474158622</v>
      </c>
      <c r="W146" s="334">
        <f t="shared" si="81"/>
        <v>49.885205258413777</v>
      </c>
      <c r="Y146" s="307">
        <f t="shared" si="82"/>
        <v>1000000000</v>
      </c>
      <c r="Z146" s="307">
        <f t="shared" si="83"/>
        <v>69182469.760000005</v>
      </c>
      <c r="AB146" s="333">
        <f t="shared" si="84"/>
        <v>18.578377940021383</v>
      </c>
      <c r="AC146" s="334">
        <f t="shared" si="85"/>
        <v>-46.610799239503045</v>
      </c>
      <c r="AE146" s="333">
        <f t="shared" si="86"/>
        <v>13.173999917476324</v>
      </c>
      <c r="AF146" s="334">
        <f t="shared" si="87"/>
        <v>-81.63607595396013</v>
      </c>
      <c r="AH146">
        <f t="shared" si="88"/>
        <v>0</v>
      </c>
      <c r="AI146">
        <f t="shared" si="61"/>
        <v>0</v>
      </c>
    </row>
    <row r="147" spans="1:35" x14ac:dyDescent="0.25">
      <c r="A147" s="335">
        <v>8366.0499999999993</v>
      </c>
      <c r="B147" s="352">
        <f t="shared" si="89"/>
        <v>8.3660499999999995</v>
      </c>
      <c r="C147" s="325">
        <f t="shared" si="62"/>
        <v>5.3100369691018043</v>
      </c>
      <c r="D147" s="326">
        <f t="shared" si="63"/>
        <v>1.3813424149070879</v>
      </c>
      <c r="E147" s="326">
        <f t="shared" si="64"/>
        <v>1.0000060180697368</v>
      </c>
      <c r="F147" s="327">
        <f t="shared" si="65"/>
        <v>3.4693052780070143E-3</v>
      </c>
      <c r="G147" s="326">
        <f t="shared" si="66"/>
        <v>1</v>
      </c>
      <c r="H147" s="327">
        <f t="shared" si="67"/>
        <v>0</v>
      </c>
      <c r="I147" s="325">
        <f t="shared" si="68"/>
        <v>13121.382032621537</v>
      </c>
      <c r="J147" s="328">
        <f t="shared" si="69"/>
        <v>1.5707201153105819</v>
      </c>
      <c r="K147" s="336">
        <f t="shared" si="70"/>
        <v>1.4482461616863409</v>
      </c>
      <c r="L147" s="337">
        <f t="shared" si="71"/>
        <v>0.80862959682633151</v>
      </c>
      <c r="M147" s="325">
        <f t="shared" si="72"/>
        <v>1.001192036303018</v>
      </c>
      <c r="N147" s="337">
        <f t="shared" si="73"/>
        <v>4.880273313679289E-2</v>
      </c>
      <c r="O147" s="343">
        <f t="shared" si="74"/>
        <v>1.0011809934474363</v>
      </c>
      <c r="P147" s="691">
        <f t="shared" si="75"/>
        <v>4.857637964338804E-2</v>
      </c>
      <c r="Q147" s="336">
        <f t="shared" si="90"/>
        <v>4.1702509217014176</v>
      </c>
      <c r="R147" s="692">
        <f t="shared" si="76"/>
        <v>8.1366023739216656E-2</v>
      </c>
      <c r="S147" s="329">
        <f t="shared" si="77"/>
        <v>0.99946362687841028</v>
      </c>
      <c r="T147" s="330">
        <f t="shared" si="78"/>
        <v>4.8282367372410019E-2</v>
      </c>
      <c r="U147" s="331">
        <f t="shared" si="79"/>
        <v>7.2453461120370699</v>
      </c>
      <c r="V147" s="332">
        <f t="shared" si="80"/>
        <v>-130.05215908221115</v>
      </c>
      <c r="W147" s="334">
        <f t="shared" si="81"/>
        <v>49.947840917788852</v>
      </c>
      <c r="Y147" s="307">
        <f t="shared" si="82"/>
        <v>1000000000</v>
      </c>
      <c r="Z147" s="307">
        <f t="shared" si="83"/>
        <v>69990792.602499992</v>
      </c>
      <c r="AB147" s="333">
        <f t="shared" si="84"/>
        <v>18.554132788579764</v>
      </c>
      <c r="AC147" s="334">
        <f t="shared" si="85"/>
        <v>-46.460761006614831</v>
      </c>
      <c r="AE147" s="333">
        <f t="shared" si="86"/>
        <v>13.125404964201868</v>
      </c>
      <c r="AF147" s="334">
        <f t="shared" si="87"/>
        <v>-81.712689855022518</v>
      </c>
      <c r="AH147">
        <f t="shared" si="88"/>
        <v>0</v>
      </c>
      <c r="AI147">
        <f t="shared" si="61"/>
        <v>0</v>
      </c>
    </row>
    <row r="148" spans="1:35" x14ac:dyDescent="0.25">
      <c r="A148" s="338">
        <v>8414.5</v>
      </c>
      <c r="B148" s="352">
        <f t="shared" si="89"/>
        <v>8.4145000000000003</v>
      </c>
      <c r="C148" s="325">
        <f t="shared" si="62"/>
        <v>5.339701195675735</v>
      </c>
      <c r="D148" s="326">
        <f t="shared" si="63"/>
        <v>1.3824075761541508</v>
      </c>
      <c r="E148" s="326">
        <f t="shared" si="64"/>
        <v>1.0000060879758177</v>
      </c>
      <c r="F148" s="327">
        <f t="shared" si="65"/>
        <v>3.4893967764128456E-3</v>
      </c>
      <c r="G148" s="326">
        <f t="shared" si="66"/>
        <v>1</v>
      </c>
      <c r="H148" s="327">
        <f t="shared" si="67"/>
        <v>0</v>
      </c>
      <c r="I148" s="325">
        <f t="shared" si="68"/>
        <v>13197.371413009978</v>
      </c>
      <c r="J148" s="328">
        <f t="shared" si="69"/>
        <v>1.5707205541300482</v>
      </c>
      <c r="K148" s="336">
        <f t="shared" ref="K148:K157" si="91">SQRT(1+(A148/Zero2)^2)</f>
        <v>1.4526405653862891</v>
      </c>
      <c r="L148" s="337">
        <f t="shared" ref="L148:L157" si="92">ATAN(A148/Zero2)</f>
        <v>0.81151335742974373</v>
      </c>
      <c r="M148" s="325">
        <f t="shared" si="72"/>
        <v>1.0012058747363302</v>
      </c>
      <c r="N148" s="337">
        <f t="shared" si="73"/>
        <v>4.9084910180730655E-2</v>
      </c>
      <c r="O148" s="343">
        <f t="shared" si="74"/>
        <v>1.0011947037599029</v>
      </c>
      <c r="P148" s="691">
        <f t="shared" si="75"/>
        <v>4.8857252078884451E-2</v>
      </c>
      <c r="Q148" s="336">
        <f t="shared" si="90"/>
        <v>4.1704096267989748</v>
      </c>
      <c r="R148" s="692">
        <f t="shared" si="76"/>
        <v>8.1835166240318155E-2</v>
      </c>
      <c r="S148" s="329">
        <f t="shared" si="77"/>
        <v>0.99945741165340463</v>
      </c>
      <c r="T148" s="330">
        <f t="shared" si="78"/>
        <v>4.856250488809051E-2</v>
      </c>
      <c r="U148" s="331">
        <f t="shared" si="79"/>
        <v>7.1728393225886453</v>
      </c>
      <c r="V148" s="332">
        <f t="shared" si="80"/>
        <v>-129.98984033002924</v>
      </c>
      <c r="W148" s="334">
        <f t="shared" si="81"/>
        <v>50.010159669970761</v>
      </c>
      <c r="Y148" s="307">
        <f t="shared" si="82"/>
        <v>1000000000</v>
      </c>
      <c r="Z148" s="307">
        <f t="shared" si="83"/>
        <v>70803810.25</v>
      </c>
      <c r="AB148" s="333">
        <f t="shared" si="84"/>
        <v>18.53017118769079</v>
      </c>
      <c r="AC148" s="334">
        <f t="shared" si="85"/>
        <v>-46.31172639093942</v>
      </c>
      <c r="AE148" s="333">
        <f t="shared" si="86"/>
        <v>13.077071378821373</v>
      </c>
      <c r="AF148" s="334">
        <f t="shared" si="87"/>
        <v>-81.78861863833589</v>
      </c>
      <c r="AH148">
        <f t="shared" si="88"/>
        <v>0</v>
      </c>
      <c r="AI148">
        <f t="shared" si="61"/>
        <v>0</v>
      </c>
    </row>
    <row r="149" spans="1:35" x14ac:dyDescent="0.25">
      <c r="A149" s="338">
        <v>8462.9500000000007</v>
      </c>
      <c r="B149" s="352">
        <f t="shared" si="89"/>
        <v>8.4629500000000011</v>
      </c>
      <c r="C149" s="325">
        <f t="shared" si="62"/>
        <v>5.3693714135621269</v>
      </c>
      <c r="D149" s="326">
        <f t="shared" si="63"/>
        <v>1.3834609667916777</v>
      </c>
      <c r="E149" s="326">
        <f t="shared" si="64"/>
        <v>1.0000061582855693</v>
      </c>
      <c r="F149" s="327">
        <f t="shared" si="65"/>
        <v>3.5094882720015474E-3</v>
      </c>
      <c r="G149" s="326">
        <f t="shared" si="66"/>
        <v>1</v>
      </c>
      <c r="H149" s="327">
        <f t="shared" si="67"/>
        <v>0</v>
      </c>
      <c r="I149" s="325">
        <f t="shared" si="68"/>
        <v>13273.360793400931</v>
      </c>
      <c r="J149" s="328">
        <f t="shared" si="69"/>
        <v>1.5707209879250723</v>
      </c>
      <c r="K149" s="336">
        <f t="shared" si="91"/>
        <v>1.4570469764286966</v>
      </c>
      <c r="L149" s="337">
        <f t="shared" si="92"/>
        <v>0.81437969957447953</v>
      </c>
      <c r="M149" s="325">
        <f t="shared" si="72"/>
        <v>1.0012197928873354</v>
      </c>
      <c r="N149" s="337">
        <f t="shared" si="73"/>
        <v>4.9367079401939407E-2</v>
      </c>
      <c r="O149" s="343">
        <f t="shared" si="74"/>
        <v>1.0012084930537772</v>
      </c>
      <c r="P149" s="691">
        <f t="shared" si="75"/>
        <v>4.9138116799822239E-2</v>
      </c>
      <c r="Q149" s="336">
        <f t="shared" si="90"/>
        <v>4.170569242254567</v>
      </c>
      <c r="R149" s="692">
        <f t="shared" si="76"/>
        <v>8.2304273080561569E-2</v>
      </c>
      <c r="S149" s="329">
        <f t="shared" si="77"/>
        <v>0.99945116089340502</v>
      </c>
      <c r="T149" s="330">
        <f t="shared" si="78"/>
        <v>4.8842651440040151E-2</v>
      </c>
      <c r="U149" s="331">
        <f t="shared" si="79"/>
        <v>7.100869402503724</v>
      </c>
      <c r="V149" s="332">
        <f t="shared" si="80"/>
        <v>-129.92784335637458</v>
      </c>
      <c r="W149" s="334">
        <f t="shared" si="81"/>
        <v>50.072156643625419</v>
      </c>
      <c r="Y149" s="307">
        <f t="shared" si="82"/>
        <v>1000000000</v>
      </c>
      <c r="Z149" s="307">
        <f t="shared" si="83"/>
        <v>71621522.702500015</v>
      </c>
      <c r="AB149" s="333">
        <f t="shared" si="84"/>
        <v>18.50648896226517</v>
      </c>
      <c r="AC149" s="334">
        <f t="shared" si="85"/>
        <v>-46.163689043344235</v>
      </c>
      <c r="AE149" s="333">
        <f t="shared" si="86"/>
        <v>13.028996487164353</v>
      </c>
      <c r="AF149" s="334">
        <f t="shared" si="87"/>
        <v>-81.863873533301316</v>
      </c>
      <c r="AH149">
        <f t="shared" si="88"/>
        <v>0</v>
      </c>
      <c r="AI149">
        <f t="shared" si="61"/>
        <v>0</v>
      </c>
    </row>
    <row r="150" spans="1:35" x14ac:dyDescent="0.25">
      <c r="A150" s="338">
        <v>8511.4</v>
      </c>
      <c r="B150" s="352">
        <f t="shared" si="89"/>
        <v>8.5114000000000001</v>
      </c>
      <c r="C150" s="325">
        <f t="shared" si="62"/>
        <v>5.3990475239860301</v>
      </c>
      <c r="D150" s="326">
        <f t="shared" si="63"/>
        <v>1.3845027785555091</v>
      </c>
      <c r="E150" s="326">
        <f t="shared" si="64"/>
        <v>1.0000062289989915</v>
      </c>
      <c r="F150" s="327">
        <f t="shared" si="65"/>
        <v>3.5295797647569003E-3</v>
      </c>
      <c r="G150" s="326">
        <f t="shared" si="66"/>
        <v>1</v>
      </c>
      <c r="H150" s="327">
        <f t="shared" si="67"/>
        <v>0</v>
      </c>
      <c r="I150" s="325">
        <f t="shared" si="68"/>
        <v>13349.350173794348</v>
      </c>
      <c r="J150" s="328">
        <f t="shared" si="69"/>
        <v>1.5707214167814565</v>
      </c>
      <c r="K150" s="336">
        <f t="shared" si="91"/>
        <v>1.4614652862048578</v>
      </c>
      <c r="L150" s="337">
        <f t="shared" si="92"/>
        <v>0.81722873392676643</v>
      </c>
      <c r="M150" s="325">
        <f t="shared" si="72"/>
        <v>1.0012337907527094</v>
      </c>
      <c r="N150" s="337">
        <f t="shared" si="73"/>
        <v>4.9649240755813978E-2</v>
      </c>
      <c r="O150" s="343">
        <f t="shared" si="74"/>
        <v>1.0012223613257958</v>
      </c>
      <c r="P150" s="691">
        <f t="shared" si="75"/>
        <v>4.9418973762209037E-2</v>
      </c>
      <c r="Q150" s="336">
        <f t="shared" si="90"/>
        <v>4.1707297679636826</v>
      </c>
      <c r="R150" s="692">
        <f t="shared" si="76"/>
        <v>8.2773344060104795E-2</v>
      </c>
      <c r="S150" s="329">
        <f t="shared" si="77"/>
        <v>0.999444874604552</v>
      </c>
      <c r="T150" s="330">
        <f t="shared" si="78"/>
        <v>4.912280708029422E-2</v>
      </c>
      <c r="U150" s="331">
        <f t="shared" si="79"/>
        <v>7.0294296148567366</v>
      </c>
      <c r="V150" s="332">
        <f t="shared" si="80"/>
        <v>-129.86617280260708</v>
      </c>
      <c r="W150" s="334">
        <f t="shared" si="81"/>
        <v>50.133827197392918</v>
      </c>
      <c r="Y150" s="307">
        <f t="shared" si="82"/>
        <v>1000000000</v>
      </c>
      <c r="Z150" s="307">
        <f t="shared" si="83"/>
        <v>72443929.959999993</v>
      </c>
      <c r="AB150" s="333">
        <f t="shared" si="84"/>
        <v>18.483082010272341</v>
      </c>
      <c r="AC150" s="334">
        <f t="shared" si="85"/>
        <v>-46.016642625481921</v>
      </c>
      <c r="AE150" s="333">
        <f t="shared" si="86"/>
        <v>12.981177653958028</v>
      </c>
      <c r="AF150" s="334">
        <f t="shared" si="87"/>
        <v>-81.938465528555497</v>
      </c>
      <c r="AH150">
        <f t="shared" si="88"/>
        <v>0</v>
      </c>
      <c r="AI150">
        <f t="shared" si="61"/>
        <v>0</v>
      </c>
    </row>
    <row r="151" spans="1:35" x14ac:dyDescent="0.25">
      <c r="A151" s="338">
        <v>8560.9500000000007</v>
      </c>
      <c r="B151" s="352">
        <f t="shared" si="89"/>
        <v>8.5609500000000001</v>
      </c>
      <c r="C151" s="325">
        <f t="shared" si="62"/>
        <v>5.429403389467331</v>
      </c>
      <c r="D151" s="326">
        <f t="shared" si="63"/>
        <v>1.3855564627676649</v>
      </c>
      <c r="E151" s="326">
        <f t="shared" si="64"/>
        <v>1.0000063017354002</v>
      </c>
      <c r="F151" s="327">
        <f t="shared" si="65"/>
        <v>3.550127408167068E-3</v>
      </c>
      <c r="G151" s="326">
        <f t="shared" si="66"/>
        <v>1</v>
      </c>
      <c r="H151" s="327">
        <f t="shared" si="67"/>
        <v>0</v>
      </c>
      <c r="I151" s="325">
        <f t="shared" si="68"/>
        <v>13427.06480328074</v>
      </c>
      <c r="J151" s="328">
        <f t="shared" si="69"/>
        <v>1.5707218503537999</v>
      </c>
      <c r="K151" s="336">
        <f t="shared" si="91"/>
        <v>1.465996103385335</v>
      </c>
      <c r="L151" s="337">
        <f t="shared" si="92"/>
        <v>0.82012466566606346</v>
      </c>
      <c r="M151" s="325">
        <f t="shared" si="72"/>
        <v>1.0012481888692366</v>
      </c>
      <c r="N151" s="337">
        <f t="shared" si="73"/>
        <v>4.993780006605119E-2</v>
      </c>
      <c r="O151" s="343">
        <f t="shared" si="74"/>
        <v>1.0012366261452808</v>
      </c>
      <c r="P151" s="691">
        <f t="shared" si="75"/>
        <v>4.9706199179445409E-2</v>
      </c>
      <c r="Q151" s="336">
        <f t="shared" si="90"/>
        <v>4.170894879597288</v>
      </c>
      <c r="R151" s="692">
        <f t="shared" si="76"/>
        <v>8.3253027442599339E-2</v>
      </c>
      <c r="S151" s="329">
        <f t="shared" si="77"/>
        <v>0.99943840885140356</v>
      </c>
      <c r="T151" s="330">
        <f t="shared" si="78"/>
        <v>4.9409332777703534E-2</v>
      </c>
      <c r="U151" s="331">
        <f t="shared" si="79"/>
        <v>6.956909288544586</v>
      </c>
      <c r="V151" s="332">
        <f t="shared" si="80"/>
        <v>-129.80344431597319</v>
      </c>
      <c r="W151" s="334">
        <f t="shared" si="81"/>
        <v>50.196555684026805</v>
      </c>
      <c r="Y151" s="307">
        <f t="shared" si="82"/>
        <v>1000000000</v>
      </c>
      <c r="Z151" s="307">
        <f t="shared" si="83"/>
        <v>73289864.902500018</v>
      </c>
      <c r="AB151" s="333">
        <f t="shared" si="84"/>
        <v>18.459424150194408</v>
      </c>
      <c r="AC151" s="334">
        <f t="shared" si="85"/>
        <v>-45.867276031372725</v>
      </c>
      <c r="AE151" s="333">
        <f t="shared" si="86"/>
        <v>12.932535289051124</v>
      </c>
      <c r="AF151" s="334">
        <f t="shared" si="87"/>
        <v>-82.014076606875236</v>
      </c>
      <c r="AH151">
        <f t="shared" si="88"/>
        <v>0</v>
      </c>
      <c r="AI151">
        <f t="shared" si="61"/>
        <v>0</v>
      </c>
    </row>
    <row r="152" spans="1:35" x14ac:dyDescent="0.25">
      <c r="A152" s="338">
        <v>8610.5</v>
      </c>
      <c r="B152" s="352">
        <f t="shared" si="89"/>
        <v>8.6105</v>
      </c>
      <c r="C152" s="325">
        <f t="shared" si="62"/>
        <v>5.4597652159117578</v>
      </c>
      <c r="D152" s="326">
        <f t="shared" si="63"/>
        <v>1.3865984290223383</v>
      </c>
      <c r="E152" s="326">
        <f t="shared" si="64"/>
        <v>1.0000063748940171</v>
      </c>
      <c r="F152" s="327">
        <f t="shared" si="65"/>
        <v>3.5706750485794553E-3</v>
      </c>
      <c r="G152" s="326">
        <f t="shared" si="66"/>
        <v>1</v>
      </c>
      <c r="H152" s="327">
        <f t="shared" si="67"/>
        <v>0</v>
      </c>
      <c r="I152" s="325">
        <f t="shared" si="68"/>
        <v>13504.779432769627</v>
      </c>
      <c r="J152" s="328">
        <f t="shared" si="69"/>
        <v>1.5707222789360706</v>
      </c>
      <c r="K152" s="336">
        <f t="shared" si="91"/>
        <v>1.4705391392059564</v>
      </c>
      <c r="L152" s="337">
        <f t="shared" si="92"/>
        <v>0.82300272822324738</v>
      </c>
      <c r="M152" s="325">
        <f t="shared" si="72"/>
        <v>1.0012626703537697</v>
      </c>
      <c r="N152" s="337">
        <f t="shared" si="73"/>
        <v>5.022635105331956E-2</v>
      </c>
      <c r="O152" s="343">
        <f t="shared" si="74"/>
        <v>1.0012509735628683</v>
      </c>
      <c r="P152" s="691">
        <f t="shared" si="75"/>
        <v>4.9993416388787675E-2</v>
      </c>
      <c r="Q152" s="336">
        <f t="shared" si="90"/>
        <v>4.1710609430631198</v>
      </c>
      <c r="R152" s="692">
        <f t="shared" si="76"/>
        <v>8.3732672895074037E-2</v>
      </c>
      <c r="S152" s="329">
        <f t="shared" si="77"/>
        <v>0.9994319059509108</v>
      </c>
      <c r="T152" s="330">
        <f t="shared" si="78"/>
        <v>4.969586809086602E-2</v>
      </c>
      <c r="U152" s="331">
        <f t="shared" si="79"/>
        <v>6.8849295363725691</v>
      </c>
      <c r="V152" s="332">
        <f t="shared" si="80"/>
        <v>-129.74106635393031</v>
      </c>
      <c r="W152" s="334">
        <f t="shared" si="81"/>
        <v>50.258933646069693</v>
      </c>
      <c r="Y152" s="307">
        <f t="shared" si="82"/>
        <v>1000000000</v>
      </c>
      <c r="Z152" s="307">
        <f t="shared" si="83"/>
        <v>74140710.25</v>
      </c>
      <c r="AB152" s="333">
        <f t="shared" si="84"/>
        <v>18.43604575417141</v>
      </c>
      <c r="AC152" s="334">
        <f t="shared" si="85"/>
        <v>-45.718932503202062</v>
      </c>
      <c r="AE152" s="333">
        <f t="shared" si="86"/>
        <v>12.884155287951351</v>
      </c>
      <c r="AF152" s="334">
        <f t="shared" si="87"/>
        <v>-82.089016846799808</v>
      </c>
      <c r="AH152">
        <f t="shared" si="88"/>
        <v>0</v>
      </c>
      <c r="AI152">
        <f t="shared" si="61"/>
        <v>0</v>
      </c>
    </row>
    <row r="153" spans="1:35" x14ac:dyDescent="0.25">
      <c r="A153" s="338">
        <v>8660.0499999999993</v>
      </c>
      <c r="B153" s="352">
        <f t="shared" si="89"/>
        <v>8.66005</v>
      </c>
      <c r="C153" s="325">
        <f t="shared" si="62"/>
        <v>5.4901329044224001</v>
      </c>
      <c r="D153" s="326">
        <f t="shared" si="63"/>
        <v>1.387628869485402</v>
      </c>
      <c r="E153" s="326">
        <f t="shared" si="64"/>
        <v>1.0000064484748423</v>
      </c>
      <c r="F153" s="327">
        <f t="shared" si="65"/>
        <v>3.5912226859767128E-3</v>
      </c>
      <c r="G153" s="326">
        <f t="shared" si="66"/>
        <v>1</v>
      </c>
      <c r="H153" s="327">
        <f t="shared" si="67"/>
        <v>0</v>
      </c>
      <c r="I153" s="325">
        <f t="shared" si="68"/>
        <v>13582.494062260961</v>
      </c>
      <c r="J153" s="328">
        <f t="shared" si="69"/>
        <v>1.5707227026139237</v>
      </c>
      <c r="K153" s="336">
        <f t="shared" si="91"/>
        <v>1.4750942807728178</v>
      </c>
      <c r="L153" s="337">
        <f t="shared" si="92"/>
        <v>0.8258630392403089</v>
      </c>
      <c r="M153" s="325">
        <f t="shared" si="72"/>
        <v>1.0012772352026917</v>
      </c>
      <c r="N153" s="337">
        <f t="shared" si="73"/>
        <v>5.0514893669930803E-2</v>
      </c>
      <c r="O153" s="343">
        <f t="shared" si="74"/>
        <v>1.0012654035750075</v>
      </c>
      <c r="P153" s="691">
        <f t="shared" si="75"/>
        <v>5.0280625343202469E-2</v>
      </c>
      <c r="Q153" s="336">
        <f t="shared" si="90"/>
        <v>4.1712279582475018</v>
      </c>
      <c r="R153" s="692">
        <f t="shared" si="76"/>
        <v>8.4212280204068374E-2</v>
      </c>
      <c r="S153" s="329">
        <f t="shared" si="77"/>
        <v>0.99942536590975695</v>
      </c>
      <c r="T153" s="330">
        <f t="shared" si="78"/>
        <v>4.9982413075442447E-2</v>
      </c>
      <c r="U153" s="331">
        <f t="shared" si="79"/>
        <v>6.8134835011401984</v>
      </c>
      <c r="V153" s="332">
        <f t="shared" si="80"/>
        <v>-129.6790431822121</v>
      </c>
      <c r="W153" s="334">
        <f t="shared" si="81"/>
        <v>50.320956817787902</v>
      </c>
      <c r="Y153" s="307">
        <f t="shared" si="82"/>
        <v>1000000000</v>
      </c>
      <c r="Z153" s="307">
        <f t="shared" si="83"/>
        <v>74996466.002499983</v>
      </c>
      <c r="AB153" s="333">
        <f t="shared" si="84"/>
        <v>18.41294266176352</v>
      </c>
      <c r="AC153" s="334">
        <f t="shared" si="85"/>
        <v>-45.571605302755657</v>
      </c>
      <c r="AE153" s="333">
        <f t="shared" si="86"/>
        <v>12.836034953487225</v>
      </c>
      <c r="AF153" s="334">
        <f t="shared" si="87"/>
        <v>-82.163297261812787</v>
      </c>
      <c r="AH153">
        <f t="shared" si="88"/>
        <v>0</v>
      </c>
      <c r="AI153">
        <f t="shared" si="61"/>
        <v>0</v>
      </c>
    </row>
    <row r="154" spans="1:35" x14ac:dyDescent="0.25">
      <c r="A154" s="338">
        <v>8709.6</v>
      </c>
      <c r="B154" s="352">
        <f t="shared" si="89"/>
        <v>8.7096</v>
      </c>
      <c r="C154" s="325">
        <f t="shared" si="62"/>
        <v>5.5205063582595457</v>
      </c>
      <c r="D154" s="326">
        <f t="shared" si="63"/>
        <v>1.3886479721927281</v>
      </c>
      <c r="E154" s="326">
        <f t="shared" si="64"/>
        <v>1.0000065224778756</v>
      </c>
      <c r="F154" s="327">
        <f t="shared" si="65"/>
        <v>3.611770320341491E-3</v>
      </c>
      <c r="G154" s="326">
        <f t="shared" si="66"/>
        <v>1</v>
      </c>
      <c r="H154" s="327">
        <f t="shared" si="67"/>
        <v>0</v>
      </c>
      <c r="I154" s="325">
        <f t="shared" si="68"/>
        <v>13660.208691754709</v>
      </c>
      <c r="J154" s="328">
        <f t="shared" si="69"/>
        <v>1.5707231214710646</v>
      </c>
      <c r="K154" s="336">
        <f t="shared" si="91"/>
        <v>1.4796614162832082</v>
      </c>
      <c r="L154" s="337">
        <f t="shared" si="92"/>
        <v>0.82870571607441568</v>
      </c>
      <c r="M154" s="325">
        <f t="shared" si="72"/>
        <v>1.0012918834123645</v>
      </c>
      <c r="N154" s="337">
        <f t="shared" si="73"/>
        <v>5.0803427868204971E-2</v>
      </c>
      <c r="O154" s="343">
        <f t="shared" si="74"/>
        <v>1.0012799161781274</v>
      </c>
      <c r="P154" s="691">
        <f t="shared" si="75"/>
        <v>5.0567825995664582E-2</v>
      </c>
      <c r="Q154" s="336">
        <f t="shared" si="90"/>
        <v>4.1713959250361281</v>
      </c>
      <c r="R154" s="692">
        <f t="shared" si="76"/>
        <v>8.4691849156225518E-2</v>
      </c>
      <c r="S154" s="329">
        <f t="shared" si="77"/>
        <v>0.99941878873466405</v>
      </c>
      <c r="T154" s="330">
        <f t="shared" si="78"/>
        <v>5.0268967787093652E-2</v>
      </c>
      <c r="U154" s="331">
        <f t="shared" si="79"/>
        <v>6.7425644386744956</v>
      </c>
      <c r="V154" s="332">
        <f t="shared" si="80"/>
        <v>-129.61737884613433</v>
      </c>
      <c r="W154" s="334">
        <f t="shared" si="81"/>
        <v>50.382621153865671</v>
      </c>
      <c r="Y154" s="307">
        <f t="shared" si="82"/>
        <v>1000000000</v>
      </c>
      <c r="Z154" s="307">
        <f t="shared" si="83"/>
        <v>75857132.160000011</v>
      </c>
      <c r="AB154" s="333">
        <f t="shared" si="84"/>
        <v>18.390110786018319</v>
      </c>
      <c r="AC154" s="334">
        <f t="shared" si="85"/>
        <v>-45.425287708027234</v>
      </c>
      <c r="AE154" s="333">
        <f t="shared" si="86"/>
        <v>12.788171628025138</v>
      </c>
      <c r="AF154" s="334">
        <f t="shared" si="87"/>
        <v>-82.236928628766165</v>
      </c>
      <c r="AH154">
        <f t="shared" si="88"/>
        <v>0</v>
      </c>
      <c r="AI154">
        <f t="shared" ref="AI154:AI217" si="93">IF(AH154&gt;0,W154,0)</f>
        <v>0</v>
      </c>
    </row>
    <row r="155" spans="1:35" x14ac:dyDescent="0.25">
      <c r="A155" s="338">
        <v>8760.3250000000007</v>
      </c>
      <c r="B155" s="352">
        <f t="shared" si="89"/>
        <v>8.7603249999999999</v>
      </c>
      <c r="C155" s="325">
        <f t="shared" si="62"/>
        <v>5.5516059438135246</v>
      </c>
      <c r="D155" s="326">
        <f t="shared" si="63"/>
        <v>1.3896796891768104</v>
      </c>
      <c r="E155" s="326">
        <f t="shared" si="64"/>
        <v>1.0000065986731186</v>
      </c>
      <c r="F155" s="327">
        <f t="shared" si="65"/>
        <v>3.632805206246828E-3</v>
      </c>
      <c r="G155" s="326">
        <f t="shared" si="66"/>
        <v>1</v>
      </c>
      <c r="H155" s="327">
        <f t="shared" si="67"/>
        <v>0</v>
      </c>
      <c r="I155" s="325">
        <f t="shared" si="68"/>
        <v>13739.766200961411</v>
      </c>
      <c r="J155" s="328">
        <f t="shared" si="69"/>
        <v>1.5707235453526029</v>
      </c>
      <c r="K155" s="336">
        <f t="shared" si="91"/>
        <v>1.4843491625531813</v>
      </c>
      <c r="L155" s="337">
        <f t="shared" si="92"/>
        <v>0.8315976583168605</v>
      </c>
      <c r="M155" s="325">
        <f t="shared" si="72"/>
        <v>1.001306965326719</v>
      </c>
      <c r="N155" s="337">
        <f t="shared" si="73"/>
        <v>5.1098795429417962E-2</v>
      </c>
      <c r="O155" s="343">
        <f t="shared" si="74"/>
        <v>1.0012948584729369</v>
      </c>
      <c r="P155" s="691">
        <f t="shared" si="75"/>
        <v>5.0861828509372847E-2</v>
      </c>
      <c r="Q155" s="336">
        <f t="shared" si="90"/>
        <v>4.1715688604923713</v>
      </c>
      <c r="R155" s="692">
        <f t="shared" si="76"/>
        <v>8.5182750374118765E-2</v>
      </c>
      <c r="S155" s="329">
        <f t="shared" si="77"/>
        <v>0.99941201713407057</v>
      </c>
      <c r="T155" s="330">
        <f t="shared" si="78"/>
        <v>5.056232782511591E-2</v>
      </c>
      <c r="U155" s="331">
        <f t="shared" si="79"/>
        <v>6.6705025832111575</v>
      </c>
      <c r="V155" s="332">
        <f t="shared" si="80"/>
        <v>-129.55462793771349</v>
      </c>
      <c r="W155" s="334">
        <f t="shared" si="81"/>
        <v>50.445372062286509</v>
      </c>
      <c r="Y155" s="307">
        <f t="shared" si="82"/>
        <v>1000000000</v>
      </c>
      <c r="Z155" s="307">
        <f t="shared" si="83"/>
        <v>76743294.105625018</v>
      </c>
      <c r="AB155" s="333">
        <f t="shared" si="84"/>
        <v>18.367014237156599</v>
      </c>
      <c r="AC155" s="334">
        <f t="shared" si="85"/>
        <v>-45.276539224055306</v>
      </c>
      <c r="AE155" s="333">
        <f t="shared" si="86"/>
        <v>12.739436788580608</v>
      </c>
      <c r="AF155" s="334">
        <f t="shared" si="87"/>
        <v>-82.311644739562993</v>
      </c>
      <c r="AH155">
        <f t="shared" si="88"/>
        <v>0</v>
      </c>
      <c r="AI155">
        <f t="shared" si="93"/>
        <v>0</v>
      </c>
    </row>
    <row r="156" spans="1:35" x14ac:dyDescent="0.25">
      <c r="A156" s="338">
        <v>8811.0499999999993</v>
      </c>
      <c r="B156" s="352">
        <f t="shared" si="89"/>
        <v>8.8110499999999998</v>
      </c>
      <c r="C156" s="325">
        <f t="shared" si="62"/>
        <v>5.5827113728765356</v>
      </c>
      <c r="D156" s="326">
        <f t="shared" si="63"/>
        <v>1.3906999103144875</v>
      </c>
      <c r="E156" s="326">
        <f t="shared" si="64"/>
        <v>1.0000066753108308</v>
      </c>
      <c r="F156" s="327">
        <f t="shared" si="65"/>
        <v>3.653840088937362E-3</v>
      </c>
      <c r="G156" s="326">
        <f t="shared" si="66"/>
        <v>1</v>
      </c>
      <c r="H156" s="327">
        <f t="shared" si="67"/>
        <v>0</v>
      </c>
      <c r="I156" s="325">
        <f t="shared" si="68"/>
        <v>13819.323710170547</v>
      </c>
      <c r="J156" s="328">
        <f t="shared" si="69"/>
        <v>1.5707239643535902</v>
      </c>
      <c r="K156" s="336">
        <f t="shared" si="91"/>
        <v>1.4890492447017538</v>
      </c>
      <c r="L156" s="337">
        <f t="shared" si="92"/>
        <v>0.83447136803097466</v>
      </c>
      <c r="M156" s="325">
        <f t="shared" si="72"/>
        <v>1.0013221345944563</v>
      </c>
      <c r="N156" s="337">
        <f t="shared" si="73"/>
        <v>5.1394154067210769E-2</v>
      </c>
      <c r="O156" s="343">
        <f t="shared" si="74"/>
        <v>1.0013098873145609</v>
      </c>
      <c r="P156" s="691">
        <f t="shared" si="75"/>
        <v>5.1155822223018482E-2</v>
      </c>
      <c r="Q156" s="336">
        <f t="shared" si="90"/>
        <v>4.1717427929750963</v>
      </c>
      <c r="R156" s="692">
        <f t="shared" si="76"/>
        <v>8.5673610942303913E-2</v>
      </c>
      <c r="S156" s="329">
        <f t="shared" si="77"/>
        <v>0.99940520663189225</v>
      </c>
      <c r="T156" s="330">
        <f t="shared" si="78"/>
        <v>5.0855698175054531E-2</v>
      </c>
      <c r="U156" s="331">
        <f t="shared" si="79"/>
        <v>6.5989790394943446</v>
      </c>
      <c r="V156" s="332">
        <f t="shared" si="80"/>
        <v>-129.49226098798928</v>
      </c>
      <c r="W156" s="334">
        <f t="shared" si="81"/>
        <v>50.507739012010717</v>
      </c>
      <c r="Y156" s="307">
        <f t="shared" si="82"/>
        <v>1000000000</v>
      </c>
      <c r="Z156" s="307">
        <f t="shared" si="83"/>
        <v>77634602.102499992</v>
      </c>
      <c r="AB156" s="333">
        <f t="shared" si="84"/>
        <v>18.344193482083408</v>
      </c>
      <c r="AC156" s="334">
        <f t="shared" si="85"/>
        <v>-45.128834596098478</v>
      </c>
      <c r="AE156" s="333">
        <f t="shared" si="86"/>
        <v>12.690965779234419</v>
      </c>
      <c r="AF156" s="334">
        <f t="shared" si="87"/>
        <v>-82.385702777891581</v>
      </c>
      <c r="AH156">
        <f t="shared" si="88"/>
        <v>0</v>
      </c>
      <c r="AI156">
        <f t="shared" si="93"/>
        <v>0</v>
      </c>
    </row>
    <row r="157" spans="1:35" x14ac:dyDescent="0.25">
      <c r="A157" s="338">
        <v>8861.7749999999996</v>
      </c>
      <c r="B157" s="352">
        <f t="shared" si="89"/>
        <v>8.8617749999999997</v>
      </c>
      <c r="C157" s="325">
        <f t="shared" si="62"/>
        <v>5.6138225483143103</v>
      </c>
      <c r="D157" s="326">
        <f t="shared" si="63"/>
        <v>1.3917088245901934</v>
      </c>
      <c r="E157" s="326">
        <f t="shared" si="64"/>
        <v>1.0000067523910121</v>
      </c>
      <c r="F157" s="327">
        <f t="shared" si="65"/>
        <v>3.6748749683944808E-3</v>
      </c>
      <c r="G157" s="326">
        <f t="shared" si="66"/>
        <v>1</v>
      </c>
      <c r="H157" s="327">
        <f t="shared" si="67"/>
        <v>0</v>
      </c>
      <c r="I157" s="325">
        <f t="shared" si="68"/>
        <v>13898.881219382087</v>
      </c>
      <c r="J157" s="328">
        <f t="shared" si="69"/>
        <v>1.5707243785578351</v>
      </c>
      <c r="K157" s="336">
        <f t="shared" si="91"/>
        <v>1.4937615462853595</v>
      </c>
      <c r="L157" s="337">
        <f t="shared" si="92"/>
        <v>0.83732697008099299</v>
      </c>
      <c r="M157" s="325">
        <f t="shared" si="72"/>
        <v>1.0013373912116059</v>
      </c>
      <c r="N157" s="337">
        <f t="shared" si="73"/>
        <v>5.1689503730457893E-2</v>
      </c>
      <c r="O157" s="343">
        <f t="shared" si="74"/>
        <v>1.0013250026991032</v>
      </c>
      <c r="P157" s="691">
        <f t="shared" si="75"/>
        <v>5.1449807086177801E-2</v>
      </c>
      <c r="Q157" s="336">
        <f t="shared" si="90"/>
        <v>4.1719177223596091</v>
      </c>
      <c r="R157" s="692">
        <f t="shared" si="76"/>
        <v>8.6164430632224537E-2</v>
      </c>
      <c r="S157" s="329">
        <f t="shared" si="77"/>
        <v>0.99939835723546688</v>
      </c>
      <c r="T157" s="330">
        <f t="shared" si="78"/>
        <v>5.1149078896624962E-2</v>
      </c>
      <c r="U157" s="331">
        <f t="shared" si="79"/>
        <v>6.5279869256314385</v>
      </c>
      <c r="V157" s="332">
        <f t="shared" si="80"/>
        <v>-129.43028166586737</v>
      </c>
      <c r="W157" s="334">
        <f t="shared" si="81"/>
        <v>50.569718334132631</v>
      </c>
      <c r="Y157" s="307">
        <f t="shared" si="82"/>
        <v>1000000000</v>
      </c>
      <c r="Z157" s="307">
        <f t="shared" si="83"/>
        <v>78531056.15062499</v>
      </c>
      <c r="AB157" s="333">
        <f t="shared" si="84"/>
        <v>18.321644365601266</v>
      </c>
      <c r="AC157" s="334">
        <f t="shared" si="85"/>
        <v>-44.982166671835692</v>
      </c>
      <c r="AE157" s="333">
        <f t="shared" si="86"/>
        <v>12.642755872840983</v>
      </c>
      <c r="AF157" s="334">
        <f t="shared" si="87"/>
        <v>-82.459113575184944</v>
      </c>
      <c r="AH157">
        <f t="shared" si="88"/>
        <v>0</v>
      </c>
      <c r="AI157">
        <f t="shared" si="93"/>
        <v>0</v>
      </c>
    </row>
    <row r="158" spans="1:35" x14ac:dyDescent="0.25">
      <c r="A158" s="335">
        <v>8912.5</v>
      </c>
      <c r="B158" s="352">
        <f t="shared" si="89"/>
        <v>8.9124999999999996</v>
      </c>
      <c r="C158" s="325">
        <f t="shared" si="62"/>
        <v>5.6449393751161869</v>
      </c>
      <c r="D158" s="326">
        <f t="shared" si="63"/>
        <v>1.3927066169146103</v>
      </c>
      <c r="E158" s="326">
        <f t="shared" si="64"/>
        <v>1.0000068299136626</v>
      </c>
      <c r="F158" s="327">
        <f t="shared" si="65"/>
        <v>3.6959098445995694E-3</v>
      </c>
      <c r="G158" s="326">
        <f t="shared" si="66"/>
        <v>1</v>
      </c>
      <c r="H158" s="327">
        <f t="shared" si="67"/>
        <v>0</v>
      </c>
      <c r="I158" s="325">
        <f t="shared" si="68"/>
        <v>13978.438728595982</v>
      </c>
      <c r="J158" s="328">
        <f t="shared" si="69"/>
        <v>1.570724788047239</v>
      </c>
      <c r="K158" s="336">
        <f t="shared" ref="K158:K214" si="94">SQRT(1+(A158/Zero2)^2)</f>
        <v>1.4984859520243177</v>
      </c>
      <c r="L158" s="337">
        <f t="shared" ref="L158:L214" si="95">ATAN(A158/Zero2)</f>
        <v>0.8401645889438506</v>
      </c>
      <c r="M158" s="325">
        <f t="shared" si="72"/>
        <v>1.0013527351741756</v>
      </c>
      <c r="N158" s="337">
        <f t="shared" si="73"/>
        <v>5.1984844368043168E-2</v>
      </c>
      <c r="O158" s="343">
        <f t="shared" si="74"/>
        <v>1.0013402046226441</v>
      </c>
      <c r="P158" s="691">
        <f t="shared" si="75"/>
        <v>5.1743783048436222E-2</v>
      </c>
      <c r="Q158" s="336">
        <f t="shared" si="90"/>
        <v>4.172093648520522</v>
      </c>
      <c r="R158" s="692">
        <f t="shared" si="76"/>
        <v>8.6655209215440496E-2</v>
      </c>
      <c r="S158" s="329">
        <f t="shared" si="77"/>
        <v>0.99939146895217545</v>
      </c>
      <c r="T158" s="330">
        <f t="shared" si="78"/>
        <v>5.1442470049542714E-2</v>
      </c>
      <c r="U158" s="331">
        <f t="shared" si="79"/>
        <v>6.4575194742162054</v>
      </c>
      <c r="V158" s="332">
        <f t="shared" si="80"/>
        <v>-129.3686934289326</v>
      </c>
      <c r="W158" s="334">
        <f t="shared" si="81"/>
        <v>50.631306571067398</v>
      </c>
      <c r="Y158" s="307">
        <f t="shared" si="82"/>
        <v>1000000000</v>
      </c>
      <c r="Z158" s="307">
        <f t="shared" si="83"/>
        <v>79432656.25</v>
      </c>
      <c r="AB158" s="333">
        <f t="shared" si="84"/>
        <v>18.299362806687668</v>
      </c>
      <c r="AC158" s="334">
        <f t="shared" si="85"/>
        <v>-44.836528321027764</v>
      </c>
      <c r="AE158" s="333">
        <f t="shared" si="86"/>
        <v>12.594804382563623</v>
      </c>
      <c r="AF158" s="334">
        <f t="shared" si="87"/>
        <v>-82.531887729467272</v>
      </c>
      <c r="AH158">
        <f t="shared" si="88"/>
        <v>0</v>
      </c>
      <c r="AI158">
        <f t="shared" si="93"/>
        <v>0</v>
      </c>
    </row>
    <row r="159" spans="1:35" x14ac:dyDescent="0.25">
      <c r="A159" s="335">
        <v>8964.4</v>
      </c>
      <c r="B159" s="352">
        <f t="shared" si="89"/>
        <v>8.9643999999999995</v>
      </c>
      <c r="C159" s="325">
        <f t="shared" si="62"/>
        <v>5.6767827481504476</v>
      </c>
      <c r="D159" s="326">
        <f t="shared" si="63"/>
        <v>1.3937161995430678</v>
      </c>
      <c r="E159" s="326">
        <f t="shared" si="64"/>
        <v>1.0000069096900188</v>
      </c>
      <c r="F159" s="327">
        <f t="shared" si="65"/>
        <v>3.7174319718213363E-3</v>
      </c>
      <c r="G159" s="326">
        <f t="shared" si="66"/>
        <v>1</v>
      </c>
      <c r="H159" s="327">
        <f t="shared" si="67"/>
        <v>0</v>
      </c>
      <c r="I159" s="325">
        <f t="shared" si="68"/>
        <v>14059.839117522997</v>
      </c>
      <c r="J159" s="328">
        <f t="shared" si="69"/>
        <v>1.5707252022256548</v>
      </c>
      <c r="K159" s="336">
        <f t="shared" si="94"/>
        <v>1.5033322034160235</v>
      </c>
      <c r="L159" s="337">
        <f t="shared" si="95"/>
        <v>0.84304945529830144</v>
      </c>
      <c r="M159" s="325">
        <f t="shared" si="72"/>
        <v>1.0013685249657249</v>
      </c>
      <c r="N159" s="337">
        <f t="shared" si="73"/>
        <v>5.228701691667885E-2</v>
      </c>
      <c r="O159" s="343">
        <f t="shared" si="74"/>
        <v>1.001355848250375</v>
      </c>
      <c r="P159" s="691">
        <f t="shared" si="75"/>
        <v>5.204455944010259E-2</v>
      </c>
      <c r="Q159" s="336">
        <f t="shared" si="90"/>
        <v>4.1722746814026719</v>
      </c>
      <c r="R159" s="692">
        <f t="shared" si="76"/>
        <v>8.7157313468601449E-2</v>
      </c>
      <c r="S159" s="329">
        <f t="shared" si="77"/>
        <v>0.99938438086713499</v>
      </c>
      <c r="T159" s="330">
        <f t="shared" si="78"/>
        <v>5.1742668209287905E-2</v>
      </c>
      <c r="U159" s="331">
        <f t="shared" si="79"/>
        <v>6.3859557987397775</v>
      </c>
      <c r="V159" s="332">
        <f t="shared" si="80"/>
        <v>-129.30608672564591</v>
      </c>
      <c r="W159" s="334">
        <f t="shared" si="81"/>
        <v>50.693913274354088</v>
      </c>
      <c r="Y159" s="307">
        <f t="shared" si="82"/>
        <v>1000000000</v>
      </c>
      <c r="Z159" s="307">
        <f t="shared" si="83"/>
        <v>80360467.359999999</v>
      </c>
      <c r="AB159" s="333">
        <f t="shared" si="84"/>
        <v>18.276837860665033</v>
      </c>
      <c r="AC159" s="334">
        <f t="shared" si="85"/>
        <v>-44.688574596686109</v>
      </c>
      <c r="AE159" s="333">
        <f t="shared" si="86"/>
        <v>12.546006841729664</v>
      </c>
      <c r="AF159" s="334">
        <f t="shared" si="87"/>
        <v>-82.605699513746998</v>
      </c>
      <c r="AH159">
        <f t="shared" si="88"/>
        <v>0</v>
      </c>
      <c r="AI159">
        <f t="shared" si="93"/>
        <v>0</v>
      </c>
    </row>
    <row r="160" spans="1:35" x14ac:dyDescent="0.25">
      <c r="A160" s="335">
        <v>9016.2999999999993</v>
      </c>
      <c r="B160" s="352">
        <f t="shared" si="89"/>
        <v>9.0162999999999993</v>
      </c>
      <c r="C160" s="325">
        <f t="shared" si="62"/>
        <v>5.7086318427313083</v>
      </c>
      <c r="D160" s="326">
        <f t="shared" si="63"/>
        <v>1.3947145180311635</v>
      </c>
      <c r="E160" s="326">
        <f t="shared" si="64"/>
        <v>1.0000069899295803</v>
      </c>
      <c r="F160" s="327">
        <f t="shared" si="65"/>
        <v>3.7389540955992452E-3</v>
      </c>
      <c r="G160" s="326">
        <f t="shared" si="66"/>
        <v>1</v>
      </c>
      <c r="H160" s="327">
        <f t="shared" si="67"/>
        <v>0</v>
      </c>
      <c r="I160" s="325">
        <f t="shared" si="68"/>
        <v>14141.239506452395</v>
      </c>
      <c r="J160" s="328">
        <f t="shared" si="69"/>
        <v>1.5707256116358488</v>
      </c>
      <c r="K160" s="336">
        <f t="shared" si="94"/>
        <v>1.5081908857546069</v>
      </c>
      <c r="L160" s="337">
        <f t="shared" si="95"/>
        <v>0.84591575801205099</v>
      </c>
      <c r="M160" s="325">
        <f t="shared" si="72"/>
        <v>1.0013844061875927</v>
      </c>
      <c r="N160" s="337">
        <f t="shared" si="73"/>
        <v>5.2589179908434008E-2</v>
      </c>
      <c r="O160" s="343">
        <f t="shared" si="74"/>
        <v>1.0013715824643674</v>
      </c>
      <c r="P160" s="691">
        <f t="shared" si="75"/>
        <v>5.2345326406981536E-2</v>
      </c>
      <c r="Q160" s="336">
        <f t="shared" si="90"/>
        <v>4.1724567575071765</v>
      </c>
      <c r="R160" s="692">
        <f t="shared" si="76"/>
        <v>8.7659374205143817E-2</v>
      </c>
      <c r="S160" s="329">
        <f t="shared" si="77"/>
        <v>0.99937725208857131</v>
      </c>
      <c r="T160" s="330">
        <f t="shared" si="78"/>
        <v>5.2042877415720057E-2</v>
      </c>
      <c r="U160" s="331">
        <f t="shared" si="79"/>
        <v>6.3149273978555183</v>
      </c>
      <c r="V160" s="332">
        <f t="shared" si="80"/>
        <v>-129.24389611196159</v>
      </c>
      <c r="W160" s="334">
        <f t="shared" si="81"/>
        <v>50.75610388803841</v>
      </c>
      <c r="Y160" s="307">
        <f t="shared" si="82"/>
        <v>1000000000</v>
      </c>
      <c r="Z160" s="307">
        <f t="shared" si="83"/>
        <v>81293665.689999983</v>
      </c>
      <c r="AB160" s="333">
        <f t="shared" si="84"/>
        <v>18.254584598864007</v>
      </c>
      <c r="AC160" s="334">
        <f t="shared" si="85"/>
        <v>-44.541683669842328</v>
      </c>
      <c r="AE160" s="333">
        <f t="shared" si="86"/>
        <v>12.497474262986936</v>
      </c>
      <c r="AF160" s="334">
        <f t="shared" si="87"/>
        <v>-82.678866543449274</v>
      </c>
      <c r="AH160">
        <f t="shared" si="88"/>
        <v>0</v>
      </c>
      <c r="AI160">
        <f t="shared" si="93"/>
        <v>0</v>
      </c>
    </row>
    <row r="161" spans="1:35" x14ac:dyDescent="0.25">
      <c r="A161" s="335">
        <v>9068.2000000000007</v>
      </c>
      <c r="B161" s="352">
        <f t="shared" si="89"/>
        <v>9.0682000000000009</v>
      </c>
      <c r="C161" s="325">
        <f t="shared" si="62"/>
        <v>5.7404865636267344</v>
      </c>
      <c r="D161" s="326">
        <f t="shared" si="63"/>
        <v>1.3957017578908495</v>
      </c>
      <c r="E161" s="326">
        <f t="shared" si="64"/>
        <v>1.0000070706323465</v>
      </c>
      <c r="F161" s="327">
        <f t="shared" si="65"/>
        <v>3.7604762159133579E-3</v>
      </c>
      <c r="G161" s="326">
        <f t="shared" si="66"/>
        <v>1</v>
      </c>
      <c r="H161" s="327">
        <f t="shared" si="67"/>
        <v>0</v>
      </c>
      <c r="I161" s="325">
        <f t="shared" si="68"/>
        <v>14222.639895384138</v>
      </c>
      <c r="J161" s="328">
        <f t="shared" si="69"/>
        <v>1.5707260163596906</v>
      </c>
      <c r="K161" s="336">
        <f t="shared" si="94"/>
        <v>1.5130618792868316</v>
      </c>
      <c r="L161" s="337">
        <f t="shared" si="95"/>
        <v>0.84876362904605718</v>
      </c>
      <c r="M161" s="325">
        <f t="shared" si="72"/>
        <v>1.0014003788354289</v>
      </c>
      <c r="N161" s="337">
        <f t="shared" si="73"/>
        <v>5.2891333288588187E-2</v>
      </c>
      <c r="O161" s="343">
        <f t="shared" si="74"/>
        <v>1.001387407260351</v>
      </c>
      <c r="P161" s="691">
        <f t="shared" si="75"/>
        <v>5.2646083895103397E-2</v>
      </c>
      <c r="Q161" s="336">
        <f t="shared" si="90"/>
        <v>4.1726398766974793</v>
      </c>
      <c r="R161" s="692">
        <f t="shared" si="76"/>
        <v>8.8161391180764354E-2</v>
      </c>
      <c r="S161" s="329">
        <f t="shared" si="77"/>
        <v>0.99937008262452864</v>
      </c>
      <c r="T161" s="330">
        <f t="shared" si="78"/>
        <v>5.2343097732801602E-2</v>
      </c>
      <c r="U161" s="331">
        <f t="shared" si="79"/>
        <v>6.2444273801980499</v>
      </c>
      <c r="V161" s="332">
        <f t="shared" si="80"/>
        <v>-129.18212465044172</v>
      </c>
      <c r="W161" s="334">
        <f t="shared" si="81"/>
        <v>50.817875349558278</v>
      </c>
      <c r="Y161" s="307">
        <f t="shared" si="82"/>
        <v>1000000000</v>
      </c>
      <c r="Z161" s="307">
        <f t="shared" si="83"/>
        <v>82232251.24000001</v>
      </c>
      <c r="AB161" s="333">
        <f t="shared" si="84"/>
        <v>18.232598881141023</v>
      </c>
      <c r="AC161" s="334">
        <f t="shared" si="85"/>
        <v>-44.395847981246021</v>
      </c>
      <c r="AE161" s="333">
        <f t="shared" si="86"/>
        <v>12.449203894620503</v>
      </c>
      <c r="AF161" s="334">
        <f t="shared" si="87"/>
        <v>-82.751399451291931</v>
      </c>
      <c r="AH161">
        <f t="shared" si="88"/>
        <v>0</v>
      </c>
      <c r="AI161">
        <f t="shared" si="93"/>
        <v>0</v>
      </c>
    </row>
    <row r="162" spans="1:35" x14ac:dyDescent="0.25">
      <c r="A162" s="335">
        <v>9120.1</v>
      </c>
      <c r="B162" s="352">
        <f t="shared" si="89"/>
        <v>9.1201000000000008</v>
      </c>
      <c r="C162" s="325">
        <f t="shared" si="62"/>
        <v>5.7723468176901997</v>
      </c>
      <c r="D162" s="326">
        <f t="shared" si="63"/>
        <v>1.3966781006258435</v>
      </c>
      <c r="E162" s="326">
        <f t="shared" si="64"/>
        <v>1.0000071517983176</v>
      </c>
      <c r="F162" s="327">
        <f t="shared" si="65"/>
        <v>3.7819983327437366E-3</v>
      </c>
      <c r="G162" s="326">
        <f t="shared" si="66"/>
        <v>1</v>
      </c>
      <c r="H162" s="327">
        <f t="shared" si="67"/>
        <v>0</v>
      </c>
      <c r="I162" s="325">
        <f t="shared" si="68"/>
        <v>14304.040284318184</v>
      </c>
      <c r="J162" s="328">
        <f t="shared" si="69"/>
        <v>1.5707264164771866</v>
      </c>
      <c r="K162" s="336">
        <f t="shared" si="94"/>
        <v>1.5179450654950823</v>
      </c>
      <c r="L162" s="337">
        <f t="shared" si="95"/>
        <v>0.85159319986554871</v>
      </c>
      <c r="M162" s="325">
        <f t="shared" si="72"/>
        <v>1.0014164429048589</v>
      </c>
      <c r="N162" s="337">
        <f t="shared" si="73"/>
        <v>5.319347700243144E-2</v>
      </c>
      <c r="O162" s="343">
        <f t="shared" si="74"/>
        <v>1.001403322634032</v>
      </c>
      <c r="P162" s="691">
        <f t="shared" si="75"/>
        <v>5.294683185050874E-2</v>
      </c>
      <c r="Q162" s="336">
        <f t="shared" si="90"/>
        <v>4.1728240388362678</v>
      </c>
      <c r="R162" s="692">
        <f t="shared" si="76"/>
        <v>8.86633641512901E-2</v>
      </c>
      <c r="S162" s="329">
        <f t="shared" si="77"/>
        <v>0.99936287248309741</v>
      </c>
      <c r="T162" s="330">
        <f t="shared" si="78"/>
        <v>5.2643329224495009E-2</v>
      </c>
      <c r="U162" s="331">
        <f t="shared" si="79"/>
        <v>6.1744489700406655</v>
      </c>
      <c r="V162" s="332">
        <f t="shared" si="80"/>
        <v>-129.12077520229749</v>
      </c>
      <c r="W162" s="334">
        <f t="shared" si="81"/>
        <v>50.879224797702506</v>
      </c>
      <c r="Y162" s="307">
        <f t="shared" si="82"/>
        <v>1000000000</v>
      </c>
      <c r="Z162" s="307">
        <f t="shared" si="83"/>
        <v>83176224.010000005</v>
      </c>
      <c r="AB162" s="333">
        <f t="shared" si="84"/>
        <v>18.210876642019144</v>
      </c>
      <c r="AC162" s="334">
        <f t="shared" si="85"/>
        <v>-44.251059999943799</v>
      </c>
      <c r="AE162" s="333">
        <f t="shared" si="86"/>
        <v>12.40119302588479</v>
      </c>
      <c r="AF162" s="334">
        <f t="shared" si="87"/>
        <v>-82.823308640337885</v>
      </c>
      <c r="AH162">
        <f t="shared" si="88"/>
        <v>0</v>
      </c>
      <c r="AI162">
        <f t="shared" si="93"/>
        <v>0</v>
      </c>
    </row>
    <row r="163" spans="1:35" x14ac:dyDescent="0.25">
      <c r="A163" s="335">
        <v>9173.2000000000007</v>
      </c>
      <c r="B163" s="352">
        <f t="shared" si="89"/>
        <v>9.1732000000000014</v>
      </c>
      <c r="C163" s="325">
        <f t="shared" si="62"/>
        <v>5.8049493565589785</v>
      </c>
      <c r="D163" s="326">
        <f t="shared" si="63"/>
        <v>1.3976659249895576</v>
      </c>
      <c r="E163" s="326">
        <f t="shared" si="64"/>
        <v>1.0000072353203522</v>
      </c>
      <c r="F163" s="327">
        <f t="shared" si="65"/>
        <v>3.8040180671462249E-3</v>
      </c>
      <c r="G163" s="326">
        <f t="shared" si="66"/>
        <v>1</v>
      </c>
      <c r="H163" s="327">
        <f t="shared" si="67"/>
        <v>0</v>
      </c>
      <c r="I163" s="325">
        <f t="shared" si="68"/>
        <v>14387.322763172124</v>
      </c>
      <c r="J163" s="328">
        <f t="shared" si="69"/>
        <v>1.5707268211601606</v>
      </c>
      <c r="K163" s="336">
        <f t="shared" si="94"/>
        <v>1.5229536542255797</v>
      </c>
      <c r="L163" s="337">
        <f t="shared" si="95"/>
        <v>0.85446939106355724</v>
      </c>
      <c r="M163" s="325">
        <f t="shared" si="72"/>
        <v>1.0014329730099929</v>
      </c>
      <c r="N163" s="337">
        <f t="shared" si="73"/>
        <v>5.3502596636907804E-2</v>
      </c>
      <c r="O163" s="343">
        <f t="shared" si="74"/>
        <v>1.0014196997320586</v>
      </c>
      <c r="P163" s="691">
        <f t="shared" si="75"/>
        <v>5.3254523593721757E-2</v>
      </c>
      <c r="Q163" s="336">
        <f t="shared" si="90"/>
        <v>4.1730135383140725</v>
      </c>
      <c r="R163" s="692">
        <f t="shared" si="76"/>
        <v>8.9176897635710642E-2</v>
      </c>
      <c r="S163" s="329">
        <f t="shared" si="77"/>
        <v>0.99935545354264332</v>
      </c>
      <c r="T163" s="330">
        <f t="shared" si="78"/>
        <v>5.2950514116648327E-2</v>
      </c>
      <c r="U163" s="331">
        <f t="shared" si="79"/>
        <v>6.103385451573188</v>
      </c>
      <c r="V163" s="332">
        <f t="shared" si="80"/>
        <v>-129.05844681251745</v>
      </c>
      <c r="W163" s="334">
        <f t="shared" si="81"/>
        <v>50.941553187482555</v>
      </c>
      <c r="Y163" s="307">
        <f t="shared" si="82"/>
        <v>1000000000</v>
      </c>
      <c r="Z163" s="307">
        <f t="shared" si="83"/>
        <v>84147598.24000001</v>
      </c>
      <c r="AB163" s="333">
        <f t="shared" si="84"/>
        <v>18.188920678283267</v>
      </c>
      <c r="AC163" s="334">
        <f t="shared" si="85"/>
        <v>-44.104000820103778</v>
      </c>
      <c r="AE163" s="333">
        <f t="shared" si="86"/>
        <v>12.352337863300511</v>
      </c>
      <c r="AF163" s="334">
        <f t="shared" si="87"/>
        <v>-82.896245567365568</v>
      </c>
      <c r="AH163">
        <f t="shared" si="88"/>
        <v>0</v>
      </c>
      <c r="AI163">
        <f t="shared" si="93"/>
        <v>0</v>
      </c>
    </row>
    <row r="164" spans="1:35" x14ac:dyDescent="0.25">
      <c r="A164" s="335">
        <v>9226.2999999999993</v>
      </c>
      <c r="B164" s="352">
        <f t="shared" si="89"/>
        <v>9.2262999999999984</v>
      </c>
      <c r="C164" s="325">
        <f t="shared" si="62"/>
        <v>5.8375574966050632</v>
      </c>
      <c r="D164" s="326">
        <f t="shared" si="63"/>
        <v>1.3986427144781468</v>
      </c>
      <c r="E164" s="326">
        <f t="shared" si="64"/>
        <v>1.0000073193272587</v>
      </c>
      <c r="F164" s="327">
        <f t="shared" si="65"/>
        <v>3.8260377978597969E-3</v>
      </c>
      <c r="G164" s="326">
        <f t="shared" si="66"/>
        <v>1</v>
      </c>
      <c r="H164" s="327">
        <f t="shared" si="67"/>
        <v>0</v>
      </c>
      <c r="I164" s="325">
        <f t="shared" si="68"/>
        <v>14470.605242028387</v>
      </c>
      <c r="J164" s="328">
        <f t="shared" si="69"/>
        <v>1.5707272211850019</v>
      </c>
      <c r="K164" s="336">
        <f t="shared" si="94"/>
        <v>1.527974758898224</v>
      </c>
      <c r="L164" s="337">
        <f t="shared" si="95"/>
        <v>0.85732670276471401</v>
      </c>
      <c r="M164" s="325">
        <f t="shared" si="72"/>
        <v>1.0014495988038385</v>
      </c>
      <c r="N164" s="337">
        <f t="shared" si="73"/>
        <v>5.3811706037080097E-2</v>
      </c>
      <c r="O164" s="343">
        <f t="shared" si="74"/>
        <v>1.0014361716355971</v>
      </c>
      <c r="P164" s="691">
        <f t="shared" si="75"/>
        <v>5.3562205244062994E-2</v>
      </c>
      <c r="Q164" s="336">
        <f t="shared" si="90"/>
        <v>4.1732041292335262</v>
      </c>
      <c r="R164" s="692">
        <f t="shared" si="76"/>
        <v>8.9690384539915069E-2</v>
      </c>
      <c r="S164" s="329">
        <f t="shared" si="77"/>
        <v>0.99934799203930358</v>
      </c>
      <c r="T164" s="330">
        <f t="shared" si="78"/>
        <v>5.3257710841589805E-2</v>
      </c>
      <c r="U164" s="331">
        <f t="shared" si="79"/>
        <v>6.0328539513212593</v>
      </c>
      <c r="V164" s="332">
        <f t="shared" si="80"/>
        <v>-128.99656562079025</v>
      </c>
      <c r="W164" s="334">
        <f t="shared" si="81"/>
        <v>51.00343437920975</v>
      </c>
      <c r="Y164" s="307">
        <f t="shared" si="82"/>
        <v>1000000000</v>
      </c>
      <c r="Z164" s="307">
        <f t="shared" si="83"/>
        <v>85124611.689999983</v>
      </c>
      <c r="AB164" s="333">
        <f t="shared" si="84"/>
        <v>18.16723214088768</v>
      </c>
      <c r="AC164" s="334">
        <f t="shared" si="85"/>
        <v>-43.958022502480148</v>
      </c>
      <c r="AE164" s="333">
        <f t="shared" si="86"/>
        <v>12.30374872638385</v>
      </c>
      <c r="AF164" s="334">
        <f t="shared" si="87"/>
        <v>-82.968550920800553</v>
      </c>
      <c r="AH164">
        <f t="shared" si="88"/>
        <v>0</v>
      </c>
      <c r="AI164">
        <f t="shared" si="93"/>
        <v>0</v>
      </c>
    </row>
    <row r="165" spans="1:35" x14ac:dyDescent="0.25">
      <c r="A165" s="335">
        <v>9279.4</v>
      </c>
      <c r="B165" s="352">
        <f t="shared" si="89"/>
        <v>9.279399999999999</v>
      </c>
      <c r="C165" s="325">
        <f t="shared" si="62"/>
        <v>5.8701711444867302</v>
      </c>
      <c r="D165" s="326">
        <f t="shared" si="63"/>
        <v>1.3996086511354928</v>
      </c>
      <c r="E165" s="326">
        <f t="shared" si="64"/>
        <v>1.0000074038190374</v>
      </c>
      <c r="F165" s="327">
        <f t="shared" si="65"/>
        <v>3.8480575248631011E-3</v>
      </c>
      <c r="G165" s="326">
        <f t="shared" si="66"/>
        <v>1</v>
      </c>
      <c r="H165" s="327">
        <f t="shared" si="67"/>
        <v>0</v>
      </c>
      <c r="I165" s="325">
        <f t="shared" si="68"/>
        <v>14553.887720886943</v>
      </c>
      <c r="J165" s="328">
        <f t="shared" si="69"/>
        <v>1.5707276166316766</v>
      </c>
      <c r="K165" s="336">
        <f t="shared" si="94"/>
        <v>1.5330082565315777</v>
      </c>
      <c r="L165" s="337">
        <f t="shared" si="95"/>
        <v>0.86016527405132104</v>
      </c>
      <c r="M165" s="325">
        <f t="shared" si="72"/>
        <v>1.0014663202816303</v>
      </c>
      <c r="N165" s="337">
        <f t="shared" si="73"/>
        <v>5.4120805144389571E-2</v>
      </c>
      <c r="O165" s="343">
        <f t="shared" si="74"/>
        <v>1.001452738339969</v>
      </c>
      <c r="P165" s="691">
        <f t="shared" si="75"/>
        <v>5.3869876743776711E-2</v>
      </c>
      <c r="Q165" s="336">
        <f t="shared" si="90"/>
        <v>4.1733958114451051</v>
      </c>
      <c r="R165" s="692">
        <f t="shared" si="76"/>
        <v>9.0203824602826929E-2</v>
      </c>
      <c r="S165" s="329">
        <f t="shared" si="77"/>
        <v>0.99934048798189568</v>
      </c>
      <c r="T165" s="330">
        <f t="shared" si="78"/>
        <v>5.3564919467822311E-2</v>
      </c>
      <c r="U165" s="331">
        <f t="shared" si="79"/>
        <v>5.9628475733424411</v>
      </c>
      <c r="V165" s="332">
        <f t="shared" si="80"/>
        <v>-128.9351340821365</v>
      </c>
      <c r="W165" s="334">
        <f t="shared" si="81"/>
        <v>51.0648659178635</v>
      </c>
      <c r="Y165" s="307">
        <f t="shared" si="82"/>
        <v>1000000000</v>
      </c>
      <c r="Z165" s="307">
        <f t="shared" si="83"/>
        <v>86107264.359999999</v>
      </c>
      <c r="AB165" s="333">
        <f t="shared" si="84"/>
        <v>18.145806908316274</v>
      </c>
      <c r="AC165" s="334">
        <f t="shared" si="85"/>
        <v>-43.813117079470537</v>
      </c>
      <c r="AE165" s="333">
        <f t="shared" si="86"/>
        <v>12.255422840168755</v>
      </c>
      <c r="AF165" s="334">
        <f t="shared" si="87"/>
        <v>-83.040235134915193</v>
      </c>
      <c r="AH165">
        <f t="shared" si="88"/>
        <v>0</v>
      </c>
      <c r="AI165">
        <f t="shared" si="93"/>
        <v>0</v>
      </c>
    </row>
    <row r="166" spans="1:35" x14ac:dyDescent="0.25">
      <c r="A166" s="335">
        <v>9332.5</v>
      </c>
      <c r="B166" s="352">
        <f t="shared" si="89"/>
        <v>9.3324999999999996</v>
      </c>
      <c r="C166" s="325">
        <f t="shared" si="62"/>
        <v>5.9027902089095523</v>
      </c>
      <c r="D166" s="326">
        <f t="shared" si="63"/>
        <v>1.4005639130635807</v>
      </c>
      <c r="E166" s="326">
        <f t="shared" si="64"/>
        <v>1.000007488795688</v>
      </c>
      <c r="F166" s="327">
        <f t="shared" si="65"/>
        <v>3.8700772481347844E-3</v>
      </c>
      <c r="G166" s="326">
        <f t="shared" si="66"/>
        <v>1</v>
      </c>
      <c r="H166" s="327">
        <f t="shared" si="67"/>
        <v>0</v>
      </c>
      <c r="I166" s="325">
        <f t="shared" si="68"/>
        <v>14637.17019974775</v>
      </c>
      <c r="J166" s="328">
        <f t="shared" si="69"/>
        <v>1.5707280075783314</v>
      </c>
      <c r="K166" s="336">
        <f t="shared" si="94"/>
        <v>1.5380540254525368</v>
      </c>
      <c r="L166" s="337">
        <f t="shared" si="95"/>
        <v>0.86298524339531235</v>
      </c>
      <c r="M166" s="325">
        <f t="shared" si="72"/>
        <v>1.0014831374385751</v>
      </c>
      <c r="N166" s="337">
        <f t="shared" si="73"/>
        <v>5.4429893900289225E-2</v>
      </c>
      <c r="O166" s="343">
        <f t="shared" si="74"/>
        <v>1.0014693998404696</v>
      </c>
      <c r="P166" s="691">
        <f t="shared" si="75"/>
        <v>5.4177538035118662E-2</v>
      </c>
      <c r="Q166" s="336">
        <f t="shared" si="90"/>
        <v>4.17358858479846</v>
      </c>
      <c r="R166" s="692">
        <f t="shared" si="76"/>
        <v>9.0717217563515501E-2</v>
      </c>
      <c r="S166" s="329">
        <f t="shared" si="77"/>
        <v>0.9993329413792873</v>
      </c>
      <c r="T166" s="330">
        <f t="shared" si="78"/>
        <v>5.3872140063848752E-2</v>
      </c>
      <c r="U166" s="331">
        <f t="shared" si="79"/>
        <v>5.8933595384005786</v>
      </c>
      <c r="V166" s="332">
        <f t="shared" si="80"/>
        <v>-128.87415446059813</v>
      </c>
      <c r="W166" s="334">
        <f t="shared" si="81"/>
        <v>51.125845539401865</v>
      </c>
      <c r="Y166" s="307">
        <f t="shared" si="82"/>
        <v>1000000000</v>
      </c>
      <c r="Z166" s="307">
        <f t="shared" si="83"/>
        <v>87095556.25</v>
      </c>
      <c r="AB166" s="333">
        <f t="shared" si="84"/>
        <v>18.124640934157696</v>
      </c>
      <c r="AC166" s="334">
        <f t="shared" si="85"/>
        <v>-43.669276618340533</v>
      </c>
      <c r="AE166" s="333">
        <f t="shared" si="86"/>
        <v>12.20735747128778</v>
      </c>
      <c r="AF166" s="334">
        <f t="shared" si="87"/>
        <v>-83.111308418127663</v>
      </c>
      <c r="AH166">
        <f t="shared" si="88"/>
        <v>0</v>
      </c>
      <c r="AI166">
        <f t="shared" si="93"/>
        <v>0</v>
      </c>
    </row>
    <row r="167" spans="1:35" x14ac:dyDescent="0.25">
      <c r="A167" s="335">
        <v>9386.85</v>
      </c>
      <c r="B167" s="352">
        <f t="shared" si="89"/>
        <v>9.3868500000000008</v>
      </c>
      <c r="C167" s="325">
        <f t="shared" si="62"/>
        <v>5.936182658190245</v>
      </c>
      <c r="D167" s="326">
        <f t="shared" si="63"/>
        <v>1.4015307895655182</v>
      </c>
      <c r="E167" s="326">
        <f t="shared" si="64"/>
        <v>1.0000075762748577</v>
      </c>
      <c r="F167" s="327">
        <f t="shared" si="65"/>
        <v>3.8926153225873625E-3</v>
      </c>
      <c r="G167" s="326">
        <f t="shared" si="66"/>
        <v>1</v>
      </c>
      <c r="H167" s="327">
        <f t="shared" si="67"/>
        <v>0</v>
      </c>
      <c r="I167" s="325">
        <f t="shared" si="68"/>
        <v>14722.413188941846</v>
      </c>
      <c r="J167" s="328">
        <f t="shared" si="69"/>
        <v>1.5707284031476021</v>
      </c>
      <c r="K167" s="336">
        <f t="shared" si="94"/>
        <v>1.5432311566097976</v>
      </c>
      <c r="L167" s="337">
        <f t="shared" si="95"/>
        <v>0.86585247612174498</v>
      </c>
      <c r="M167" s="325">
        <f t="shared" si="72"/>
        <v>1.0015004495587629</v>
      </c>
      <c r="N167" s="337">
        <f t="shared" si="73"/>
        <v>5.474624797595791E-2</v>
      </c>
      <c r="O167" s="343">
        <f t="shared" si="74"/>
        <v>1.0014865517256277</v>
      </c>
      <c r="P167" s="691">
        <f t="shared" si="75"/>
        <v>5.4492431191981036E-2</v>
      </c>
      <c r="Q167" s="336">
        <f t="shared" si="90"/>
        <v>4.1737870259462717</v>
      </c>
      <c r="R167" s="692">
        <f t="shared" si="76"/>
        <v>9.124264699520615E-2</v>
      </c>
      <c r="S167" s="329">
        <f t="shared" si="77"/>
        <v>0.99932517307597746</v>
      </c>
      <c r="T167" s="330">
        <f t="shared" si="78"/>
        <v>5.4186605250404085E-2</v>
      </c>
      <c r="U167" s="331">
        <f t="shared" si="79"/>
        <v>5.822765555254664</v>
      </c>
      <c r="V167" s="332">
        <f t="shared" si="80"/>
        <v>-128.81220951854067</v>
      </c>
      <c r="W167" s="334">
        <f t="shared" si="81"/>
        <v>51.187790481459331</v>
      </c>
      <c r="Y167" s="307">
        <f t="shared" si="82"/>
        <v>1000000000</v>
      </c>
      <c r="Z167" s="307">
        <f t="shared" si="83"/>
        <v>88112952.922499999</v>
      </c>
      <c r="AB167" s="333">
        <f t="shared" si="84"/>
        <v>18.103241041329895</v>
      </c>
      <c r="AC167" s="334">
        <f t="shared" si="85"/>
        <v>-43.523144701884469</v>
      </c>
      <c r="AE167" s="333">
        <f t="shared" si="86"/>
        <v>12.158427598652574</v>
      </c>
      <c r="AF167" s="334">
        <f t="shared" si="87"/>
        <v>-83.183432552530405</v>
      </c>
      <c r="AH167">
        <f t="shared" si="88"/>
        <v>0</v>
      </c>
      <c r="AI167">
        <f t="shared" si="93"/>
        <v>0</v>
      </c>
    </row>
    <row r="168" spans="1:35" x14ac:dyDescent="0.25">
      <c r="A168" s="335">
        <v>9441.2000000000007</v>
      </c>
      <c r="B168" s="352">
        <f t="shared" si="89"/>
        <v>9.4412000000000003</v>
      </c>
      <c r="C168" s="325">
        <f t="shared" si="62"/>
        <v>5.9695805948247225</v>
      </c>
      <c r="D168" s="326">
        <f t="shared" si="63"/>
        <v>1.4024868482095747</v>
      </c>
      <c r="E168" s="326">
        <f t="shared" si="64"/>
        <v>1.0000076642619962</v>
      </c>
      <c r="F168" s="327">
        <f t="shared" si="65"/>
        <v>3.915153393085298E-3</v>
      </c>
      <c r="G168" s="326">
        <f t="shared" si="66"/>
        <v>1</v>
      </c>
      <c r="H168" s="327">
        <f t="shared" si="67"/>
        <v>0</v>
      </c>
      <c r="I168" s="325">
        <f t="shared" si="68"/>
        <v>14807.656178138221</v>
      </c>
      <c r="J168" s="328">
        <f t="shared" si="69"/>
        <v>1.5707287941625387</v>
      </c>
      <c r="K168" s="336">
        <f t="shared" si="94"/>
        <v>1.5484208898087337</v>
      </c>
      <c r="L168" s="337">
        <f t="shared" si="95"/>
        <v>0.86870051232765355</v>
      </c>
      <c r="M168" s="325">
        <f t="shared" si="72"/>
        <v>1.0015178619055456</v>
      </c>
      <c r="N168" s="337">
        <f t="shared" si="73"/>
        <v>5.5062591083048368E-2</v>
      </c>
      <c r="O168" s="343">
        <f t="shared" si="74"/>
        <v>1.0015038029124819</v>
      </c>
      <c r="P168" s="691">
        <f t="shared" si="75"/>
        <v>5.4807313531817774E-2</v>
      </c>
      <c r="Q168" s="336">
        <f t="shared" si="90"/>
        <v>4.1739866098911564</v>
      </c>
      <c r="R168" s="692">
        <f t="shared" si="76"/>
        <v>9.1768026528268695E-2</v>
      </c>
      <c r="S168" s="329">
        <f t="shared" si="77"/>
        <v>0.9993173602197859</v>
      </c>
      <c r="T168" s="330">
        <f t="shared" si="78"/>
        <v>5.4501083122157935E-2</v>
      </c>
      <c r="U168" s="331">
        <f t="shared" si="79"/>
        <v>5.7527005992789597</v>
      </c>
      <c r="V168" s="332">
        <f t="shared" si="80"/>
        <v>-128.7507422369178</v>
      </c>
      <c r="W168" s="334">
        <f t="shared" si="81"/>
        <v>51.249257763082198</v>
      </c>
      <c r="Y168" s="307">
        <f t="shared" si="82"/>
        <v>1000000000</v>
      </c>
      <c r="Z168" s="307">
        <f t="shared" si="83"/>
        <v>89136257.440000013</v>
      </c>
      <c r="AB168" s="333">
        <f t="shared" si="84"/>
        <v>18.082104412797442</v>
      </c>
      <c r="AC168" s="334">
        <f t="shared" si="85"/>
        <v>-43.378111775639674</v>
      </c>
      <c r="AE168" s="333">
        <f t="shared" si="86"/>
        <v>12.109764988689768</v>
      </c>
      <c r="AF168" s="334">
        <f t="shared" si="87"/>
        <v>-83.254937596367398</v>
      </c>
      <c r="AH168">
        <f t="shared" si="88"/>
        <v>0</v>
      </c>
      <c r="AI168">
        <f t="shared" si="93"/>
        <v>0</v>
      </c>
    </row>
    <row r="169" spans="1:35" x14ac:dyDescent="0.25">
      <c r="A169" s="335">
        <v>9495.5499999999993</v>
      </c>
      <c r="B169" s="352">
        <f t="shared" si="89"/>
        <v>9.4955499999999997</v>
      </c>
      <c r="C169" s="325">
        <f t="shared" si="62"/>
        <v>6.0029839272253858</v>
      </c>
      <c r="D169" s="326">
        <f t="shared" si="63"/>
        <v>1.4034322678196764</v>
      </c>
      <c r="E169" s="326">
        <f t="shared" si="64"/>
        <v>1.000007752757103</v>
      </c>
      <c r="F169" s="327">
        <f t="shared" si="65"/>
        <v>3.9376914596056948E-3</v>
      </c>
      <c r="G169" s="326">
        <f t="shared" si="66"/>
        <v>1</v>
      </c>
      <c r="H169" s="327">
        <f t="shared" si="67"/>
        <v>0</v>
      </c>
      <c r="I169" s="325">
        <f t="shared" si="68"/>
        <v>14892.899167336827</v>
      </c>
      <c r="J169" s="328">
        <f t="shared" si="69"/>
        <v>1.5707291807013446</v>
      </c>
      <c r="K169" s="336">
        <f t="shared" si="94"/>
        <v>1.5536230987615127</v>
      </c>
      <c r="L169" s="337">
        <f t="shared" si="95"/>
        <v>0.871529498413399</v>
      </c>
      <c r="M169" s="325">
        <f t="shared" si="72"/>
        <v>1.0015353744736961</v>
      </c>
      <c r="N169" s="337">
        <f t="shared" si="73"/>
        <v>5.5378923158819537E-2</v>
      </c>
      <c r="O169" s="343">
        <f t="shared" si="74"/>
        <v>1.0015211533959008</v>
      </c>
      <c r="P169" s="691">
        <f t="shared" si="75"/>
        <v>5.5122184992747729E-2</v>
      </c>
      <c r="Q169" s="336">
        <f t="shared" si="90"/>
        <v>4.1741873364691982</v>
      </c>
      <c r="R169" s="692">
        <f t="shared" si="76"/>
        <v>9.2293355883387579E-2</v>
      </c>
      <c r="S169" s="329">
        <f t="shared" si="77"/>
        <v>0.99930950282038833</v>
      </c>
      <c r="T169" s="330">
        <f t="shared" si="78"/>
        <v>5.4815573752566071E-2</v>
      </c>
      <c r="U169" s="331">
        <f t="shared" si="79"/>
        <v>5.683157765575765</v>
      </c>
      <c r="V169" s="332">
        <f t="shared" si="80"/>
        <v>-128.68975446610096</v>
      </c>
      <c r="W169" s="334">
        <f t="shared" si="81"/>
        <v>51.310245533899035</v>
      </c>
      <c r="Y169" s="307">
        <f t="shared" si="82"/>
        <v>1000000000</v>
      </c>
      <c r="Z169" s="307">
        <f t="shared" si="83"/>
        <v>90165469.80249998</v>
      </c>
      <c r="AB169" s="333">
        <f t="shared" si="84"/>
        <v>18.061226943760744</v>
      </c>
      <c r="AC169" s="334">
        <f t="shared" si="85"/>
        <v>-43.23416945236923</v>
      </c>
      <c r="AE169" s="333">
        <f t="shared" si="86"/>
        <v>12.061366840709823</v>
      </c>
      <c r="AF169" s="334">
        <f t="shared" si="87"/>
        <v>-83.325833799704938</v>
      </c>
      <c r="AH169">
        <f t="shared" si="88"/>
        <v>0</v>
      </c>
      <c r="AI169">
        <f t="shared" si="93"/>
        <v>0</v>
      </c>
    </row>
    <row r="170" spans="1:35" x14ac:dyDescent="0.25">
      <c r="A170" s="335">
        <v>9549.9</v>
      </c>
      <c r="B170" s="352">
        <f t="shared" si="89"/>
        <v>9.5498999999999992</v>
      </c>
      <c r="C170" s="325">
        <f t="shared" si="62"/>
        <v>6.0363925658172635</v>
      </c>
      <c r="D170" s="326">
        <f t="shared" si="63"/>
        <v>1.4043672233379578</v>
      </c>
      <c r="E170" s="326">
        <f t="shared" si="64"/>
        <v>1.0000078417601779</v>
      </c>
      <c r="F170" s="327">
        <f t="shared" si="65"/>
        <v>3.960229522125657E-3</v>
      </c>
      <c r="G170" s="326">
        <f t="shared" si="66"/>
        <v>1</v>
      </c>
      <c r="H170" s="327">
        <f t="shared" si="67"/>
        <v>0</v>
      </c>
      <c r="I170" s="325">
        <f t="shared" si="68"/>
        <v>14978.142156537637</v>
      </c>
      <c r="J170" s="328">
        <f t="shared" si="69"/>
        <v>1.5707295628404427</v>
      </c>
      <c r="K170" s="336">
        <f t="shared" si="94"/>
        <v>1.5588376585645396</v>
      </c>
      <c r="L170" s="337">
        <f t="shared" si="95"/>
        <v>0.87433958004714118</v>
      </c>
      <c r="M170" s="325">
        <f t="shared" si="72"/>
        <v>1.0015529872579569</v>
      </c>
      <c r="N170" s="337">
        <f t="shared" si="73"/>
        <v>5.569524414054363E-2</v>
      </c>
      <c r="O170" s="343">
        <f t="shared" si="74"/>
        <v>1.0015386031707236</v>
      </c>
      <c r="P170" s="691">
        <f t="shared" si="75"/>
        <v>5.543704551290269E-2</v>
      </c>
      <c r="Q170" s="336">
        <f t="shared" si="90"/>
        <v>4.174389205515574</v>
      </c>
      <c r="R170" s="692">
        <f t="shared" si="76"/>
        <v>9.2818634781410767E-2</v>
      </c>
      <c r="S170" s="329">
        <f t="shared" si="77"/>
        <v>0.9993016008875174</v>
      </c>
      <c r="T170" s="330">
        <f t="shared" si="78"/>
        <v>5.5130077215084367E-2</v>
      </c>
      <c r="U170" s="331">
        <f t="shared" si="79"/>
        <v>5.6141302671427873</v>
      </c>
      <c r="V170" s="332">
        <f t="shared" si="80"/>
        <v>-128.62924787591049</v>
      </c>
      <c r="W170" s="334">
        <f t="shared" si="81"/>
        <v>51.370752124089506</v>
      </c>
      <c r="Y170" s="307">
        <f t="shared" si="82"/>
        <v>1000000000</v>
      </c>
      <c r="Z170" s="307">
        <f t="shared" si="83"/>
        <v>91200590.00999999</v>
      </c>
      <c r="AB170" s="333">
        <f t="shared" si="84"/>
        <v>18.040604605039825</v>
      </c>
      <c r="AC170" s="334">
        <f t="shared" si="85"/>
        <v>-43.091309386687072</v>
      </c>
      <c r="AE170" s="333">
        <f t="shared" si="86"/>
        <v>12.013230396295803</v>
      </c>
      <c r="AF170" s="334">
        <f t="shared" si="87"/>
        <v>-83.396131190199</v>
      </c>
      <c r="AH170">
        <f t="shared" si="88"/>
        <v>0</v>
      </c>
      <c r="AI170">
        <f t="shared" si="93"/>
        <v>0</v>
      </c>
    </row>
    <row r="171" spans="1:35" x14ac:dyDescent="0.25">
      <c r="A171" s="335">
        <v>9605.5249999999996</v>
      </c>
      <c r="B171" s="352">
        <f t="shared" si="89"/>
        <v>9.6055250000000001</v>
      </c>
      <c r="C171" s="325">
        <f t="shared" si="62"/>
        <v>6.0705903426678978</v>
      </c>
      <c r="D171" s="326">
        <f t="shared" si="63"/>
        <v>1.4053134554450148</v>
      </c>
      <c r="E171" s="326">
        <f t="shared" si="64"/>
        <v>1.0000079333771643</v>
      </c>
      <c r="F171" s="327">
        <f t="shared" si="65"/>
        <v>3.9832963022772682E-3</v>
      </c>
      <c r="G171" s="326">
        <f t="shared" si="66"/>
        <v>1</v>
      </c>
      <c r="H171" s="327">
        <f t="shared" si="67"/>
        <v>0</v>
      </c>
      <c r="I171" s="325">
        <f t="shared" si="68"/>
        <v>15065.384866278515</v>
      </c>
      <c r="J171" s="328">
        <f t="shared" si="69"/>
        <v>1.5707299494663642</v>
      </c>
      <c r="K171" s="336">
        <f t="shared" si="94"/>
        <v>1.5641872069998848</v>
      </c>
      <c r="L171" s="337">
        <f t="shared" si="95"/>
        <v>0.87719615991467903</v>
      </c>
      <c r="M171" s="325">
        <f t="shared" si="72"/>
        <v>1.0015711169862418</v>
      </c>
      <c r="N171" s="337">
        <f t="shared" si="73"/>
        <v>5.6018974162745185E-2</v>
      </c>
      <c r="O171" s="343">
        <f t="shared" si="74"/>
        <v>1.001556565108124</v>
      </c>
      <c r="P171" s="691">
        <f t="shared" si="75"/>
        <v>5.5759280972081576E-2</v>
      </c>
      <c r="Q171" s="336">
        <f t="shared" si="90"/>
        <v>4.1745969930319573</v>
      </c>
      <c r="R171" s="692">
        <f t="shared" si="76"/>
        <v>9.3356183691845979E-2</v>
      </c>
      <c r="S171" s="329">
        <f t="shared" si="77"/>
        <v>0.99929346748013392</v>
      </c>
      <c r="T171" s="330">
        <f t="shared" si="78"/>
        <v>5.5451971997555839E-2</v>
      </c>
      <c r="U171" s="331">
        <f t="shared" si="79"/>
        <v>5.5440100979099931</v>
      </c>
      <c r="V171" s="332">
        <f t="shared" si="80"/>
        <v>-128.56782166313249</v>
      </c>
      <c r="W171" s="334">
        <f t="shared" si="81"/>
        <v>51.432178336867509</v>
      </c>
      <c r="Y171" s="307">
        <f t="shared" si="82"/>
        <v>1000000000</v>
      </c>
      <c r="Z171" s="307">
        <f t="shared" si="83"/>
        <v>92266110.52562499</v>
      </c>
      <c r="AB171" s="333">
        <f t="shared" si="84"/>
        <v>18.019758536776635</v>
      </c>
      <c r="AC171" s="334">
        <f t="shared" si="85"/>
        <v>-42.946209932276695</v>
      </c>
      <c r="AE171" s="333">
        <f t="shared" si="86"/>
        <v>11.964232865566981</v>
      </c>
      <c r="AF171" s="334">
        <f t="shared" si="87"/>
        <v>-83.467467879787918</v>
      </c>
      <c r="AH171">
        <f t="shared" si="88"/>
        <v>0</v>
      </c>
      <c r="AI171">
        <f t="shared" si="93"/>
        <v>0</v>
      </c>
    </row>
    <row r="172" spans="1:35" x14ac:dyDescent="0.25">
      <c r="A172" s="335">
        <v>9661.15</v>
      </c>
      <c r="B172" s="352">
        <f t="shared" si="89"/>
        <v>9.6611499999999992</v>
      </c>
      <c r="C172" s="325">
        <f t="shared" si="62"/>
        <v>6.1047934939551283</v>
      </c>
      <c r="D172" s="326">
        <f t="shared" si="63"/>
        <v>1.4062490855270542</v>
      </c>
      <c r="E172" s="326">
        <f t="shared" si="64"/>
        <v>1.0000080255262309</v>
      </c>
      <c r="F172" s="327">
        <f t="shared" si="65"/>
        <v>4.0063630781900211E-3</v>
      </c>
      <c r="G172" s="326">
        <f t="shared" si="66"/>
        <v>1</v>
      </c>
      <c r="H172" s="327">
        <f t="shared" si="67"/>
        <v>0</v>
      </c>
      <c r="I172" s="325">
        <f t="shared" si="68"/>
        <v>15152.627576021619</v>
      </c>
      <c r="J172" s="328">
        <f t="shared" si="69"/>
        <v>1.5707303316402141</v>
      </c>
      <c r="K172" s="336">
        <f t="shared" si="94"/>
        <v>1.5695494322113674</v>
      </c>
      <c r="L172" s="337">
        <f t="shared" si="95"/>
        <v>0.88003324430236951</v>
      </c>
      <c r="M172" s="325">
        <f t="shared" si="72"/>
        <v>1.0015893516765024</v>
      </c>
      <c r="N172" s="337">
        <f t="shared" si="73"/>
        <v>5.6342692431372875E-2</v>
      </c>
      <c r="O172" s="343">
        <f t="shared" si="74"/>
        <v>1.0015746310391063</v>
      </c>
      <c r="P172" s="691">
        <f t="shared" si="75"/>
        <v>5.608150484005521E-2</v>
      </c>
      <c r="Q172" s="336">
        <f t="shared" si="90"/>
        <v>4.1748059768956347</v>
      </c>
      <c r="R172" s="692">
        <f t="shared" si="76"/>
        <v>9.3893679158927837E-2</v>
      </c>
      <c r="S172" s="329">
        <f t="shared" si="77"/>
        <v>0.99928528744615042</v>
      </c>
      <c r="T172" s="330">
        <f t="shared" si="78"/>
        <v>5.5773880376948574E-2</v>
      </c>
      <c r="U172" s="331">
        <f t="shared" si="79"/>
        <v>5.474415708851545</v>
      </c>
      <c r="V172" s="332">
        <f t="shared" si="80"/>
        <v>-128.50690246060466</v>
      </c>
      <c r="W172" s="334">
        <f t="shared" si="81"/>
        <v>51.493097539395336</v>
      </c>
      <c r="Y172" s="307">
        <f t="shared" si="82"/>
        <v>1000000000</v>
      </c>
      <c r="Z172" s="307">
        <f t="shared" si="83"/>
        <v>93337819.32249999</v>
      </c>
      <c r="AB172" s="333">
        <f t="shared" si="84"/>
        <v>17.999171405270975</v>
      </c>
      <c r="AC172" s="334">
        <f t="shared" si="85"/>
        <v>-42.802226558067332</v>
      </c>
      <c r="AE172" s="333">
        <f t="shared" si="86"/>
        <v>11.915503746732652</v>
      </c>
      <c r="AF172" s="334">
        <f t="shared" si="87"/>
        <v>-83.538197897377387</v>
      </c>
      <c r="AH172">
        <f t="shared" si="88"/>
        <v>0</v>
      </c>
      <c r="AI172">
        <f t="shared" si="93"/>
        <v>0</v>
      </c>
    </row>
    <row r="173" spans="1:35" x14ac:dyDescent="0.25">
      <c r="A173" s="335">
        <v>9716.7749999999996</v>
      </c>
      <c r="B173" s="352">
        <f t="shared" si="89"/>
        <v>9.7167750000000002</v>
      </c>
      <c r="C173" s="325">
        <f t="shared" si="62"/>
        <v>6.1390019298487175</v>
      </c>
      <c r="D173" s="326">
        <f t="shared" si="63"/>
        <v>1.4071742891655081</v>
      </c>
      <c r="E173" s="326">
        <f t="shared" si="64"/>
        <v>1.0000081182073781</v>
      </c>
      <c r="F173" s="327">
        <f t="shared" si="65"/>
        <v>4.0294298498393727E-3</v>
      </c>
      <c r="G173" s="326">
        <f t="shared" si="66"/>
        <v>1</v>
      </c>
      <c r="H173" s="327">
        <f t="shared" si="67"/>
        <v>0</v>
      </c>
      <c r="I173" s="325">
        <f t="shared" si="68"/>
        <v>15239.870285766912</v>
      </c>
      <c r="J173" s="328">
        <f t="shared" si="69"/>
        <v>1.5707307094384515</v>
      </c>
      <c r="K173" s="336">
        <f t="shared" si="94"/>
        <v>1.5749242047151841</v>
      </c>
      <c r="L173" s="337">
        <f t="shared" si="95"/>
        <v>0.88285098690244035</v>
      </c>
      <c r="M173" s="325">
        <f t="shared" si="72"/>
        <v>1.0016076913230061</v>
      </c>
      <c r="N173" s="337">
        <f t="shared" si="73"/>
        <v>5.6666398879223333E-2</v>
      </c>
      <c r="O173" s="343">
        <f t="shared" si="74"/>
        <v>1.0015928009580428</v>
      </c>
      <c r="P173" s="691">
        <f t="shared" si="75"/>
        <v>5.6403717050540793E-2</v>
      </c>
      <c r="Q173" s="336">
        <f t="shared" si="90"/>
        <v>4.175016156926965</v>
      </c>
      <c r="R173" s="692">
        <f t="shared" si="76"/>
        <v>9.4431120883931338E-2</v>
      </c>
      <c r="S173" s="329">
        <f t="shared" si="77"/>
        <v>0.9992770607961835</v>
      </c>
      <c r="T173" s="330">
        <f t="shared" si="78"/>
        <v>5.6095802432010587E-2</v>
      </c>
      <c r="U173" s="331">
        <f t="shared" si="79"/>
        <v>5.4053401919585022</v>
      </c>
      <c r="V173" s="332">
        <f t="shared" si="80"/>
        <v>-128.44649151421166</v>
      </c>
      <c r="W173" s="334">
        <f t="shared" si="81"/>
        <v>51.553508485788342</v>
      </c>
      <c r="Y173" s="307">
        <f t="shared" si="82"/>
        <v>1000000000</v>
      </c>
      <c r="Z173" s="307">
        <f t="shared" si="83"/>
        <v>94415716.40062499</v>
      </c>
      <c r="AB173" s="333">
        <f t="shared" si="84"/>
        <v>17.978839126687582</v>
      </c>
      <c r="AC173" s="334">
        <f t="shared" si="85"/>
        <v>-42.659350458673309</v>
      </c>
      <c r="AE173" s="333">
        <f t="shared" si="86"/>
        <v>11.867040214971283</v>
      </c>
      <c r="AF173" s="334">
        <f t="shared" si="87"/>
        <v>-83.608331307555829</v>
      </c>
      <c r="AH173">
        <f t="shared" si="88"/>
        <v>0</v>
      </c>
      <c r="AI173">
        <f t="shared" si="93"/>
        <v>0</v>
      </c>
    </row>
    <row r="174" spans="1:35" x14ac:dyDescent="0.25">
      <c r="A174" s="335">
        <v>9772.4</v>
      </c>
      <c r="B174" s="352">
        <f t="shared" si="89"/>
        <v>9.7723999999999993</v>
      </c>
      <c r="C174" s="325">
        <f t="shared" si="62"/>
        <v>6.1732155624958533</v>
      </c>
      <c r="D174" s="326">
        <f t="shared" si="63"/>
        <v>1.4080892381216354</v>
      </c>
      <c r="E174" s="326">
        <f t="shared" si="64"/>
        <v>1.0000082114206053</v>
      </c>
      <c r="F174" s="327">
        <f t="shared" si="65"/>
        <v>4.0524966172007749E-3</v>
      </c>
      <c r="G174" s="326">
        <f t="shared" si="66"/>
        <v>1</v>
      </c>
      <c r="H174" s="327">
        <f t="shared" si="67"/>
        <v>0</v>
      </c>
      <c r="I174" s="325">
        <f t="shared" si="68"/>
        <v>15327.112995514355</v>
      </c>
      <c r="J174" s="328">
        <f t="shared" si="69"/>
        <v>1.5707310829357952</v>
      </c>
      <c r="K174" s="336">
        <f t="shared" si="94"/>
        <v>1.5803113964881372</v>
      </c>
      <c r="L174" s="337">
        <f t="shared" si="95"/>
        <v>0.88564954054727862</v>
      </c>
      <c r="M174" s="325">
        <f t="shared" si="72"/>
        <v>1.0016261359199878</v>
      </c>
      <c r="N174" s="337">
        <f t="shared" si="73"/>
        <v>5.6990093439108026E-2</v>
      </c>
      <c r="O174" s="343">
        <f t="shared" si="74"/>
        <v>1.0016110748592748</v>
      </c>
      <c r="P174" s="691">
        <f t="shared" si="75"/>
        <v>5.6725917537269945E-2</v>
      </c>
      <c r="Q174" s="336">
        <f t="shared" si="90"/>
        <v>4.1752275329453159</v>
      </c>
      <c r="R174" s="692">
        <f t="shared" si="76"/>
        <v>9.4968508568314611E-2</v>
      </c>
      <c r="S174" s="329">
        <f t="shared" si="77"/>
        <v>0.99926878754091153</v>
      </c>
      <c r="T174" s="330">
        <f t="shared" si="78"/>
        <v>5.6417738241489983E-2</v>
      </c>
      <c r="U174" s="331">
        <f t="shared" si="79"/>
        <v>5.3367767581951222</v>
      </c>
      <c r="V174" s="332">
        <f t="shared" si="80"/>
        <v>-128.38658990013451</v>
      </c>
      <c r="W174" s="334">
        <f t="shared" si="81"/>
        <v>51.61341009986549</v>
      </c>
      <c r="Y174" s="307">
        <f t="shared" si="82"/>
        <v>1000000000</v>
      </c>
      <c r="Z174" s="307">
        <f t="shared" si="83"/>
        <v>95499801.75999999</v>
      </c>
      <c r="AB174" s="333">
        <f t="shared" si="84"/>
        <v>17.958757693250213</v>
      </c>
      <c r="AC174" s="334">
        <f t="shared" si="85"/>
        <v>-42.51757287787531</v>
      </c>
      <c r="AE174" s="333">
        <f t="shared" si="86"/>
        <v>11.818839488372003</v>
      </c>
      <c r="AF174" s="334">
        <f t="shared" si="87"/>
        <v>-83.67787795603175</v>
      </c>
      <c r="AH174">
        <f t="shared" si="88"/>
        <v>0</v>
      </c>
      <c r="AI174">
        <f t="shared" si="93"/>
        <v>0</v>
      </c>
    </row>
    <row r="175" spans="1:35" x14ac:dyDescent="0.25">
      <c r="A175" s="335">
        <v>9829.2999999999993</v>
      </c>
      <c r="B175" s="352">
        <f t="shared" si="89"/>
        <v>9.8292999999999999</v>
      </c>
      <c r="C175" s="325">
        <f t="shared" si="62"/>
        <v>6.2082187049534365</v>
      </c>
      <c r="D175" s="326">
        <f t="shared" si="63"/>
        <v>1.4090147241605169</v>
      </c>
      <c r="E175" s="326">
        <f t="shared" si="64"/>
        <v>1.0000083073209192</v>
      </c>
      <c r="F175" s="327">
        <f t="shared" si="65"/>
        <v>4.0760921015092688E-3</v>
      </c>
      <c r="G175" s="326">
        <f t="shared" si="66"/>
        <v>1</v>
      </c>
      <c r="H175" s="327">
        <f t="shared" si="67"/>
        <v>0</v>
      </c>
      <c r="I175" s="325">
        <f t="shared" si="68"/>
        <v>15416.355425802016</v>
      </c>
      <c r="J175" s="328">
        <f t="shared" si="69"/>
        <v>1.5707314606204292</v>
      </c>
      <c r="K175" s="336">
        <f t="shared" si="94"/>
        <v>1.5858347875368095</v>
      </c>
      <c r="L175" s="337">
        <f t="shared" si="95"/>
        <v>0.88849254548469703</v>
      </c>
      <c r="M175" s="325">
        <f t="shared" si="72"/>
        <v>1.0016451118724141</v>
      </c>
      <c r="N175" s="337">
        <f t="shared" si="73"/>
        <v>5.7321195144894629E-2</v>
      </c>
      <c r="O175" s="343">
        <f t="shared" si="74"/>
        <v>1.0016298752017607</v>
      </c>
      <c r="P175" s="691">
        <f t="shared" si="75"/>
        <v>5.7055491094587144E-2</v>
      </c>
      <c r="Q175" s="336">
        <f t="shared" si="90"/>
        <v>4.1754449912193055</v>
      </c>
      <c r="R175" s="692">
        <f t="shared" si="76"/>
        <v>9.5518157679097604E-2</v>
      </c>
      <c r="S175" s="329">
        <f t="shared" si="77"/>
        <v>0.99926027644273852</v>
      </c>
      <c r="T175" s="330">
        <f t="shared" si="78"/>
        <v>5.6747067566827618E-2</v>
      </c>
      <c r="U175" s="331">
        <f t="shared" si="79"/>
        <v>5.267164626427502</v>
      </c>
      <c r="V175" s="332">
        <f t="shared" si="80"/>
        <v>-128.32584318924191</v>
      </c>
      <c r="W175" s="334">
        <f t="shared" si="81"/>
        <v>51.674156810758092</v>
      </c>
      <c r="Y175" s="307">
        <f t="shared" si="82"/>
        <v>1000000000</v>
      </c>
      <c r="Z175" s="307">
        <f t="shared" si="83"/>
        <v>96615138.48999998</v>
      </c>
      <c r="AB175" s="333">
        <f t="shared" si="84"/>
        <v>17.938471401603525</v>
      </c>
      <c r="AC175" s="334">
        <f t="shared" si="85"/>
        <v>-42.373673063728617</v>
      </c>
      <c r="AE175" s="333">
        <f t="shared" si="86"/>
        <v>11.769802989941025</v>
      </c>
      <c r="AF175" s="334">
        <f t="shared" si="87"/>
        <v>-83.748421658883842</v>
      </c>
      <c r="AH175">
        <f t="shared" si="88"/>
        <v>0</v>
      </c>
      <c r="AI175">
        <f t="shared" si="93"/>
        <v>0</v>
      </c>
    </row>
    <row r="176" spans="1:35" x14ac:dyDescent="0.25">
      <c r="A176" s="335">
        <v>9886.2000000000007</v>
      </c>
      <c r="B176" s="352">
        <f t="shared" si="89"/>
        <v>9.8862000000000005</v>
      </c>
      <c r="C176" s="325">
        <f t="shared" si="62"/>
        <v>6.243227105273375</v>
      </c>
      <c r="D176" s="326">
        <f t="shared" si="63"/>
        <v>1.4099298317969318</v>
      </c>
      <c r="E176" s="326">
        <f t="shared" si="64"/>
        <v>1.0000084037779846</v>
      </c>
      <c r="F176" s="327">
        <f t="shared" si="65"/>
        <v>4.0996875812790356E-3</v>
      </c>
      <c r="G176" s="326">
        <f t="shared" si="66"/>
        <v>1</v>
      </c>
      <c r="H176" s="327">
        <f t="shared" si="67"/>
        <v>0</v>
      </c>
      <c r="I176" s="325">
        <f t="shared" si="68"/>
        <v>15505.597856091852</v>
      </c>
      <c r="J176" s="328">
        <f t="shared" si="69"/>
        <v>1.5707318339575371</v>
      </c>
      <c r="K176" s="336">
        <f t="shared" si="94"/>
        <v>1.5913709073388151</v>
      </c>
      <c r="L176" s="337">
        <f t="shared" si="95"/>
        <v>0.89131579240866887</v>
      </c>
      <c r="M176" s="325">
        <f t="shared" si="72"/>
        <v>1.0016641976293632</v>
      </c>
      <c r="N176" s="337">
        <f t="shared" si="73"/>
        <v>5.7652284269321757E-2</v>
      </c>
      <c r="O176" s="343">
        <f t="shared" si="74"/>
        <v>1.0016487843359203</v>
      </c>
      <c r="P176" s="691">
        <f t="shared" si="75"/>
        <v>5.7385052244314977E-2</v>
      </c>
      <c r="Q176" s="336">
        <f t="shared" si="90"/>
        <v>4.1756637005504214</v>
      </c>
      <c r="R176" s="692">
        <f t="shared" si="76"/>
        <v>9.6067749612161496E-2</v>
      </c>
      <c r="S176" s="329">
        <f t="shared" si="77"/>
        <v>0.9992517166010626</v>
      </c>
      <c r="T176" s="330">
        <f t="shared" si="78"/>
        <v>5.7076411451036695E-2</v>
      </c>
      <c r="U176" s="331">
        <f t="shared" si="79"/>
        <v>5.1980743221763266</v>
      </c>
      <c r="V176" s="332">
        <f t="shared" si="80"/>
        <v>-128.26563118980135</v>
      </c>
      <c r="W176" s="334">
        <f t="shared" si="81"/>
        <v>51.734368810198646</v>
      </c>
      <c r="Y176" s="307">
        <f t="shared" si="82"/>
        <v>1000000000</v>
      </c>
      <c r="Z176" s="307">
        <f t="shared" si="83"/>
        <v>97736950.440000013</v>
      </c>
      <c r="AB176" s="333">
        <f t="shared" si="84"/>
        <v>17.918439339607314</v>
      </c>
      <c r="AC176" s="334">
        <f t="shared" si="85"/>
        <v>-42.230904330411576</v>
      </c>
      <c r="AE176" s="333">
        <f t="shared" si="86"/>
        <v>11.721035727831561</v>
      </c>
      <c r="AF176" s="334">
        <f t="shared" si="87"/>
        <v>-83.81837155749777</v>
      </c>
      <c r="AH176">
        <f t="shared" si="88"/>
        <v>0</v>
      </c>
      <c r="AI176">
        <f t="shared" si="93"/>
        <v>0</v>
      </c>
    </row>
    <row r="177" spans="1:35" x14ac:dyDescent="0.25">
      <c r="A177" s="335">
        <v>9943.1</v>
      </c>
      <c r="B177" s="352">
        <f t="shared" si="89"/>
        <v>9.9431000000000012</v>
      </c>
      <c r="C177" s="325">
        <f t="shared" si="62"/>
        <v>6.2782406754998066</v>
      </c>
      <c r="D177" s="326">
        <f t="shared" si="63"/>
        <v>1.410834733125423</v>
      </c>
      <c r="E177" s="326">
        <f t="shared" si="64"/>
        <v>1.0000085007918011</v>
      </c>
      <c r="F177" s="327">
        <f t="shared" si="65"/>
        <v>4.1232830564838013E-3</v>
      </c>
      <c r="G177" s="326">
        <f t="shared" si="66"/>
        <v>1</v>
      </c>
      <c r="H177" s="327">
        <f t="shared" si="67"/>
        <v>0</v>
      </c>
      <c r="I177" s="325">
        <f t="shared" si="68"/>
        <v>15594.840286383824</v>
      </c>
      <c r="J177" s="328">
        <f t="shared" si="69"/>
        <v>1.5707322030217561</v>
      </c>
      <c r="K177" s="336">
        <f t="shared" si="94"/>
        <v>1.5969196235119738</v>
      </c>
      <c r="L177" s="337">
        <f t="shared" si="95"/>
        <v>0.89411944203363203</v>
      </c>
      <c r="M177" s="325">
        <f t="shared" si="72"/>
        <v>1.001683393184559</v>
      </c>
      <c r="N177" s="337">
        <f t="shared" si="73"/>
        <v>5.7983360740522648E-2</v>
      </c>
      <c r="O177" s="343">
        <f t="shared" si="74"/>
        <v>1.0016678022555925</v>
      </c>
      <c r="P177" s="691">
        <f t="shared" si="75"/>
        <v>5.7714600915570499E-2</v>
      </c>
      <c r="Q177" s="336">
        <f t="shared" si="90"/>
        <v>4.1758836607421062</v>
      </c>
      <c r="R177" s="692">
        <f t="shared" si="76"/>
        <v>9.6617284048562402E-2</v>
      </c>
      <c r="S177" s="329">
        <f t="shared" si="77"/>
        <v>0.9992431080275137</v>
      </c>
      <c r="T177" s="330">
        <f t="shared" si="78"/>
        <v>5.7405769978405748E-2</v>
      </c>
      <c r="U177" s="331">
        <f t="shared" si="79"/>
        <v>5.1294989492675338</v>
      </c>
      <c r="V177" s="332">
        <f t="shared" si="80"/>
        <v>-128.20595454462148</v>
      </c>
      <c r="W177" s="334">
        <f t="shared" si="81"/>
        <v>51.794045455378523</v>
      </c>
      <c r="Y177" s="307">
        <f t="shared" si="82"/>
        <v>1000000000</v>
      </c>
      <c r="Z177" s="307">
        <f t="shared" si="83"/>
        <v>98865237.610000014</v>
      </c>
      <c r="AB177" s="333">
        <f t="shared" si="84"/>
        <v>17.898657453986942</v>
      </c>
      <c r="AC177" s="334">
        <f t="shared" si="85"/>
        <v>-42.089257469823913</v>
      </c>
      <c r="AE177" s="333">
        <f t="shared" si="86"/>
        <v>11.672534858435661</v>
      </c>
      <c r="AF177" s="334">
        <f t="shared" si="87"/>
        <v>-83.887737516995415</v>
      </c>
      <c r="AH177">
        <f t="shared" si="88"/>
        <v>0</v>
      </c>
      <c r="AI177">
        <f t="shared" si="93"/>
        <v>0</v>
      </c>
    </row>
    <row r="178" spans="1:35" x14ac:dyDescent="0.25">
      <c r="A178" s="335">
        <v>10000</v>
      </c>
      <c r="B178" s="352">
        <f t="shared" si="89"/>
        <v>10</v>
      </c>
      <c r="C178" s="325">
        <f t="shared" si="62"/>
        <v>6.3132593296152555</v>
      </c>
      <c r="D178" s="326">
        <f t="shared" si="63"/>
        <v>1.411729596489917</v>
      </c>
      <c r="E178" s="326">
        <f t="shared" si="64"/>
        <v>1.0000085983623686</v>
      </c>
      <c r="F178" s="327">
        <f t="shared" si="65"/>
        <v>4.1468785270972969E-3</v>
      </c>
      <c r="G178" s="326">
        <f t="shared" si="66"/>
        <v>1</v>
      </c>
      <c r="H178" s="327">
        <f t="shared" si="67"/>
        <v>0</v>
      </c>
      <c r="I178" s="325">
        <f t="shared" si="68"/>
        <v>15684.082716677894</v>
      </c>
      <c r="J178" s="328">
        <f t="shared" si="69"/>
        <v>1.5707325678860244</v>
      </c>
      <c r="K178" s="336">
        <f t="shared" si="94"/>
        <v>1.6024808052085049</v>
      </c>
      <c r="L178" s="337">
        <f t="shared" si="95"/>
        <v>0.89690365408301786</v>
      </c>
      <c r="M178" s="325">
        <f t="shared" si="72"/>
        <v>1.0017026985316886</v>
      </c>
      <c r="N178" s="337">
        <f t="shared" si="73"/>
        <v>5.8314424486647164E-2</v>
      </c>
      <c r="O178" s="343">
        <f t="shared" si="74"/>
        <v>1.0016869289545809</v>
      </c>
      <c r="P178" s="691">
        <f t="shared" si="75"/>
        <v>5.8044137037487016E-2</v>
      </c>
      <c r="Q178" s="336">
        <f t="shared" si="90"/>
        <v>4.1761048715967233</v>
      </c>
      <c r="R178" s="692">
        <f t="shared" si="76"/>
        <v>9.7166760669561272E-2</v>
      </c>
      <c r="S178" s="329">
        <f t="shared" si="77"/>
        <v>0.9992344507337898</v>
      </c>
      <c r="T178" s="330">
        <f t="shared" si="78"/>
        <v>5.7735143233223415E-2</v>
      </c>
      <c r="U178" s="331">
        <f t="shared" si="79"/>
        <v>5.0614317312509858</v>
      </c>
      <c r="V178" s="332">
        <f t="shared" si="80"/>
        <v>-128.14681373831161</v>
      </c>
      <c r="W178" s="334">
        <f t="shared" si="81"/>
        <v>51.853186261688393</v>
      </c>
      <c r="Y178" s="307">
        <f t="shared" si="82"/>
        <v>1000000000</v>
      </c>
      <c r="Z178" s="307">
        <f t="shared" si="83"/>
        <v>100000000</v>
      </c>
      <c r="AB178" s="333">
        <f t="shared" si="84"/>
        <v>17.879121767751723</v>
      </c>
      <c r="AC178" s="334">
        <f t="shared" si="85"/>
        <v>-41.948723330549441</v>
      </c>
      <c r="AE178" s="333">
        <f t="shared" si="86"/>
        <v>11.624297581581525</v>
      </c>
      <c r="AF178" s="334">
        <f t="shared" si="87"/>
        <v>-83.956529187604175</v>
      </c>
      <c r="AH178">
        <f t="shared" si="88"/>
        <v>0</v>
      </c>
      <c r="AI178">
        <f t="shared" si="93"/>
        <v>0</v>
      </c>
    </row>
    <row r="179" spans="1:35" x14ac:dyDescent="0.25">
      <c r="A179" s="335">
        <v>10058.25</v>
      </c>
      <c r="B179" s="352">
        <f t="shared" si="89"/>
        <v>10.058249999999999</v>
      </c>
      <c r="C179" s="325">
        <f t="shared" si="62"/>
        <v>6.3491140089547766</v>
      </c>
      <c r="D179" s="326">
        <f t="shared" si="63"/>
        <v>1.4126354651356199</v>
      </c>
      <c r="E179" s="326">
        <f t="shared" si="64"/>
        <v>1.0000086988246011</v>
      </c>
      <c r="F179" s="327">
        <f t="shared" si="65"/>
        <v>4.1710338151651552E-3</v>
      </c>
      <c r="G179" s="326">
        <f t="shared" si="66"/>
        <v>1</v>
      </c>
      <c r="H179" s="327">
        <f t="shared" si="67"/>
        <v>0</v>
      </c>
      <c r="I179" s="325">
        <f t="shared" si="68"/>
        <v>15775.442498132221</v>
      </c>
      <c r="J179" s="328">
        <f t="shared" si="69"/>
        <v>1.5707329371308167</v>
      </c>
      <c r="K179" s="336">
        <f t="shared" si="94"/>
        <v>1.6081867082286363</v>
      </c>
      <c r="L179" s="337">
        <f t="shared" si="95"/>
        <v>0.89973395479135043</v>
      </c>
      <c r="M179" s="325">
        <f t="shared" si="72"/>
        <v>1.0017225756378614</v>
      </c>
      <c r="N179" s="337">
        <f t="shared" si="73"/>
        <v>5.8653329739993737E-2</v>
      </c>
      <c r="O179" s="343">
        <f t="shared" si="74"/>
        <v>1.0017066221252171</v>
      </c>
      <c r="P179" s="691">
        <f t="shared" si="75"/>
        <v>5.8381478605533478E-2</v>
      </c>
      <c r="Q179" s="336">
        <f t="shared" si="90"/>
        <v>4.1763326261805203</v>
      </c>
      <c r="R179" s="692">
        <f t="shared" si="76"/>
        <v>9.7729213860275346E-2</v>
      </c>
      <c r="S179" s="329">
        <f t="shared" si="77"/>
        <v>0.99922553758305155</v>
      </c>
      <c r="T179" s="330">
        <f t="shared" si="78"/>
        <v>5.807234648719977E-2</v>
      </c>
      <c r="U179" s="331">
        <f t="shared" si="79"/>
        <v>4.9922689922403114</v>
      </c>
      <c r="V179" s="332">
        <f t="shared" si="80"/>
        <v>-128.08682517306443</v>
      </c>
      <c r="W179" s="334">
        <f t="shared" si="81"/>
        <v>51.913174826935574</v>
      </c>
      <c r="Y179" s="307">
        <f t="shared" si="82"/>
        <v>1000000000</v>
      </c>
      <c r="Z179" s="307">
        <f t="shared" si="83"/>
        <v>101168393.0625</v>
      </c>
      <c r="AB179" s="333">
        <f t="shared" si="84"/>
        <v>17.859373537801922</v>
      </c>
      <c r="AC179" s="334">
        <f t="shared" si="85"/>
        <v>-41.805998041885793</v>
      </c>
      <c r="AE179" s="333">
        <f t="shared" si="86"/>
        <v>11.57518600389932</v>
      </c>
      <c r="AF179" s="334">
        <f t="shared" si="87"/>
        <v>-84.026367965107681</v>
      </c>
      <c r="AH179">
        <f t="shared" si="88"/>
        <v>0</v>
      </c>
      <c r="AI179">
        <f t="shared" si="93"/>
        <v>0</v>
      </c>
    </row>
    <row r="180" spans="1:35" x14ac:dyDescent="0.25">
      <c r="A180" s="335">
        <v>10116.5</v>
      </c>
      <c r="B180" s="352">
        <f t="shared" si="89"/>
        <v>10.1165</v>
      </c>
      <c r="C180" s="325">
        <f t="shared" si="62"/>
        <v>6.3849738398480298</v>
      </c>
      <c r="D180" s="326">
        <f t="shared" si="63"/>
        <v>1.4135311592770317</v>
      </c>
      <c r="E180" s="326">
        <f t="shared" si="64"/>
        <v>1.0000087998703164</v>
      </c>
      <c r="F180" s="327">
        <f t="shared" si="65"/>
        <v>4.1951890983655737E-3</v>
      </c>
      <c r="G180" s="326">
        <f t="shared" si="66"/>
        <v>1</v>
      </c>
      <c r="H180" s="327">
        <f t="shared" si="67"/>
        <v>0</v>
      </c>
      <c r="I180" s="325">
        <f t="shared" si="68"/>
        <v>15866.802279588677</v>
      </c>
      <c r="J180" s="328">
        <f t="shared" si="69"/>
        <v>1.5707333021234449</v>
      </c>
      <c r="K180" s="336">
        <f t="shared" si="94"/>
        <v>1.6139054026411206</v>
      </c>
      <c r="L180" s="337">
        <f t="shared" si="95"/>
        <v>0.90254422016701752</v>
      </c>
      <c r="M180" s="325">
        <f t="shared" si="72"/>
        <v>1.0017425677940808</v>
      </c>
      <c r="N180" s="337">
        <f t="shared" si="73"/>
        <v>5.8992221504941766E-2</v>
      </c>
      <c r="O180" s="343">
        <f t="shared" si="74"/>
        <v>1.0017264292849097</v>
      </c>
      <c r="P180" s="691">
        <f t="shared" si="75"/>
        <v>5.8718806871441265E-2</v>
      </c>
      <c r="Q180" s="336">
        <f t="shared" si="90"/>
        <v>4.1765616910546646</v>
      </c>
      <c r="R180" s="692">
        <f t="shared" si="76"/>
        <v>9.8291605784255179E-2</v>
      </c>
      <c r="S180" s="329">
        <f t="shared" si="77"/>
        <v>0.99921657339788605</v>
      </c>
      <c r="T180" s="330">
        <f t="shared" si="78"/>
        <v>5.8409565354524712E-2</v>
      </c>
      <c r="U180" s="331">
        <f t="shared" si="79"/>
        <v>4.9236248084973635</v>
      </c>
      <c r="V180" s="332">
        <f t="shared" si="80"/>
        <v>-128.02739872189582</v>
      </c>
      <c r="W180" s="334">
        <f t="shared" si="81"/>
        <v>51.972601278104179</v>
      </c>
      <c r="Y180" s="307">
        <f t="shared" si="82"/>
        <v>1000000000</v>
      </c>
      <c r="Z180" s="307">
        <f t="shared" si="83"/>
        <v>102343572.25</v>
      </c>
      <c r="AB180" s="333">
        <f t="shared" si="84"/>
        <v>17.839875131439658</v>
      </c>
      <c r="AC180" s="334">
        <f t="shared" si="85"/>
        <v>-41.66441967676694</v>
      </c>
      <c r="AE180" s="333">
        <f t="shared" si="86"/>
        <v>11.526344872010451</v>
      </c>
      <c r="AF180" s="334">
        <f t="shared" si="87"/>
        <v>-84.095624681313893</v>
      </c>
      <c r="AH180">
        <f t="shared" si="88"/>
        <v>0</v>
      </c>
      <c r="AI180">
        <f t="shared" si="93"/>
        <v>0</v>
      </c>
    </row>
    <row r="181" spans="1:35" x14ac:dyDescent="0.25">
      <c r="A181" s="335">
        <v>10174.75</v>
      </c>
      <c r="B181" s="352">
        <f t="shared" si="89"/>
        <v>10.17475</v>
      </c>
      <c r="C181" s="325">
        <f t="shared" si="62"/>
        <v>6.4208387359820644</v>
      </c>
      <c r="D181" s="326">
        <f t="shared" si="63"/>
        <v>1.4144168479600712</v>
      </c>
      <c r="E181" s="326">
        <f t="shared" si="64"/>
        <v>1.0000089014995146</v>
      </c>
      <c r="F181" s="327">
        <f t="shared" si="65"/>
        <v>4.2193443766703666E-3</v>
      </c>
      <c r="G181" s="326">
        <f t="shared" si="66"/>
        <v>1</v>
      </c>
      <c r="H181" s="327">
        <f t="shared" si="67"/>
        <v>0</v>
      </c>
      <c r="I181" s="325">
        <f t="shared" si="68"/>
        <v>15958.16206104722</v>
      </c>
      <c r="J181" s="328">
        <f t="shared" si="69"/>
        <v>1.5707336629369393</v>
      </c>
      <c r="K181" s="336">
        <f t="shared" si="94"/>
        <v>1.6196367529525002</v>
      </c>
      <c r="L181" s="337">
        <f t="shared" si="95"/>
        <v>0.90533461828047801</v>
      </c>
      <c r="M181" s="325">
        <f t="shared" si="72"/>
        <v>1.0017626749934585</v>
      </c>
      <c r="N181" s="337">
        <f t="shared" si="73"/>
        <v>5.9331099704459336E-2</v>
      </c>
      <c r="O181" s="343">
        <f t="shared" si="74"/>
        <v>1.0017463504268971</v>
      </c>
      <c r="P181" s="691">
        <f t="shared" si="75"/>
        <v>5.9056121759232312E-2</v>
      </c>
      <c r="Q181" s="336">
        <f t="shared" si="90"/>
        <v>4.1767920660035927</v>
      </c>
      <c r="R181" s="692">
        <f t="shared" si="76"/>
        <v>9.8853936100206014E-2</v>
      </c>
      <c r="S181" s="329">
        <f t="shared" si="77"/>
        <v>0.99920755819106399</v>
      </c>
      <c r="T181" s="330">
        <f t="shared" si="78"/>
        <v>5.8746799925630179E-2</v>
      </c>
      <c r="U181" s="331">
        <f t="shared" si="79"/>
        <v>4.8554922834246019</v>
      </c>
      <c r="V181" s="332">
        <f t="shared" si="80"/>
        <v>-127.9685344304477</v>
      </c>
      <c r="W181" s="334">
        <f t="shared" si="81"/>
        <v>52.031465569552296</v>
      </c>
      <c r="Y181" s="307">
        <f t="shared" si="82"/>
        <v>1000000000</v>
      </c>
      <c r="Z181" s="307">
        <f t="shared" si="83"/>
        <v>103525537.5625</v>
      </c>
      <c r="AB181" s="333">
        <f t="shared" si="84"/>
        <v>17.820622519551993</v>
      </c>
      <c r="AC181" s="334">
        <f t="shared" si="85"/>
        <v>-41.523978605235691</v>
      </c>
      <c r="AE181" s="333">
        <f t="shared" si="86"/>
        <v>11.477771317653652</v>
      </c>
      <c r="AF181" s="334">
        <f t="shared" si="87"/>
        <v>-84.164309027023464</v>
      </c>
      <c r="AH181">
        <f t="shared" si="88"/>
        <v>0</v>
      </c>
      <c r="AI181">
        <f t="shared" si="93"/>
        <v>0</v>
      </c>
    </row>
    <row r="182" spans="1:35" x14ac:dyDescent="0.25">
      <c r="A182" s="335">
        <v>10233</v>
      </c>
      <c r="B182" s="352">
        <f t="shared" si="89"/>
        <v>10.233000000000001</v>
      </c>
      <c r="C182" s="325">
        <f t="shared" si="62"/>
        <v>6.4567086129496341</v>
      </c>
      <c r="D182" s="326">
        <f t="shared" si="63"/>
        <v>1.4152926965377473</v>
      </c>
      <c r="E182" s="326">
        <f t="shared" si="64"/>
        <v>1.0000090037121951</v>
      </c>
      <c r="F182" s="327">
        <f t="shared" si="65"/>
        <v>4.2434996500513448E-3</v>
      </c>
      <c r="G182" s="326">
        <f t="shared" si="66"/>
        <v>1</v>
      </c>
      <c r="H182" s="327">
        <f t="shared" si="67"/>
        <v>0</v>
      </c>
      <c r="I182" s="325">
        <f t="shared" si="68"/>
        <v>16049.521842507818</v>
      </c>
      <c r="J182" s="328">
        <f t="shared" si="69"/>
        <v>1.5707340196426673</v>
      </c>
      <c r="K182" s="336">
        <f t="shared" si="94"/>
        <v>1.6253806252826504</v>
      </c>
      <c r="L182" s="337">
        <f t="shared" si="95"/>
        <v>0.90810531607184675</v>
      </c>
      <c r="M182" s="325">
        <f t="shared" si="72"/>
        <v>1.0017828972290674</v>
      </c>
      <c r="N182" s="337">
        <f t="shared" si="73"/>
        <v>5.9669964261533134E-2</v>
      </c>
      <c r="O182" s="343">
        <f t="shared" si="74"/>
        <v>1.0017663855443792</v>
      </c>
      <c r="P182" s="691">
        <f t="shared" si="75"/>
        <v>5.939342319294675E-2</v>
      </c>
      <c r="Q182" s="336">
        <f t="shared" si="90"/>
        <v>4.1770237508105561</v>
      </c>
      <c r="R182" s="692">
        <f t="shared" si="76"/>
        <v>9.941620446706291E-2</v>
      </c>
      <c r="S182" s="329">
        <f t="shared" si="77"/>
        <v>0.99919849197543054</v>
      </c>
      <c r="T182" s="330">
        <f t="shared" si="78"/>
        <v>5.908405029094816E-2</v>
      </c>
      <c r="U182" s="331">
        <f t="shared" si="79"/>
        <v>4.7878646411948935</v>
      </c>
      <c r="V182" s="332">
        <f t="shared" si="80"/>
        <v>-127.9102321974558</v>
      </c>
      <c r="W182" s="334">
        <f t="shared" si="81"/>
        <v>52.089767802544202</v>
      </c>
      <c r="Y182" s="307">
        <f t="shared" si="82"/>
        <v>1000000000</v>
      </c>
      <c r="Z182" s="307">
        <f t="shared" si="83"/>
        <v>104714289</v>
      </c>
      <c r="AB182" s="333">
        <f t="shared" si="84"/>
        <v>17.801611749715597</v>
      </c>
      <c r="AC182" s="334">
        <f t="shared" si="85"/>
        <v>-41.384665262004489</v>
      </c>
      <c r="AE182" s="333">
        <f t="shared" si="86"/>
        <v>11.429462516644271</v>
      </c>
      <c r="AF182" s="334">
        <f t="shared" si="87"/>
        <v>-84.23243048144893</v>
      </c>
      <c r="AH182">
        <f t="shared" si="88"/>
        <v>0</v>
      </c>
      <c r="AI182">
        <f t="shared" si="93"/>
        <v>0</v>
      </c>
    </row>
    <row r="183" spans="1:35" x14ac:dyDescent="0.25">
      <c r="A183" s="335">
        <v>10292.5</v>
      </c>
      <c r="B183" s="352">
        <f t="shared" si="89"/>
        <v>10.2925</v>
      </c>
      <c r="C183" s="325">
        <f t="shared" si="62"/>
        <v>6.4933532862445418</v>
      </c>
      <c r="D183" s="326">
        <f t="shared" si="63"/>
        <v>1.4161773492152521</v>
      </c>
      <c r="E183" s="326">
        <f t="shared" si="64"/>
        <v>1.0000091087206793</v>
      </c>
      <c r="F183" s="327">
        <f t="shared" si="65"/>
        <v>4.2681732718256064E-3</v>
      </c>
      <c r="G183" s="326">
        <f t="shared" si="66"/>
        <v>1</v>
      </c>
      <c r="H183" s="327">
        <f t="shared" si="67"/>
        <v>0</v>
      </c>
      <c r="I183" s="325">
        <f t="shared" si="68"/>
        <v>16142.842134302273</v>
      </c>
      <c r="J183" s="328">
        <f t="shared" si="69"/>
        <v>1.5707343798346081</v>
      </c>
      <c r="K183" s="336">
        <f t="shared" si="94"/>
        <v>1.6312605471054513</v>
      </c>
      <c r="L183" s="337">
        <f t="shared" si="95"/>
        <v>0.9109153043030972</v>
      </c>
      <c r="M183" s="325">
        <f t="shared" si="72"/>
        <v>1.0018036721765875</v>
      </c>
      <c r="N183" s="337">
        <f t="shared" si="73"/>
        <v>6.0016086425439423E-2</v>
      </c>
      <c r="O183" s="343">
        <f t="shared" si="74"/>
        <v>1.0017869682633709</v>
      </c>
      <c r="P183" s="691">
        <f t="shared" si="75"/>
        <v>5.9737948885642718E-2</v>
      </c>
      <c r="Q183" s="336">
        <f t="shared" si="90"/>
        <v>4.177261759490321</v>
      </c>
      <c r="R183" s="692">
        <f t="shared" si="76"/>
        <v>9.9990474366875415E-2</v>
      </c>
      <c r="S183" s="329">
        <f t="shared" si="77"/>
        <v>0.99918917855677647</v>
      </c>
      <c r="T183" s="330">
        <f t="shared" si="78"/>
        <v>5.9428554188847328E-2</v>
      </c>
      <c r="U183" s="331">
        <f t="shared" si="79"/>
        <v>4.7193000907359899</v>
      </c>
      <c r="V183" s="332">
        <f t="shared" si="80"/>
        <v>-127.85125887109589</v>
      </c>
      <c r="W183" s="334">
        <f t="shared" si="81"/>
        <v>52.148741128904106</v>
      </c>
      <c r="Y183" s="307">
        <f t="shared" si="82"/>
        <v>1000000000</v>
      </c>
      <c r="Z183" s="307">
        <f t="shared" si="83"/>
        <v>105935556.25</v>
      </c>
      <c r="AB183" s="333">
        <f t="shared" si="84"/>
        <v>17.782438674452795</v>
      </c>
      <c r="AC183" s="334">
        <f t="shared" si="85"/>
        <v>-41.243516772376907</v>
      </c>
      <c r="AE183" s="333">
        <f t="shared" si="86"/>
        <v>11.380387491064873</v>
      </c>
      <c r="AF183" s="334">
        <f t="shared" si="87"/>
        <v>-84.301442271266211</v>
      </c>
      <c r="AH183">
        <f t="shared" si="88"/>
        <v>0</v>
      </c>
      <c r="AI183">
        <f t="shared" si="93"/>
        <v>0</v>
      </c>
    </row>
    <row r="184" spans="1:35" x14ac:dyDescent="0.25">
      <c r="A184" s="335">
        <v>10352</v>
      </c>
      <c r="B184" s="352">
        <f t="shared" si="89"/>
        <v>10.352</v>
      </c>
      <c r="C184" s="325">
        <f t="shared" si="62"/>
        <v>6.5300029842676102</v>
      </c>
      <c r="D184" s="326">
        <f t="shared" si="63"/>
        <v>1.4170520723293831</v>
      </c>
      <c r="E184" s="326">
        <f t="shared" si="64"/>
        <v>1.0000092143379564</v>
      </c>
      <c r="F184" s="327">
        <f t="shared" si="65"/>
        <v>4.2928468884030164E-3</v>
      </c>
      <c r="G184" s="326">
        <f t="shared" si="66"/>
        <v>1</v>
      </c>
      <c r="H184" s="327">
        <f t="shared" si="67"/>
        <v>0</v>
      </c>
      <c r="I184" s="325">
        <f t="shared" si="68"/>
        <v>16236.162426098797</v>
      </c>
      <c r="J184" s="328">
        <f t="shared" si="69"/>
        <v>1.5707347358860113</v>
      </c>
      <c r="K184" s="336">
        <f t="shared" si="94"/>
        <v>1.6371532568357847</v>
      </c>
      <c r="L184" s="337">
        <f t="shared" si="95"/>
        <v>0.91370508609239731</v>
      </c>
      <c r="M184" s="325">
        <f t="shared" si="72"/>
        <v>1.0018245671357549</v>
      </c>
      <c r="N184" s="337">
        <f t="shared" si="73"/>
        <v>6.0362194192734454E-2</v>
      </c>
      <c r="O184" s="343">
        <f t="shared" si="74"/>
        <v>1.0018076698875304</v>
      </c>
      <c r="P184" s="691">
        <f t="shared" si="75"/>
        <v>6.0082460380486244E-2</v>
      </c>
      <c r="Q184" s="336">
        <f t="shared" si="90"/>
        <v>4.1775011343874597</v>
      </c>
      <c r="R184" s="692">
        <f t="shared" si="76"/>
        <v>0.10056467891168827</v>
      </c>
      <c r="S184" s="329">
        <f t="shared" si="77"/>
        <v>0.99917981194393124</v>
      </c>
      <c r="T184" s="330">
        <f t="shared" si="78"/>
        <v>5.9773074756830295E-2</v>
      </c>
      <c r="U184" s="331">
        <f t="shared" si="79"/>
        <v>4.6512484076126102</v>
      </c>
      <c r="V184" s="332">
        <f t="shared" si="80"/>
        <v>-127.79287132873986</v>
      </c>
      <c r="W184" s="334">
        <f t="shared" si="81"/>
        <v>52.207128671260136</v>
      </c>
      <c r="Y184" s="307">
        <f t="shared" si="82"/>
        <v>1000000000</v>
      </c>
      <c r="Z184" s="307">
        <f t="shared" si="83"/>
        <v>107163904</v>
      </c>
      <c r="AB184" s="333">
        <f t="shared" si="84"/>
        <v>17.763509833338411</v>
      </c>
      <c r="AC184" s="334">
        <f t="shared" si="85"/>
        <v>-41.103524964492991</v>
      </c>
      <c r="AE184" s="333">
        <f t="shared" si="86"/>
        <v>11.331582883856905</v>
      </c>
      <c r="AF184" s="334">
        <f t="shared" si="87"/>
        <v>-84.369886094432346</v>
      </c>
      <c r="AH184">
        <f t="shared" si="88"/>
        <v>0</v>
      </c>
      <c r="AI184">
        <f t="shared" si="93"/>
        <v>0</v>
      </c>
    </row>
    <row r="185" spans="1:35" x14ac:dyDescent="0.25">
      <c r="A185" s="335">
        <v>10411.5</v>
      </c>
      <c r="B185" s="352">
        <f t="shared" si="89"/>
        <v>10.4115</v>
      </c>
      <c r="C185" s="325">
        <f t="shared" si="62"/>
        <v>6.5666576228871065</v>
      </c>
      <c r="D185" s="326">
        <f t="shared" si="63"/>
        <v>1.417917030808689</v>
      </c>
      <c r="E185" s="326">
        <f t="shared" si="64"/>
        <v>1.0000093205640264</v>
      </c>
      <c r="F185" s="327">
        <f t="shared" si="65"/>
        <v>4.3175204997535337E-3</v>
      </c>
      <c r="G185" s="326">
        <f t="shared" si="66"/>
        <v>1</v>
      </c>
      <c r="H185" s="327">
        <f t="shared" si="67"/>
        <v>0</v>
      </c>
      <c r="I185" s="325">
        <f t="shared" si="68"/>
        <v>16329.482717897357</v>
      </c>
      <c r="J185" s="328">
        <f t="shared" si="69"/>
        <v>1.570735087867865</v>
      </c>
      <c r="K185" s="336">
        <f t="shared" si="94"/>
        <v>1.6430586168849666</v>
      </c>
      <c r="L185" s="337">
        <f t="shared" si="95"/>
        <v>0.9164748356537824</v>
      </c>
      <c r="M185" s="325">
        <f t="shared" si="72"/>
        <v>1.0018455820990604</v>
      </c>
      <c r="N185" s="337">
        <f t="shared" si="73"/>
        <v>6.0708287481400704E-2</v>
      </c>
      <c r="O185" s="343">
        <f t="shared" si="74"/>
        <v>1.001828490409487</v>
      </c>
      <c r="P185" s="691">
        <f t="shared" si="75"/>
        <v>6.0426957596581121E-2</v>
      </c>
      <c r="Q185" s="336">
        <f t="shared" si="90"/>
        <v>4.1777418752671469</v>
      </c>
      <c r="R185" s="692">
        <f t="shared" si="76"/>
        <v>0.1011388177387548</v>
      </c>
      <c r="S185" s="329">
        <f t="shared" si="77"/>
        <v>0.99917039215082437</v>
      </c>
      <c r="T185" s="330">
        <f t="shared" si="78"/>
        <v>6.011761209127707E-2</v>
      </c>
      <c r="U185" s="331">
        <f t="shared" si="79"/>
        <v>4.5837027442949134</v>
      </c>
      <c r="V185" s="332">
        <f t="shared" si="80"/>
        <v>-127.73506902711161</v>
      </c>
      <c r="W185" s="334">
        <f t="shared" si="81"/>
        <v>52.264930972888394</v>
      </c>
      <c r="Y185" s="307">
        <f t="shared" si="82"/>
        <v>1000000000</v>
      </c>
      <c r="Z185" s="307">
        <f t="shared" si="83"/>
        <v>108399332.25</v>
      </c>
      <c r="AB185" s="333">
        <f t="shared" si="84"/>
        <v>17.744821251043973</v>
      </c>
      <c r="AC185" s="334">
        <f t="shared" si="85"/>
        <v>-40.964679855991825</v>
      </c>
      <c r="AE185" s="333">
        <f t="shared" si="86"/>
        <v>11.283045821973372</v>
      </c>
      <c r="AF185" s="334">
        <f t="shared" si="87"/>
        <v>-84.437771406180943</v>
      </c>
      <c r="AH185">
        <f t="shared" si="88"/>
        <v>0</v>
      </c>
      <c r="AI185">
        <f t="shared" si="93"/>
        <v>0</v>
      </c>
    </row>
    <row r="186" spans="1:35" x14ac:dyDescent="0.25">
      <c r="A186" s="335">
        <v>10471</v>
      </c>
      <c r="B186" s="352">
        <f t="shared" si="89"/>
        <v>10.471</v>
      </c>
      <c r="C186" s="325">
        <f t="shared" si="62"/>
        <v>6.603317119828116</v>
      </c>
      <c r="D186" s="326">
        <f t="shared" si="63"/>
        <v>1.4187723859783845</v>
      </c>
      <c r="E186" s="326">
        <f t="shared" si="64"/>
        <v>1.0000094273988891</v>
      </c>
      <c r="F186" s="327">
        <f t="shared" si="65"/>
        <v>4.3421941058471164E-3</v>
      </c>
      <c r="G186" s="326">
        <f t="shared" si="66"/>
        <v>1</v>
      </c>
      <c r="H186" s="327">
        <f t="shared" si="67"/>
        <v>0</v>
      </c>
      <c r="I186" s="325">
        <f t="shared" si="68"/>
        <v>16422.80300969792</v>
      </c>
      <c r="J186" s="328">
        <f t="shared" si="69"/>
        <v>1.5707354358495429</v>
      </c>
      <c r="K186" s="336">
        <f t="shared" si="94"/>
        <v>1.6489764913419918</v>
      </c>
      <c r="L186" s="337">
        <f t="shared" si="95"/>
        <v>0.91922472593785087</v>
      </c>
      <c r="M186" s="325">
        <f t="shared" si="72"/>
        <v>1.0018667170589526</v>
      </c>
      <c r="N186" s="337">
        <f t="shared" si="73"/>
        <v>6.1054366209441401E-2</v>
      </c>
      <c r="O186" s="343">
        <f t="shared" si="74"/>
        <v>1.0018494298218277</v>
      </c>
      <c r="P186" s="691">
        <f t="shared" si="75"/>
        <v>6.0771440453051433E-2</v>
      </c>
      <c r="Q186" s="336">
        <f t="shared" si="90"/>
        <v>4.1779839818932674</v>
      </c>
      <c r="R186" s="692">
        <f t="shared" si="76"/>
        <v>0.10171289048558367</v>
      </c>
      <c r="S186" s="329">
        <f t="shared" si="77"/>
        <v>0.9991609191914671</v>
      </c>
      <c r="T186" s="330">
        <f t="shared" si="78"/>
        <v>6.046216628856773E-2</v>
      </c>
      <c r="U186" s="331">
        <f t="shared" si="79"/>
        <v>4.5166563739216699</v>
      </c>
      <c r="V186" s="332">
        <f t="shared" si="80"/>
        <v>-127.67785128879092</v>
      </c>
      <c r="W186" s="334">
        <f t="shared" si="81"/>
        <v>52.322148711209081</v>
      </c>
      <c r="Y186" s="307">
        <f t="shared" si="82"/>
        <v>1000000000</v>
      </c>
      <c r="Z186" s="307">
        <f t="shared" si="83"/>
        <v>109641841</v>
      </c>
      <c r="AB186" s="333">
        <f t="shared" si="84"/>
        <v>17.726369028599258</v>
      </c>
      <c r="AC186" s="334">
        <f t="shared" si="85"/>
        <v>-40.826971536810795</v>
      </c>
      <c r="AE186" s="333">
        <f t="shared" si="86"/>
        <v>11.234773476673102</v>
      </c>
      <c r="AF186" s="334">
        <f t="shared" si="87"/>
        <v>-84.505107455289888</v>
      </c>
      <c r="AH186">
        <f t="shared" si="88"/>
        <v>0</v>
      </c>
      <c r="AI186">
        <f t="shared" si="93"/>
        <v>0</v>
      </c>
    </row>
    <row r="187" spans="1:35" x14ac:dyDescent="0.25">
      <c r="A187" s="335">
        <v>10532</v>
      </c>
      <c r="B187" s="352">
        <f t="shared" si="89"/>
        <v>10.532</v>
      </c>
      <c r="C187" s="325">
        <f t="shared" si="62"/>
        <v>6.6409057651234695</v>
      </c>
      <c r="D187" s="326">
        <f t="shared" si="63"/>
        <v>1.4196395004033218</v>
      </c>
      <c r="E187" s="326">
        <f t="shared" si="64"/>
        <v>1.000009537559075</v>
      </c>
      <c r="F187" s="327">
        <f t="shared" si="65"/>
        <v>4.3674897301348888E-3</v>
      </c>
      <c r="G187" s="326">
        <f t="shared" si="66"/>
        <v>1</v>
      </c>
      <c r="H187" s="327">
        <f t="shared" si="67"/>
        <v>0</v>
      </c>
      <c r="I187" s="325">
        <f t="shared" si="68"/>
        <v>16518.475913898852</v>
      </c>
      <c r="J187" s="328">
        <f t="shared" si="69"/>
        <v>1.5707357885221271</v>
      </c>
      <c r="K187" s="336">
        <f t="shared" si="94"/>
        <v>1.6550564069971463</v>
      </c>
      <c r="L187" s="337">
        <f t="shared" si="95"/>
        <v>0.92202350433471481</v>
      </c>
      <c r="M187" s="325">
        <f t="shared" si="72"/>
        <v>1.0018885093974141</v>
      </c>
      <c r="N187" s="337">
        <f t="shared" si="73"/>
        <v>6.140915440961691E-2</v>
      </c>
      <c r="O187" s="343">
        <f t="shared" si="74"/>
        <v>1.0018710205347281</v>
      </c>
      <c r="P187" s="691">
        <f t="shared" si="75"/>
        <v>6.1124592759438774E-2</v>
      </c>
      <c r="Q187" s="336">
        <f t="shared" si="90"/>
        <v>4.1782336096255541</v>
      </c>
      <c r="R187" s="692">
        <f t="shared" si="76"/>
        <v>0.10230136667532656</v>
      </c>
      <c r="S187" s="329">
        <f t="shared" si="77"/>
        <v>0.99915115223912732</v>
      </c>
      <c r="T187" s="330">
        <f t="shared" si="78"/>
        <v>6.0815424332895565E-2</v>
      </c>
      <c r="U187" s="331">
        <f t="shared" si="79"/>
        <v>4.4484311736941162</v>
      </c>
      <c r="V187" s="332">
        <f t="shared" si="80"/>
        <v>-127.6197970966796</v>
      </c>
      <c r="W187" s="334">
        <f t="shared" si="81"/>
        <v>52.380202903320395</v>
      </c>
      <c r="Y187" s="307">
        <f t="shared" si="82"/>
        <v>1000000000</v>
      </c>
      <c r="Z187" s="307">
        <f t="shared" si="83"/>
        <v>110923024</v>
      </c>
      <c r="AB187" s="333">
        <f t="shared" si="84"/>
        <v>17.707692994001384</v>
      </c>
      <c r="AC187" s="334">
        <f t="shared" si="85"/>
        <v>-40.686961419859841</v>
      </c>
      <c r="AE187" s="333">
        <f t="shared" si="86"/>
        <v>11.185556076946376</v>
      </c>
      <c r="AF187" s="334">
        <f t="shared" si="87"/>
        <v>-84.573580314779136</v>
      </c>
      <c r="AH187">
        <f t="shared" si="88"/>
        <v>0</v>
      </c>
      <c r="AI187">
        <f t="shared" si="93"/>
        <v>0</v>
      </c>
    </row>
    <row r="188" spans="1:35" x14ac:dyDescent="0.25">
      <c r="A188" s="335">
        <v>10593</v>
      </c>
      <c r="B188" s="352">
        <f t="shared" si="89"/>
        <v>10.593</v>
      </c>
      <c r="C188" s="325">
        <f t="shared" si="62"/>
        <v>6.6784993474235108</v>
      </c>
      <c r="D188" s="326">
        <f t="shared" si="63"/>
        <v>1.4204968534122999</v>
      </c>
      <c r="E188" s="326">
        <f t="shared" si="64"/>
        <v>1.0000096483591356</v>
      </c>
      <c r="F188" s="327">
        <f t="shared" si="65"/>
        <v>4.3927853488333864E-3</v>
      </c>
      <c r="G188" s="326">
        <f t="shared" si="66"/>
        <v>1</v>
      </c>
      <c r="H188" s="327">
        <f t="shared" si="67"/>
        <v>0</v>
      </c>
      <c r="I188" s="325">
        <f t="shared" si="68"/>
        <v>16614.148818101818</v>
      </c>
      <c r="J188" s="328">
        <f t="shared" si="69"/>
        <v>1.5707361371329673</v>
      </c>
      <c r="K188" s="336">
        <f t="shared" si="94"/>
        <v>1.6611491920152588</v>
      </c>
      <c r="L188" s="337">
        <f t="shared" si="95"/>
        <v>0.92480177356851279</v>
      </c>
      <c r="M188" s="325">
        <f t="shared" si="72"/>
        <v>1.0019104278427629</v>
      </c>
      <c r="N188" s="337">
        <f t="shared" si="73"/>
        <v>6.1763927131292015E-2</v>
      </c>
      <c r="O188" s="343">
        <f t="shared" si="74"/>
        <v>1.0018927361921328</v>
      </c>
      <c r="P188" s="691">
        <f t="shared" si="75"/>
        <v>6.1477729800973269E-2</v>
      </c>
      <c r="Q188" s="336">
        <f t="shared" si="90"/>
        <v>4.1784846723267046</v>
      </c>
      <c r="R188" s="692">
        <f t="shared" si="76"/>
        <v>0.10288977264028441</v>
      </c>
      <c r="S188" s="329">
        <f t="shared" si="77"/>
        <v>0.99914132943618084</v>
      </c>
      <c r="T188" s="330">
        <f t="shared" si="78"/>
        <v>6.1168700306167757E-2</v>
      </c>
      <c r="U188" s="331">
        <f t="shared" si="79"/>
        <v>4.3807168173354594</v>
      </c>
      <c r="V188" s="332">
        <f t="shared" si="80"/>
        <v>-127.56235546414476</v>
      </c>
      <c r="W188" s="334">
        <f t="shared" si="81"/>
        <v>52.437644535855242</v>
      </c>
      <c r="Y188" s="307">
        <f t="shared" si="82"/>
        <v>1000000000</v>
      </c>
      <c r="Z188" s="307">
        <f t="shared" si="83"/>
        <v>112211649</v>
      </c>
      <c r="AB188" s="333">
        <f t="shared" si="84"/>
        <v>17.689257326317925</v>
      </c>
      <c r="AC188" s="334">
        <f t="shared" si="85"/>
        <v>-40.548125271821718</v>
      </c>
      <c r="AE188" s="333">
        <f t="shared" si="86"/>
        <v>11.13661102689578</v>
      </c>
      <c r="AF188" s="334">
        <f t="shared" si="87"/>
        <v>-84.641494913904296</v>
      </c>
      <c r="AH188">
        <f t="shared" si="88"/>
        <v>0</v>
      </c>
      <c r="AI188">
        <f t="shared" si="93"/>
        <v>0</v>
      </c>
    </row>
    <row r="189" spans="1:35" x14ac:dyDescent="0.25">
      <c r="A189" s="335">
        <v>10654</v>
      </c>
      <c r="B189" s="352">
        <f t="shared" si="89"/>
        <v>10.654</v>
      </c>
      <c r="C189" s="325">
        <f t="shared" si="62"/>
        <v>6.7160977838230922</v>
      </c>
      <c r="D189" s="326">
        <f t="shared" si="63"/>
        <v>1.4213446076749394</v>
      </c>
      <c r="E189" s="326">
        <f t="shared" si="64"/>
        <v>1.0000097597990705</v>
      </c>
      <c r="F189" s="327">
        <f t="shared" si="65"/>
        <v>4.4180809619102429E-3</v>
      </c>
      <c r="G189" s="326">
        <f t="shared" si="66"/>
        <v>1</v>
      </c>
      <c r="H189" s="327">
        <f t="shared" si="67"/>
        <v>0</v>
      </c>
      <c r="I189" s="325">
        <f t="shared" si="68"/>
        <v>16709.821722306777</v>
      </c>
      <c r="J189" s="328">
        <f t="shared" si="69"/>
        <v>1.5707364817518306</v>
      </c>
      <c r="K189" s="336">
        <f t="shared" si="94"/>
        <v>1.6672547053076434</v>
      </c>
      <c r="L189" s="337">
        <f t="shared" si="95"/>
        <v>0.92755971582825258</v>
      </c>
      <c r="M189" s="325">
        <f t="shared" si="72"/>
        <v>1.0019324723867227</v>
      </c>
      <c r="N189" s="337">
        <f t="shared" si="73"/>
        <v>6.2118684286179483E-2</v>
      </c>
      <c r="O189" s="343">
        <f t="shared" si="74"/>
        <v>1.0019145767859177</v>
      </c>
      <c r="P189" s="691">
        <f t="shared" si="75"/>
        <v>6.1830851490573893E-2</v>
      </c>
      <c r="Q189" s="336">
        <f t="shared" si="90"/>
        <v>4.1787371697380937</v>
      </c>
      <c r="R189" s="692">
        <f t="shared" si="76"/>
        <v>0.10347810799069788</v>
      </c>
      <c r="S189" s="329">
        <f t="shared" si="77"/>
        <v>0.99913145079799037</v>
      </c>
      <c r="T189" s="330">
        <f t="shared" si="78"/>
        <v>6.1521994312239342E-2</v>
      </c>
      <c r="U189" s="331">
        <f t="shared" si="79"/>
        <v>4.313506434613906</v>
      </c>
      <c r="V189" s="332">
        <f t="shared" si="80"/>
        <v>-127.50552526035699</v>
      </c>
      <c r="W189" s="334">
        <f t="shared" si="81"/>
        <v>52.49447473964301</v>
      </c>
      <c r="Y189" s="307">
        <f t="shared" si="82"/>
        <v>1000000000</v>
      </c>
      <c r="Z189" s="307">
        <f t="shared" si="83"/>
        <v>113507716</v>
      </c>
      <c r="AB189" s="333">
        <f t="shared" si="84"/>
        <v>17.671058063172779</v>
      </c>
      <c r="AC189" s="334">
        <f t="shared" si="85"/>
        <v>-40.410452652974058</v>
      </c>
      <c r="AE189" s="333">
        <f t="shared" si="86"/>
        <v>11.087935417734796</v>
      </c>
      <c r="AF189" s="334">
        <f t="shared" si="87"/>
        <v>-84.708860578900413</v>
      </c>
      <c r="AH189">
        <f t="shared" si="88"/>
        <v>0</v>
      </c>
      <c r="AI189">
        <f t="shared" si="93"/>
        <v>0</v>
      </c>
    </row>
    <row r="190" spans="1:35" x14ac:dyDescent="0.25">
      <c r="A190" s="335">
        <v>10715</v>
      </c>
      <c r="B190" s="352">
        <f t="shared" si="89"/>
        <v>10.715</v>
      </c>
      <c r="C190" s="325">
        <f t="shared" si="62"/>
        <v>6.7537009932526431</v>
      </c>
      <c r="D190" s="326">
        <f t="shared" si="63"/>
        <v>1.4221829222939091</v>
      </c>
      <c r="E190" s="326">
        <f t="shared" si="64"/>
        <v>1.0000098718788795</v>
      </c>
      <c r="F190" s="327">
        <f t="shared" si="65"/>
        <v>4.4433765693330848E-3</v>
      </c>
      <c r="G190" s="326">
        <f t="shared" si="66"/>
        <v>1</v>
      </c>
      <c r="H190" s="327">
        <f t="shared" si="67"/>
        <v>0</v>
      </c>
      <c r="I190" s="325">
        <f t="shared" si="68"/>
        <v>16805.4946265137</v>
      </c>
      <c r="J190" s="328">
        <f t="shared" si="69"/>
        <v>1.5707368224468954</v>
      </c>
      <c r="K190" s="336">
        <f t="shared" si="94"/>
        <v>1.6733728075521279</v>
      </c>
      <c r="L190" s="337">
        <f t="shared" si="95"/>
        <v>0.93029751188372534</v>
      </c>
      <c r="M190" s="325">
        <f t="shared" si="72"/>
        <v>1.00195464302097</v>
      </c>
      <c r="N190" s="337">
        <f t="shared" si="73"/>
        <v>6.2473425786015502E-2</v>
      </c>
      <c r="O190" s="343">
        <f t="shared" si="74"/>
        <v>1.0019365423079123</v>
      </c>
      <c r="P190" s="691">
        <f t="shared" si="75"/>
        <v>6.2183957741182516E-2</v>
      </c>
      <c r="Q190" s="336">
        <f t="shared" si="90"/>
        <v>4.1789911015996797</v>
      </c>
      <c r="R190" s="692">
        <f t="shared" si="76"/>
        <v>0.10406637233709554</v>
      </c>
      <c r="S190" s="329">
        <f t="shared" si="77"/>
        <v>0.9991215163400079</v>
      </c>
      <c r="T190" s="330">
        <f t="shared" si="78"/>
        <v>6.1875306454965466E-2</v>
      </c>
      <c r="U190" s="331">
        <f t="shared" si="79"/>
        <v>4.2467932775531256</v>
      </c>
      <c r="V190" s="332">
        <f t="shared" si="80"/>
        <v>-127.44930523135618</v>
      </c>
      <c r="W190" s="334">
        <f t="shared" si="81"/>
        <v>52.550694768643822</v>
      </c>
      <c r="Y190" s="307">
        <f t="shared" si="82"/>
        <v>1000000000</v>
      </c>
      <c r="Z190" s="307">
        <f t="shared" si="83"/>
        <v>114811225</v>
      </c>
      <c r="AB190" s="333">
        <f t="shared" si="84"/>
        <v>17.653091319273873</v>
      </c>
      <c r="AC190" s="334">
        <f t="shared" si="85"/>
        <v>-40.273933204819983</v>
      </c>
      <c r="AE190" s="333">
        <f t="shared" si="86"/>
        <v>11.039526385843368</v>
      </c>
      <c r="AF190" s="334">
        <f t="shared" si="87"/>
        <v>-84.775686431631243</v>
      </c>
      <c r="AH190">
        <f t="shared" si="88"/>
        <v>0</v>
      </c>
      <c r="AI190">
        <f t="shared" si="93"/>
        <v>0</v>
      </c>
    </row>
    <row r="191" spans="1:35" x14ac:dyDescent="0.25">
      <c r="A191" s="335">
        <v>10777.5</v>
      </c>
      <c r="B191" s="352">
        <f t="shared" si="89"/>
        <v>10.7775</v>
      </c>
      <c r="C191" s="325">
        <f t="shared" si="62"/>
        <v>6.7922337393985073</v>
      </c>
      <c r="D191" s="326">
        <f t="shared" si="63"/>
        <v>1.4230322232466446</v>
      </c>
      <c r="E191" s="326">
        <f t="shared" si="64"/>
        <v>1.0000099873784187</v>
      </c>
      <c r="F191" s="327">
        <f t="shared" si="65"/>
        <v>4.4692941939911534E-3</v>
      </c>
      <c r="G191" s="326">
        <f t="shared" si="66"/>
        <v>1</v>
      </c>
      <c r="H191" s="327">
        <f t="shared" si="67"/>
        <v>0</v>
      </c>
      <c r="I191" s="325">
        <f t="shared" si="68"/>
        <v>16903.520143121154</v>
      </c>
      <c r="J191" s="328">
        <f t="shared" si="69"/>
        <v>1.5707371675196617</v>
      </c>
      <c r="K191" s="336">
        <f t="shared" si="94"/>
        <v>1.6796542681866427</v>
      </c>
      <c r="L191" s="337">
        <f t="shared" si="95"/>
        <v>0.93308192293170289</v>
      </c>
      <c r="M191" s="325">
        <f t="shared" si="72"/>
        <v>1.0019774896052767</v>
      </c>
      <c r="N191" s="337">
        <f t="shared" si="73"/>
        <v>6.2836874107990118E-2</v>
      </c>
      <c r="O191" s="343">
        <f t="shared" si="74"/>
        <v>1.0019591775310901</v>
      </c>
      <c r="P191" s="691">
        <f t="shared" si="75"/>
        <v>6.2545730828237542E-2</v>
      </c>
      <c r="Q191" s="336">
        <f t="shared" si="90"/>
        <v>4.1792527652078961</v>
      </c>
      <c r="R191" s="692">
        <f t="shared" si="76"/>
        <v>0.10466902814876256</v>
      </c>
      <c r="S191" s="329">
        <f t="shared" si="77"/>
        <v>0.99911127971273206</v>
      </c>
      <c r="T191" s="330">
        <f t="shared" si="78"/>
        <v>6.2237325520914447E-2</v>
      </c>
      <c r="U191" s="331">
        <f t="shared" si="79"/>
        <v>4.1789484188718253</v>
      </c>
      <c r="V191" s="332">
        <f t="shared" si="80"/>
        <v>-127.3923341736261</v>
      </c>
      <c r="W191" s="334">
        <f t="shared" si="81"/>
        <v>52.607665826373903</v>
      </c>
      <c r="Y191" s="307">
        <f t="shared" si="82"/>
        <v>1000000000</v>
      </c>
      <c r="Z191" s="307">
        <f t="shared" si="83"/>
        <v>116154506.25</v>
      </c>
      <c r="AB191" s="333">
        <f t="shared" si="84"/>
        <v>17.634919952742926</v>
      </c>
      <c r="AC191" s="334">
        <f t="shared" si="85"/>
        <v>-40.135242029316181</v>
      </c>
      <c r="AE191" s="333">
        <f t="shared" si="86"/>
        <v>10.990200510668055</v>
      </c>
      <c r="AF191" s="334">
        <f t="shared" si="87"/>
        <v>-84.84360498591127</v>
      </c>
      <c r="AH191">
        <f t="shared" si="88"/>
        <v>0</v>
      </c>
      <c r="AI191">
        <f t="shared" si="93"/>
        <v>0</v>
      </c>
    </row>
    <row r="192" spans="1:35" x14ac:dyDescent="0.25">
      <c r="A192" s="335">
        <v>10840</v>
      </c>
      <c r="B192" s="352">
        <f t="shared" si="89"/>
        <v>10.84</v>
      </c>
      <c r="C192" s="325">
        <f t="shared" si="62"/>
        <v>6.8307713295881065</v>
      </c>
      <c r="D192" s="326">
        <f t="shared" si="63"/>
        <v>1.4238719416907009</v>
      </c>
      <c r="E192" s="326">
        <f t="shared" si="64"/>
        <v>1.0000101035496876</v>
      </c>
      <c r="F192" s="327">
        <f t="shared" si="65"/>
        <v>4.4952118126449277E-3</v>
      </c>
      <c r="G192" s="326">
        <f t="shared" si="66"/>
        <v>1</v>
      </c>
      <c r="H192" s="327">
        <f t="shared" si="67"/>
        <v>0</v>
      </c>
      <c r="I192" s="325">
        <f t="shared" si="68"/>
        <v>17001.545659730597</v>
      </c>
      <c r="J192" s="328">
        <f t="shared" si="69"/>
        <v>1.5707375086132682</v>
      </c>
      <c r="K192" s="336">
        <f t="shared" si="94"/>
        <v>1.6859486539934823</v>
      </c>
      <c r="L192" s="337">
        <f t="shared" si="95"/>
        <v>0.93584556441758882</v>
      </c>
      <c r="M192" s="325">
        <f t="shared" si="72"/>
        <v>1.0020004685394357</v>
      </c>
      <c r="N192" s="337">
        <f t="shared" si="73"/>
        <v>6.3200305808007923E-2</v>
      </c>
      <c r="O192" s="343">
        <f t="shared" si="74"/>
        <v>1.0019819438845161</v>
      </c>
      <c r="P192" s="691">
        <f t="shared" si="75"/>
        <v>6.2907487522712482E-2</v>
      </c>
      <c r="Q192" s="336">
        <f t="shared" si="90"/>
        <v>4.1795159341231818</v>
      </c>
      <c r="R192" s="692">
        <f t="shared" si="76"/>
        <v>0.10527160859463489</v>
      </c>
      <c r="S192" s="329">
        <f t="shared" si="77"/>
        <v>0.99910098451980545</v>
      </c>
      <c r="T192" s="330">
        <f t="shared" si="78"/>
        <v>6.2599363847183828E-2</v>
      </c>
      <c r="U192" s="331">
        <f t="shared" si="79"/>
        <v>4.1116115803951132</v>
      </c>
      <c r="V192" s="332">
        <f t="shared" si="80"/>
        <v>-127.33600063144814</v>
      </c>
      <c r="W192" s="334">
        <f t="shared" si="81"/>
        <v>52.663999368551856</v>
      </c>
      <c r="Y192" s="307">
        <f t="shared" si="82"/>
        <v>1000000000</v>
      </c>
      <c r="Z192" s="307">
        <f t="shared" si="83"/>
        <v>117505600</v>
      </c>
      <c r="AB192" s="333">
        <f t="shared" si="84"/>
        <v>17.616984664380436</v>
      </c>
      <c r="AC192" s="334">
        <f t="shared" si="85"/>
        <v>-39.997739681706889</v>
      </c>
      <c r="AE192" s="333">
        <f t="shared" si="86"/>
        <v>10.94114853951956</v>
      </c>
      <c r="AF192" s="334">
        <f t="shared" si="87"/>
        <v>-84.910975606765291</v>
      </c>
      <c r="AH192">
        <f t="shared" si="88"/>
        <v>0</v>
      </c>
      <c r="AI192">
        <f t="shared" si="93"/>
        <v>0</v>
      </c>
    </row>
    <row r="193" spans="1:35" x14ac:dyDescent="0.25">
      <c r="A193" s="335">
        <v>10902.5</v>
      </c>
      <c r="B193" s="352">
        <f t="shared" si="89"/>
        <v>10.9025</v>
      </c>
      <c r="C193" s="325">
        <f t="shared" si="62"/>
        <v>6.8693136822946173</v>
      </c>
      <c r="D193" s="326">
        <f t="shared" si="63"/>
        <v>1.4247022377284344</v>
      </c>
      <c r="E193" s="326">
        <f t="shared" si="64"/>
        <v>1.0000102203926864</v>
      </c>
      <c r="F193" s="327">
        <f t="shared" si="65"/>
        <v>4.5211294252595867E-3</v>
      </c>
      <c r="G193" s="326">
        <f t="shared" si="66"/>
        <v>1</v>
      </c>
      <c r="H193" s="327">
        <f t="shared" si="67"/>
        <v>0</v>
      </c>
      <c r="I193" s="325">
        <f t="shared" si="68"/>
        <v>17099.571176341997</v>
      </c>
      <c r="J193" s="328">
        <f t="shared" si="69"/>
        <v>1.5707378457961478</v>
      </c>
      <c r="K193" s="336">
        <f t="shared" si="94"/>
        <v>1.6922558207461951</v>
      </c>
      <c r="L193" s="337">
        <f t="shared" si="95"/>
        <v>0.93858862611837979</v>
      </c>
      <c r="M193" s="325">
        <f t="shared" si="72"/>
        <v>1.0020235798143424</v>
      </c>
      <c r="N193" s="337">
        <f t="shared" si="73"/>
        <v>6.3563720791209768E-2</v>
      </c>
      <c r="O193" s="343">
        <f t="shared" si="74"/>
        <v>1.0020048413592524</v>
      </c>
      <c r="P193" s="691">
        <f t="shared" si="75"/>
        <v>6.3269227731043279E-2</v>
      </c>
      <c r="Q193" s="336">
        <f t="shared" si="90"/>
        <v>4.1797806080612236</v>
      </c>
      <c r="R193" s="692">
        <f t="shared" si="76"/>
        <v>0.1058741132567473</v>
      </c>
      <c r="S193" s="329">
        <f t="shared" si="77"/>
        <v>0.99909063077814042</v>
      </c>
      <c r="T193" s="330">
        <f t="shared" si="78"/>
        <v>6.2961421545480525E-2</v>
      </c>
      <c r="U193" s="331">
        <f t="shared" si="79"/>
        <v>4.044775886313972</v>
      </c>
      <c r="V193" s="332">
        <f t="shared" si="80"/>
        <v>-127.28030289089214</v>
      </c>
      <c r="W193" s="334">
        <f t="shared" si="81"/>
        <v>52.719697109107855</v>
      </c>
      <c r="Y193" s="307">
        <f t="shared" si="82"/>
        <v>1000000000</v>
      </c>
      <c r="Z193" s="307">
        <f t="shared" si="83"/>
        <v>118864506.25</v>
      </c>
      <c r="AB193" s="333">
        <f t="shared" si="84"/>
        <v>17.599281515775338</v>
      </c>
      <c r="AC193" s="334">
        <f t="shared" si="85"/>
        <v>-39.861415287057028</v>
      </c>
      <c r="AE193" s="333">
        <f t="shared" si="86"/>
        <v>10.892367533977234</v>
      </c>
      <c r="AF193" s="334">
        <f t="shared" si="87"/>
        <v>-84.977807473784964</v>
      </c>
      <c r="AH193">
        <f t="shared" si="88"/>
        <v>0</v>
      </c>
      <c r="AI193">
        <f t="shared" si="93"/>
        <v>0</v>
      </c>
    </row>
    <row r="194" spans="1:35" x14ac:dyDescent="0.25">
      <c r="A194" s="335">
        <v>10965</v>
      </c>
      <c r="B194" s="352">
        <f t="shared" si="89"/>
        <v>10.965</v>
      </c>
      <c r="C194" s="325">
        <f t="shared" si="62"/>
        <v>6.9078607178007667</v>
      </c>
      <c r="D194" s="326">
        <f t="shared" si="63"/>
        <v>1.4255232679412384</v>
      </c>
      <c r="E194" s="326">
        <f t="shared" si="64"/>
        <v>1.0000103379074141</v>
      </c>
      <c r="F194" s="327">
        <f t="shared" si="65"/>
        <v>4.5470470318003178E-3</v>
      </c>
      <c r="G194" s="326">
        <f t="shared" si="66"/>
        <v>1</v>
      </c>
      <c r="H194" s="327">
        <f t="shared" si="67"/>
        <v>0</v>
      </c>
      <c r="I194" s="325">
        <f t="shared" si="68"/>
        <v>17197.596692955314</v>
      </c>
      <c r="J194" s="328">
        <f t="shared" si="69"/>
        <v>1.5707381791351731</v>
      </c>
      <c r="K194" s="336">
        <f t="shared" si="94"/>
        <v>1.6985756260698066</v>
      </c>
      <c r="L194" s="337">
        <f t="shared" si="95"/>
        <v>0.94131129623408327</v>
      </c>
      <c r="M194" s="325">
        <f t="shared" si="72"/>
        <v>1.0020468234208393</v>
      </c>
      <c r="N194" s="337">
        <f t="shared" si="73"/>
        <v>6.3927118962762902E-2</v>
      </c>
      <c r="O194" s="343">
        <f t="shared" si="74"/>
        <v>1.0020278699463101</v>
      </c>
      <c r="P194" s="691">
        <f t="shared" si="75"/>
        <v>6.3630951359691629E-2</v>
      </c>
      <c r="Q194" s="336">
        <f t="shared" si="90"/>
        <v>4.1800467867361535</v>
      </c>
      <c r="R194" s="692">
        <f t="shared" si="76"/>
        <v>0.10647654171745845</v>
      </c>
      <c r="S194" s="329">
        <f t="shared" si="77"/>
        <v>0.99908021850474826</v>
      </c>
      <c r="T194" s="330">
        <f t="shared" si="78"/>
        <v>6.3323498727511501E-2</v>
      </c>
      <c r="U194" s="331">
        <f t="shared" si="79"/>
        <v>3.9784345842733071</v>
      </c>
      <c r="V194" s="332">
        <f t="shared" si="80"/>
        <v>-127.22523912657559</v>
      </c>
      <c r="W194" s="334">
        <f t="shared" si="81"/>
        <v>52.774760873424412</v>
      </c>
      <c r="Y194" s="307">
        <f t="shared" si="82"/>
        <v>1000000000</v>
      </c>
      <c r="Z194" s="307">
        <f t="shared" si="83"/>
        <v>120231225</v>
      </c>
      <c r="AB194" s="333">
        <f t="shared" si="84"/>
        <v>17.581806646064592</v>
      </c>
      <c r="AC194" s="334">
        <f t="shared" si="85"/>
        <v>-39.726258060698434</v>
      </c>
      <c r="AE194" s="333">
        <f t="shared" si="86"/>
        <v>10.843854601520881</v>
      </c>
      <c r="AF194" s="334">
        <f t="shared" si="87"/>
        <v>-85.044109564825632</v>
      </c>
      <c r="AH194">
        <f t="shared" si="88"/>
        <v>0</v>
      </c>
      <c r="AI194">
        <f t="shared" si="93"/>
        <v>0</v>
      </c>
    </row>
    <row r="195" spans="1:35" x14ac:dyDescent="0.25">
      <c r="A195" s="335">
        <v>11028.75</v>
      </c>
      <c r="B195" s="352">
        <f t="shared" si="89"/>
        <v>11.02875</v>
      </c>
      <c r="C195" s="325">
        <f t="shared" si="62"/>
        <v>6.9471834373990458</v>
      </c>
      <c r="D195" s="326">
        <f t="shared" si="63"/>
        <v>1.426351331921244</v>
      </c>
      <c r="E195" s="326">
        <f t="shared" si="64"/>
        <v>1.000010458464452</v>
      </c>
      <c r="F195" s="327">
        <f t="shared" si="65"/>
        <v>4.5734829841783927E-3</v>
      </c>
      <c r="G195" s="326">
        <f t="shared" si="66"/>
        <v>1</v>
      </c>
      <c r="H195" s="327">
        <f t="shared" si="67"/>
        <v>0</v>
      </c>
      <c r="I195" s="325">
        <f t="shared" si="68"/>
        <v>17297.58271990285</v>
      </c>
      <c r="J195" s="328">
        <f t="shared" si="69"/>
        <v>1.5707385152488125</v>
      </c>
      <c r="K195" s="336">
        <f t="shared" si="94"/>
        <v>1.7050347020080816</v>
      </c>
      <c r="L195" s="337">
        <f t="shared" si="95"/>
        <v>0.94406760587231275</v>
      </c>
      <c r="M195" s="325">
        <f t="shared" si="72"/>
        <v>1.0020706682179206</v>
      </c>
      <c r="N195" s="337">
        <f t="shared" si="73"/>
        <v>6.4297767680066231E-2</v>
      </c>
      <c r="O195" s="343">
        <f t="shared" si="74"/>
        <v>1.0020514941676477</v>
      </c>
      <c r="P195" s="691">
        <f t="shared" si="75"/>
        <v>6.3999892283545551E-2</v>
      </c>
      <c r="Q195" s="336">
        <f t="shared" si="90"/>
        <v>4.1803198388664429</v>
      </c>
      <c r="R195" s="692">
        <f t="shared" si="76"/>
        <v>0.10709093981191703</v>
      </c>
      <c r="S195" s="329">
        <f t="shared" si="77"/>
        <v>0.999069537704248</v>
      </c>
      <c r="T195" s="330">
        <f t="shared" si="78"/>
        <v>6.3692837641174047E-2</v>
      </c>
      <c r="U195" s="331">
        <f t="shared" si="79"/>
        <v>3.9112689020897125</v>
      </c>
      <c r="V195" s="332">
        <f t="shared" si="80"/>
        <v>-127.16972520589893</v>
      </c>
      <c r="W195" s="334">
        <f t="shared" si="81"/>
        <v>52.830274794101072</v>
      </c>
      <c r="Y195" s="307">
        <f t="shared" si="82"/>
        <v>1000000000</v>
      </c>
      <c r="Z195" s="307">
        <f t="shared" si="83"/>
        <v>121633326.5625</v>
      </c>
      <c r="AB195" s="333">
        <f t="shared" si="84"/>
        <v>17.564213526887919</v>
      </c>
      <c r="AC195" s="334">
        <f t="shared" si="85"/>
        <v>-39.589589016316886</v>
      </c>
      <c r="AE195" s="333">
        <f t="shared" si="86"/>
        <v>10.794644626443112</v>
      </c>
      <c r="AF195" s="334">
        <f t="shared" si="87"/>
        <v>-85.111201028587558</v>
      </c>
      <c r="AH195">
        <f t="shared" si="88"/>
        <v>0</v>
      </c>
      <c r="AI195">
        <f t="shared" si="93"/>
        <v>0</v>
      </c>
    </row>
    <row r="196" spans="1:35" x14ac:dyDescent="0.25">
      <c r="A196" s="335">
        <v>11092.5</v>
      </c>
      <c r="B196" s="352">
        <f t="shared" si="89"/>
        <v>11.092499999999999</v>
      </c>
      <c r="C196" s="325">
        <f t="shared" si="62"/>
        <v>6.9865108669864959</v>
      </c>
      <c r="D196" s="326">
        <f t="shared" si="63"/>
        <v>1.4271700740277937</v>
      </c>
      <c r="E196" s="326">
        <f t="shared" si="64"/>
        <v>1.0000105797203565</v>
      </c>
      <c r="F196" s="327">
        <f t="shared" si="65"/>
        <v>4.5999189301639785E-3</v>
      </c>
      <c r="G196" s="326">
        <f t="shared" si="66"/>
        <v>1</v>
      </c>
      <c r="H196" s="327">
        <f t="shared" si="67"/>
        <v>0</v>
      </c>
      <c r="I196" s="325">
        <f t="shared" si="68"/>
        <v>17397.568746852314</v>
      </c>
      <c r="J196" s="328">
        <f t="shared" si="69"/>
        <v>1.5707388474990764</v>
      </c>
      <c r="K196" s="336">
        <f t="shared" si="94"/>
        <v>1.7115066336806326</v>
      </c>
      <c r="L196" s="337">
        <f t="shared" si="95"/>
        <v>0.94680309061308165</v>
      </c>
      <c r="M196" s="325">
        <f t="shared" si="72"/>
        <v>1.0020946506733803</v>
      </c>
      <c r="N196" s="337">
        <f t="shared" si="73"/>
        <v>6.4668398707313432E-2</v>
      </c>
      <c r="O196" s="343">
        <f t="shared" si="74"/>
        <v>1.0020752547791927</v>
      </c>
      <c r="P196" s="691">
        <f t="shared" si="75"/>
        <v>6.436881576139955E-2</v>
      </c>
      <c r="Q196" s="336">
        <f t="shared" si="90"/>
        <v>4.1805944559192803</v>
      </c>
      <c r="R196" s="692">
        <f t="shared" si="76"/>
        <v>0.10770525774975521</v>
      </c>
      <c r="S196" s="329">
        <f t="shared" si="77"/>
        <v>0.99905879604340342</v>
      </c>
      <c r="T196" s="330">
        <f t="shared" si="78"/>
        <v>6.4062197060478471E-2</v>
      </c>
      <c r="U196" s="331">
        <f t="shared" si="79"/>
        <v>3.844603775447669</v>
      </c>
      <c r="V196" s="332">
        <f t="shared" si="80"/>
        <v>-127.11486670722856</v>
      </c>
      <c r="W196" s="334">
        <f t="shared" si="81"/>
        <v>52.885133292771442</v>
      </c>
      <c r="Y196" s="307">
        <f t="shared" si="82"/>
        <v>1000000000</v>
      </c>
      <c r="Z196" s="307">
        <f t="shared" si="83"/>
        <v>123043556.25</v>
      </c>
      <c r="AB196" s="333">
        <f t="shared" si="84"/>
        <v>17.546850033986836</v>
      </c>
      <c r="AC196" s="334">
        <f t="shared" si="85"/>
        <v>-39.454111915749309</v>
      </c>
      <c r="AE196" s="333">
        <f t="shared" si="86"/>
        <v>10.745707617574734</v>
      </c>
      <c r="AF196" s="334">
        <f t="shared" si="87"/>
        <v>-85.1777595635957</v>
      </c>
      <c r="AH196">
        <f t="shared" si="88"/>
        <v>0</v>
      </c>
      <c r="AI196">
        <f t="shared" si="93"/>
        <v>0</v>
      </c>
    </row>
    <row r="197" spans="1:35" x14ac:dyDescent="0.25">
      <c r="A197" s="335">
        <v>11156.25</v>
      </c>
      <c r="B197" s="352">
        <f t="shared" si="89"/>
        <v>11.15625</v>
      </c>
      <c r="C197" s="325">
        <f t="shared" si="62"/>
        <v>7.0258429274700749</v>
      </c>
      <c r="D197" s="326">
        <f t="shared" si="63"/>
        <v>1.4279796497109813</v>
      </c>
      <c r="E197" s="326">
        <f t="shared" si="64"/>
        <v>1.0000107016751276</v>
      </c>
      <c r="F197" s="327">
        <f t="shared" si="65"/>
        <v>4.6263548697201302E-3</v>
      </c>
      <c r="G197" s="326">
        <f t="shared" si="66"/>
        <v>1</v>
      </c>
      <c r="H197" s="327">
        <f t="shared" si="67"/>
        <v>0</v>
      </c>
      <c r="I197" s="325">
        <f t="shared" si="68"/>
        <v>17497.55477380368</v>
      </c>
      <c r="J197" s="328">
        <f t="shared" si="69"/>
        <v>1.5707391759521947</v>
      </c>
      <c r="K197" s="336">
        <f t="shared" si="94"/>
        <v>1.7179912757990095</v>
      </c>
      <c r="L197" s="337">
        <f t="shared" si="95"/>
        <v>0.94951794509931808</v>
      </c>
      <c r="M197" s="325">
        <f t="shared" si="72"/>
        <v>1.0021187707773356</v>
      </c>
      <c r="N197" s="337">
        <f t="shared" si="73"/>
        <v>6.5039011943953035E-2</v>
      </c>
      <c r="O197" s="343">
        <f t="shared" si="74"/>
        <v>1.0020991517712432</v>
      </c>
      <c r="P197" s="691">
        <f t="shared" si="75"/>
        <v>6.473772169407388E-2</v>
      </c>
      <c r="Q197" s="336">
        <f t="shared" si="90"/>
        <v>4.1808706375863141</v>
      </c>
      <c r="R197" s="692">
        <f t="shared" si="76"/>
        <v>0.1083194950888207</v>
      </c>
      <c r="S197" s="329">
        <f t="shared" si="77"/>
        <v>0.99904799354058449</v>
      </c>
      <c r="T197" s="330">
        <f t="shared" si="78"/>
        <v>6.4431577103969462E-2</v>
      </c>
      <c r="U197" s="331">
        <f t="shared" si="79"/>
        <v>3.7784324185898521</v>
      </c>
      <c r="V197" s="332">
        <f t="shared" si="80"/>
        <v>-127.06066137015735</v>
      </c>
      <c r="W197" s="334">
        <f t="shared" si="81"/>
        <v>52.939338629842652</v>
      </c>
      <c r="Y197" s="307">
        <f t="shared" si="82"/>
        <v>1000000000</v>
      </c>
      <c r="Z197" s="307">
        <f t="shared" si="83"/>
        <v>124461914.0625</v>
      </c>
      <c r="AB197" s="333">
        <f t="shared" si="84"/>
        <v>17.529712308354938</v>
      </c>
      <c r="AC197" s="334">
        <f t="shared" si="85"/>
        <v>-39.319815604810927</v>
      </c>
      <c r="AE197" s="333">
        <f t="shared" si="86"/>
        <v>10.697040647056323</v>
      </c>
      <c r="AF197" s="334">
        <f t="shared" si="87"/>
        <v>-85.243794083278587</v>
      </c>
      <c r="AH197">
        <f t="shared" si="88"/>
        <v>0</v>
      </c>
      <c r="AI197">
        <f t="shared" si="93"/>
        <v>0</v>
      </c>
    </row>
    <row r="198" spans="1:35" x14ac:dyDescent="0.25">
      <c r="A198" s="335">
        <v>11220</v>
      </c>
      <c r="B198" s="352">
        <f t="shared" si="89"/>
        <v>11.22</v>
      </c>
      <c r="C198" s="325">
        <f t="shared" si="62"/>
        <v>7.0651795415087824</v>
      </c>
      <c r="D198" s="326">
        <f t="shared" si="63"/>
        <v>1.4287802110075947</v>
      </c>
      <c r="E198" s="326">
        <f t="shared" si="64"/>
        <v>1.0000108243287649</v>
      </c>
      <c r="F198" s="327">
        <f t="shared" si="65"/>
        <v>4.6527908028098988E-3</v>
      </c>
      <c r="G198" s="326">
        <f t="shared" si="66"/>
        <v>1</v>
      </c>
      <c r="H198" s="327">
        <f t="shared" si="67"/>
        <v>0</v>
      </c>
      <c r="I198" s="325">
        <f t="shared" si="68"/>
        <v>17597.540800756909</v>
      </c>
      <c r="J198" s="328">
        <f t="shared" si="69"/>
        <v>1.5707395006728913</v>
      </c>
      <c r="K198" s="336">
        <f t="shared" si="94"/>
        <v>1.724488484976886</v>
      </c>
      <c r="L198" s="337">
        <f t="shared" si="95"/>
        <v>0.95221236226564721</v>
      </c>
      <c r="M198" s="325">
        <f t="shared" si="72"/>
        <v>1.0021430285198467</v>
      </c>
      <c r="N198" s="337">
        <f t="shared" si="73"/>
        <v>6.5409607289462754E-2</v>
      </c>
      <c r="O198" s="343">
        <f t="shared" si="74"/>
        <v>1.0021231851340424</v>
      </c>
      <c r="P198" s="691">
        <f t="shared" si="75"/>
        <v>6.5106609982417338E-2</v>
      </c>
      <c r="Q198" s="336">
        <f t="shared" si="90"/>
        <v>4.1811483835575185</v>
      </c>
      <c r="R198" s="692">
        <f t="shared" si="76"/>
        <v>0.10893365138731899</v>
      </c>
      <c r="S198" s="329">
        <f t="shared" si="77"/>
        <v>0.9990371302142681</v>
      </c>
      <c r="T198" s="330">
        <f t="shared" si="78"/>
        <v>6.4800977890191847E-2</v>
      </c>
      <c r="U198" s="331">
        <f t="shared" si="79"/>
        <v>3.7127481681219137</v>
      </c>
      <c r="V198" s="332">
        <f t="shared" si="80"/>
        <v>-127.00710683652296</v>
      </c>
      <c r="W198" s="334">
        <f t="shared" si="81"/>
        <v>52.992893163477035</v>
      </c>
      <c r="Y198" s="307">
        <f t="shared" si="82"/>
        <v>1000000000</v>
      </c>
      <c r="Z198" s="307">
        <f t="shared" si="83"/>
        <v>125888400</v>
      </c>
      <c r="AB198" s="333">
        <f t="shared" si="84"/>
        <v>17.512796567547952</v>
      </c>
      <c r="AC198" s="334">
        <f t="shared" si="85"/>
        <v>-39.186689027110887</v>
      </c>
      <c r="AE198" s="333">
        <f t="shared" si="86"/>
        <v>10.648640832823446</v>
      </c>
      <c r="AF198" s="334">
        <f t="shared" si="87"/>
        <v>-85.30931330549673</v>
      </c>
      <c r="AH198">
        <f t="shared" si="88"/>
        <v>0</v>
      </c>
      <c r="AI198">
        <f t="shared" si="93"/>
        <v>0</v>
      </c>
    </row>
    <row r="199" spans="1:35" x14ac:dyDescent="0.25">
      <c r="A199" s="335">
        <v>11285.5</v>
      </c>
      <c r="B199" s="352">
        <f t="shared" si="89"/>
        <v>11.285500000000001</v>
      </c>
      <c r="C199" s="325">
        <f t="shared" si="62"/>
        <v>7.1056006474495375</v>
      </c>
      <c r="D199" s="326">
        <f t="shared" si="63"/>
        <v>1.4295935158225845</v>
      </c>
      <c r="E199" s="326">
        <f t="shared" si="64"/>
        <v>1.0000109510772708</v>
      </c>
      <c r="F199" s="327">
        <f t="shared" si="65"/>
        <v>4.6799524214066451E-3</v>
      </c>
      <c r="G199" s="326">
        <f t="shared" si="66"/>
        <v>1</v>
      </c>
      <c r="H199" s="327">
        <f t="shared" si="67"/>
        <v>0</v>
      </c>
      <c r="I199" s="325">
        <f t="shared" si="68"/>
        <v>17700.27154217743</v>
      </c>
      <c r="J199" s="328">
        <f t="shared" si="69"/>
        <v>1.5707398304864559</v>
      </c>
      <c r="K199" s="336">
        <f t="shared" si="94"/>
        <v>1.7311769894533575</v>
      </c>
      <c r="L199" s="337">
        <f t="shared" si="95"/>
        <v>0.95495965825198326</v>
      </c>
      <c r="M199" s="325">
        <f t="shared" si="72"/>
        <v>1.0021680955085521</v>
      </c>
      <c r="N199" s="337">
        <f t="shared" si="73"/>
        <v>6.5790357100344768E-2</v>
      </c>
      <c r="O199" s="343">
        <f t="shared" si="74"/>
        <v>1.0021480202632969</v>
      </c>
      <c r="P199" s="691">
        <f t="shared" si="75"/>
        <v>6.5485606134234986E-2</v>
      </c>
      <c r="Q199" s="336">
        <f t="shared" si="90"/>
        <v>4.1814353829063871</v>
      </c>
      <c r="R199" s="692">
        <f t="shared" si="76"/>
        <v>0.1095645820062765</v>
      </c>
      <c r="S199" s="329">
        <f t="shared" si="77"/>
        <v>0.99902590534761593</v>
      </c>
      <c r="T199" s="330">
        <f t="shared" si="78"/>
        <v>6.5180540819413657E-2</v>
      </c>
      <c r="U199" s="331">
        <f t="shared" si="79"/>
        <v>3.6457612906974139</v>
      </c>
      <c r="V199" s="332">
        <f t="shared" si="80"/>
        <v>-126.95275744834105</v>
      </c>
      <c r="W199" s="334">
        <f t="shared" si="81"/>
        <v>53.047242551658954</v>
      </c>
      <c r="Y199" s="307">
        <f t="shared" si="82"/>
        <v>1000000000</v>
      </c>
      <c r="Z199" s="307">
        <f t="shared" si="83"/>
        <v>127362510.25</v>
      </c>
      <c r="AB199" s="333">
        <f t="shared" si="84"/>
        <v>17.495643785590978</v>
      </c>
      <c r="AC199" s="334">
        <f t="shared" si="85"/>
        <v>-39.051114816004912</v>
      </c>
      <c r="AE199" s="333">
        <f t="shared" si="86"/>
        <v>10.599187671927302</v>
      </c>
      <c r="AF199" s="334">
        <f t="shared" si="87"/>
        <v>-85.37610334672334</v>
      </c>
      <c r="AH199">
        <f t="shared" si="88"/>
        <v>0</v>
      </c>
      <c r="AI199">
        <f t="shared" si="93"/>
        <v>0</v>
      </c>
    </row>
    <row r="200" spans="1:35" x14ac:dyDescent="0.25">
      <c r="A200" s="335">
        <v>11351</v>
      </c>
      <c r="B200" s="352">
        <f t="shared" si="89"/>
        <v>11.351000000000001</v>
      </c>
      <c r="C200" s="325">
        <f t="shared" si="62"/>
        <v>7.1460264003208875</v>
      </c>
      <c r="D200" s="326">
        <f t="shared" si="63"/>
        <v>1.4303976192786487</v>
      </c>
      <c r="E200" s="326">
        <f t="shared" si="64"/>
        <v>1.0000110785635381</v>
      </c>
      <c r="F200" s="327">
        <f t="shared" si="65"/>
        <v>4.7071140330980409E-3</v>
      </c>
      <c r="G200" s="326">
        <f t="shared" si="66"/>
        <v>1</v>
      </c>
      <c r="H200" s="327">
        <f t="shared" si="67"/>
        <v>0</v>
      </c>
      <c r="I200" s="325">
        <f t="shared" si="68"/>
        <v>17803.002283599857</v>
      </c>
      <c r="J200" s="328">
        <f t="shared" si="69"/>
        <v>1.5707401564936971</v>
      </c>
      <c r="K200" s="336">
        <f t="shared" si="94"/>
        <v>1.7378784595895522</v>
      </c>
      <c r="L200" s="337">
        <f t="shared" si="95"/>
        <v>0.95768578686911077</v>
      </c>
      <c r="M200" s="325">
        <f t="shared" si="72"/>
        <v>1.0021933077747054</v>
      </c>
      <c r="N200" s="337">
        <f t="shared" si="73"/>
        <v>6.6171087809305487E-2</v>
      </c>
      <c r="O200" s="343">
        <f t="shared" si="74"/>
        <v>1.0021729993320254</v>
      </c>
      <c r="P200" s="691">
        <f t="shared" si="75"/>
        <v>6.5864583447598338E-2</v>
      </c>
      <c r="Q200" s="336">
        <f t="shared" si="90"/>
        <v>4.1817240329526113</v>
      </c>
      <c r="R200" s="692">
        <f t="shared" si="76"/>
        <v>0.11019542612991257</v>
      </c>
      <c r="S200" s="329">
        <f t="shared" si="77"/>
        <v>0.99901461631219557</v>
      </c>
      <c r="T200" s="330">
        <f t="shared" si="78"/>
        <v>6.5560125899534943E-2</v>
      </c>
      <c r="U200" s="331">
        <f t="shared" si="79"/>
        <v>3.5792747536920642</v>
      </c>
      <c r="V200" s="332">
        <f t="shared" si="80"/>
        <v>-126.89908974259677</v>
      </c>
      <c r="W200" s="334">
        <f t="shared" si="81"/>
        <v>53.100910257403228</v>
      </c>
      <c r="Y200" s="307">
        <f t="shared" si="82"/>
        <v>1000000000</v>
      </c>
      <c r="Z200" s="307">
        <f t="shared" si="83"/>
        <v>128845201</v>
      </c>
      <c r="AB200" s="333">
        <f t="shared" si="84"/>
        <v>17.478717488472416</v>
      </c>
      <c r="AC200" s="334">
        <f t="shared" si="85"/>
        <v>-38.916752093273622</v>
      </c>
      <c r="AE200" s="333">
        <f t="shared" si="86"/>
        <v>10.550010512171902</v>
      </c>
      <c r="AF200" s="334">
        <f t="shared" si="87"/>
        <v>-85.44236745846581</v>
      </c>
      <c r="AH200">
        <f t="shared" si="88"/>
        <v>0</v>
      </c>
      <c r="AI200">
        <f t="shared" si="93"/>
        <v>0</v>
      </c>
    </row>
    <row r="201" spans="1:35" x14ac:dyDescent="0.25">
      <c r="A201" s="335">
        <v>11416.5</v>
      </c>
      <c r="B201" s="352">
        <f t="shared" si="89"/>
        <v>11.416499999999999</v>
      </c>
      <c r="C201" s="325">
        <f t="shared" si="62"/>
        <v>7.1864567217021262</v>
      </c>
      <c r="D201" s="326">
        <f t="shared" si="63"/>
        <v>1.4311926756249833</v>
      </c>
      <c r="E201" s="326">
        <f t="shared" si="64"/>
        <v>1.0000112067875666</v>
      </c>
      <c r="F201" s="327">
        <f t="shared" si="65"/>
        <v>4.7342756378440098E-3</v>
      </c>
      <c r="G201" s="326">
        <f t="shared" si="66"/>
        <v>1</v>
      </c>
      <c r="H201" s="327">
        <f t="shared" si="67"/>
        <v>0</v>
      </c>
      <c r="I201" s="325">
        <f t="shared" si="68"/>
        <v>17905.733025024158</v>
      </c>
      <c r="J201" s="328">
        <f t="shared" si="69"/>
        <v>1.5707404787601291</v>
      </c>
      <c r="K201" s="336">
        <f t="shared" si="94"/>
        <v>1.7445927459712676</v>
      </c>
      <c r="L201" s="337">
        <f t="shared" si="95"/>
        <v>0.96039095175851041</v>
      </c>
      <c r="M201" s="325">
        <f t="shared" si="72"/>
        <v>1.0022186653073428</v>
      </c>
      <c r="N201" s="337">
        <f t="shared" si="73"/>
        <v>6.6551799307412368E-2</v>
      </c>
      <c r="O201" s="343">
        <f t="shared" si="74"/>
        <v>1.0021981223294651</v>
      </c>
      <c r="P201" s="691">
        <f t="shared" si="75"/>
        <v>6.6243541815059745E-2</v>
      </c>
      <c r="Q201" s="336">
        <f t="shared" si="90"/>
        <v>4.1820143333544104</v>
      </c>
      <c r="R201" s="692">
        <f t="shared" si="76"/>
        <v>0.11082618328023393</v>
      </c>
      <c r="S201" s="329">
        <f t="shared" si="77"/>
        <v>0.99900326312839993</v>
      </c>
      <c r="T201" s="330">
        <f t="shared" si="78"/>
        <v>6.5939733259133895E-2</v>
      </c>
      <c r="U201" s="331">
        <f t="shared" si="79"/>
        <v>3.5132817158870084</v>
      </c>
      <c r="V201" s="332">
        <f t="shared" si="80"/>
        <v>-126.84610087297158</v>
      </c>
      <c r="W201" s="334">
        <f t="shared" si="81"/>
        <v>53.153899127028424</v>
      </c>
      <c r="Y201" s="307">
        <f t="shared" si="82"/>
        <v>1000000000</v>
      </c>
      <c r="Z201" s="307">
        <f t="shared" si="83"/>
        <v>130336472.25</v>
      </c>
      <c r="AB201" s="333">
        <f t="shared" si="84"/>
        <v>17.46201381473341</v>
      </c>
      <c r="AC201" s="334">
        <f t="shared" si="85"/>
        <v>-38.783589188631936</v>
      </c>
      <c r="AE201" s="333">
        <f t="shared" si="86"/>
        <v>10.501106372569332</v>
      </c>
      <c r="AF201" s="334">
        <f t="shared" si="87"/>
        <v>-85.508114485921382</v>
      </c>
      <c r="AH201">
        <f t="shared" si="88"/>
        <v>0</v>
      </c>
      <c r="AI201">
        <f t="shared" si="93"/>
        <v>0</v>
      </c>
    </row>
    <row r="202" spans="1:35" x14ac:dyDescent="0.25">
      <c r="A202" s="335">
        <v>11482</v>
      </c>
      <c r="B202" s="352">
        <f t="shared" si="89"/>
        <v>11.481999999999999</v>
      </c>
      <c r="C202" s="325">
        <f t="shared" si="62"/>
        <v>7.2268915349186607</v>
      </c>
      <c r="D202" s="326">
        <f t="shared" si="63"/>
        <v>1.4319788357049954</v>
      </c>
      <c r="E202" s="326">
        <f t="shared" si="64"/>
        <v>1.0000113357493559</v>
      </c>
      <c r="F202" s="327">
        <f t="shared" si="65"/>
        <v>4.7614372356044781E-3</v>
      </c>
      <c r="G202" s="326">
        <f t="shared" si="66"/>
        <v>1</v>
      </c>
      <c r="H202" s="327">
        <f t="shared" si="67"/>
        <v>0</v>
      </c>
      <c r="I202" s="325">
        <f t="shared" si="68"/>
        <v>18008.463766450292</v>
      </c>
      <c r="J202" s="328">
        <f t="shared" si="69"/>
        <v>1.5707407973497711</v>
      </c>
      <c r="K202" s="336">
        <f t="shared" si="94"/>
        <v>1.7513197011920552</v>
      </c>
      <c r="L202" s="337">
        <f t="shared" si="95"/>
        <v>0.96307535466909755</v>
      </c>
      <c r="M202" s="325">
        <f t="shared" si="72"/>
        <v>1.0022441680954386</v>
      </c>
      <c r="N202" s="337">
        <f t="shared" si="73"/>
        <v>6.6932491485766188E-2</v>
      </c>
      <c r="O202" s="343">
        <f t="shared" si="74"/>
        <v>1.0022233892447927</v>
      </c>
      <c r="P202" s="691">
        <f t="shared" si="75"/>
        <v>6.6622481129204131E-2</v>
      </c>
      <c r="Q202" s="336">
        <f t="shared" si="90"/>
        <v>4.1823062837681473</v>
      </c>
      <c r="R202" s="692">
        <f t="shared" si="76"/>
        <v>0.11145685297965424</v>
      </c>
      <c r="S202" s="329">
        <f t="shared" si="77"/>
        <v>0.99899184581674139</v>
      </c>
      <c r="T202" s="330">
        <f t="shared" si="78"/>
        <v>6.6319363026788716E-2</v>
      </c>
      <c r="U202" s="331">
        <f t="shared" si="79"/>
        <v>3.4477754608280393</v>
      </c>
      <c r="V202" s="332">
        <f t="shared" si="80"/>
        <v>-126.79378790638324</v>
      </c>
      <c r="W202" s="334">
        <f t="shared" si="81"/>
        <v>53.206212093616756</v>
      </c>
      <c r="Y202" s="307">
        <f t="shared" si="82"/>
        <v>1000000000</v>
      </c>
      <c r="Z202" s="307">
        <f t="shared" si="83"/>
        <v>131836324</v>
      </c>
      <c r="AB202" s="333">
        <f t="shared" si="84"/>
        <v>17.445528980659642</v>
      </c>
      <c r="AC202" s="334">
        <f t="shared" si="85"/>
        <v>-38.651614540147058</v>
      </c>
      <c r="AE202" s="333">
        <f t="shared" si="86"/>
        <v>10.452472319145309</v>
      </c>
      <c r="AF202" s="334">
        <f t="shared" si="87"/>
        <v>-85.573353079149939</v>
      </c>
      <c r="AH202">
        <f t="shared" si="88"/>
        <v>0</v>
      </c>
      <c r="AI202">
        <f t="shared" si="93"/>
        <v>0</v>
      </c>
    </row>
    <row r="203" spans="1:35" x14ac:dyDescent="0.25">
      <c r="A203" s="335">
        <v>11548.75</v>
      </c>
      <c r="B203" s="352">
        <f t="shared" si="89"/>
        <v>11.54875</v>
      </c>
      <c r="C203" s="325">
        <f t="shared" si="62"/>
        <v>7.2681025484933031</v>
      </c>
      <c r="D203" s="326">
        <f t="shared" si="63"/>
        <v>1.4327709990195872</v>
      </c>
      <c r="E203" s="326">
        <f t="shared" si="64"/>
        <v>1.0000114679312622</v>
      </c>
      <c r="F203" s="327">
        <f t="shared" si="65"/>
        <v>4.7891171772390167E-3</v>
      </c>
      <c r="G203" s="326">
        <f t="shared" si="66"/>
        <v>1</v>
      </c>
      <c r="H203" s="327">
        <f t="shared" si="67"/>
        <v>0</v>
      </c>
      <c r="I203" s="325">
        <f t="shared" si="68"/>
        <v>18113.15501821084</v>
      </c>
      <c r="J203" s="328">
        <f t="shared" si="69"/>
        <v>1.5707411183014286</v>
      </c>
      <c r="K203" s="336">
        <f t="shared" si="94"/>
        <v>1.7581879166666528</v>
      </c>
      <c r="L203" s="337">
        <f t="shared" si="95"/>
        <v>0.96578983346911484</v>
      </c>
      <c r="M203" s="325">
        <f t="shared" si="72"/>
        <v>1.0022703070064682</v>
      </c>
      <c r="N203" s="337">
        <f t="shared" si="73"/>
        <v>6.7320428792995685E-2</v>
      </c>
      <c r="O203" s="343">
        <f t="shared" si="74"/>
        <v>1.0022492864057733</v>
      </c>
      <c r="P203" s="691">
        <f t="shared" si="75"/>
        <v>6.7008632396264409E-2</v>
      </c>
      <c r="Q203" s="336">
        <f t="shared" si="90"/>
        <v>4.1826055029425158</v>
      </c>
      <c r="R203" s="692">
        <f t="shared" si="76"/>
        <v>0.1120994678961251</v>
      </c>
      <c r="S203" s="329">
        <f t="shared" si="77"/>
        <v>0.99898014466355545</v>
      </c>
      <c r="T203" s="330">
        <f t="shared" si="78"/>
        <v>6.6706260824050012E-2</v>
      </c>
      <c r="U203" s="331">
        <f t="shared" si="79"/>
        <v>3.3815130654244681</v>
      </c>
      <c r="V203" s="332">
        <f t="shared" si="80"/>
        <v>-126.74116885347382</v>
      </c>
      <c r="W203" s="334">
        <f t="shared" si="81"/>
        <v>53.258831146526177</v>
      </c>
      <c r="Y203" s="307">
        <f t="shared" si="82"/>
        <v>1000000000</v>
      </c>
      <c r="Z203" s="307">
        <f t="shared" si="83"/>
        <v>133373626.5625</v>
      </c>
      <c r="AB203" s="333">
        <f t="shared" si="84"/>
        <v>17.428950856048132</v>
      </c>
      <c r="AC203" s="334">
        <f t="shared" si="85"/>
        <v>-38.518331920771352</v>
      </c>
      <c r="AE203" s="333">
        <f t="shared" si="86"/>
        <v>10.403185011976547</v>
      </c>
      <c r="AF203" s="334">
        <f t="shared" si="87"/>
        <v>-85.639322360889679</v>
      </c>
      <c r="AH203">
        <f t="shared" si="88"/>
        <v>0</v>
      </c>
      <c r="AI203">
        <f t="shared" si="93"/>
        <v>0</v>
      </c>
    </row>
    <row r="204" spans="1:35" x14ac:dyDescent="0.25">
      <c r="A204" s="335">
        <v>11615.5</v>
      </c>
      <c r="B204" s="352">
        <f t="shared" si="89"/>
        <v>11.615500000000001</v>
      </c>
      <c r="C204" s="325">
        <f t="shared" si="62"/>
        <v>7.3093180715356993</v>
      </c>
      <c r="D204" s="326">
        <f t="shared" si="63"/>
        <v>1.4335542291763594</v>
      </c>
      <c r="E204" s="326">
        <f t="shared" si="64"/>
        <v>1.000011600879356</v>
      </c>
      <c r="F204" s="327">
        <f t="shared" si="65"/>
        <v>4.8167971115348563E-3</v>
      </c>
      <c r="G204" s="326">
        <f t="shared" si="66"/>
        <v>1</v>
      </c>
      <c r="H204" s="327">
        <f t="shared" si="67"/>
        <v>0</v>
      </c>
      <c r="I204" s="325">
        <f t="shared" si="68"/>
        <v>18217.846269973241</v>
      </c>
      <c r="J204" s="328">
        <f t="shared" si="69"/>
        <v>1.5707414355643041</v>
      </c>
      <c r="K204" s="336">
        <f t="shared" si="94"/>
        <v>1.7650689862882798</v>
      </c>
      <c r="L204" s="337">
        <f t="shared" si="95"/>
        <v>0.96848316735423146</v>
      </c>
      <c r="M204" s="325">
        <f t="shared" si="72"/>
        <v>1.0022965967466422</v>
      </c>
      <c r="N204" s="337">
        <f t="shared" si="73"/>
        <v>6.7708345807797901E-2</v>
      </c>
      <c r="O204" s="343">
        <f t="shared" si="74"/>
        <v>1.0022753330072161</v>
      </c>
      <c r="P204" s="691">
        <f t="shared" si="75"/>
        <v>6.7394763650709386E-2</v>
      </c>
      <c r="Q204" s="336">
        <f t="shared" si="90"/>
        <v>4.1829064349808567</v>
      </c>
      <c r="R204" s="692">
        <f t="shared" si="76"/>
        <v>0.11274199099187984</v>
      </c>
      <c r="S204" s="329">
        <f t="shared" si="77"/>
        <v>0.99896837695491247</v>
      </c>
      <c r="T204" s="330">
        <f t="shared" si="78"/>
        <v>6.7093182162411433E-2</v>
      </c>
      <c r="U204" s="331">
        <f t="shared" si="79"/>
        <v>3.3157425096318294</v>
      </c>
      <c r="V204" s="332">
        <f t="shared" si="80"/>
        <v>-126.68924534360934</v>
      </c>
      <c r="W204" s="334">
        <f t="shared" si="81"/>
        <v>53.310754656390657</v>
      </c>
      <c r="Y204" s="307">
        <f t="shared" si="82"/>
        <v>1000000000</v>
      </c>
      <c r="Z204" s="307">
        <f t="shared" si="83"/>
        <v>134919840.25</v>
      </c>
      <c r="AB204" s="333">
        <f t="shared" si="84"/>
        <v>17.412592308214197</v>
      </c>
      <c r="AC204" s="334">
        <f t="shared" si="85"/>
        <v>-38.386259441756927</v>
      </c>
      <c r="AE204" s="333">
        <f t="shared" si="86"/>
        <v>10.354172190708118</v>
      </c>
      <c r="AF204" s="334">
        <f t="shared" si="87"/>
        <v>-85.7047811596142</v>
      </c>
      <c r="AH204">
        <f t="shared" si="88"/>
        <v>0</v>
      </c>
      <c r="AI204">
        <f t="shared" si="93"/>
        <v>0</v>
      </c>
    </row>
    <row r="205" spans="1:35" x14ac:dyDescent="0.25">
      <c r="A205" s="335">
        <v>11682.25</v>
      </c>
      <c r="B205" s="352">
        <f t="shared" si="89"/>
        <v>11.68225</v>
      </c>
      <c r="C205" s="325">
        <f t="shared" ref="C205:C268" si="96">SQRT(1+(A205/pole1)^2)</f>
        <v>7.3505380281901447</v>
      </c>
      <c r="D205" s="326">
        <f t="shared" ref="D205:D268" si="97">ATAN(A205/pole1)</f>
        <v>1.434328675490858</v>
      </c>
      <c r="E205" s="326">
        <f t="shared" ref="E205:E268" si="98">SQRT(1+(A205/Zero1)^2)</f>
        <v>1.0000117345936375</v>
      </c>
      <c r="F205" s="327">
        <f t="shared" ref="F205:F268" si="99">ATAN(A205/Zero1)</f>
        <v>4.8444770384495862E-3</v>
      </c>
      <c r="G205" s="326">
        <f t="shared" ref="G205:G268" si="100">IF(VIN_nom&gt;Vout, 1, SQRT(1+(A205/z_RHP)^2))</f>
        <v>1</v>
      </c>
      <c r="H205" s="327">
        <f t="shared" ref="H205:H268" si="101">IF(VIN_nom&gt;Vout, 0, -ATAN(A205/z_RHP))</f>
        <v>0</v>
      </c>
      <c r="I205" s="325">
        <f t="shared" ref="I205:I268" si="102">SQRT(1+(A205/Pole2)^2)</f>
        <v>18322.537521737453</v>
      </c>
      <c r="J205" s="328">
        <f t="shared" ref="J205:J268" si="103">ATAN(A205/Pole2)</f>
        <v>1.5707417492016287</v>
      </c>
      <c r="K205" s="336">
        <f t="shared" si="94"/>
        <v>1.7719627603072707</v>
      </c>
      <c r="L205" s="337">
        <f t="shared" si="95"/>
        <v>0.97115556381185997</v>
      </c>
      <c r="M205" s="325">
        <f t="shared" ref="M205:M268" si="104">SQRT(1+(A205/pole4)^2)</f>
        <v>1.0023230373040923</v>
      </c>
      <c r="N205" s="337">
        <f t="shared" ref="N205:N268" si="105">ATAN(A205/pole4)</f>
        <v>6.8096242415027E-2</v>
      </c>
      <c r="O205" s="343">
        <f t="shared" ref="O205:O268" si="106">IF(VOUT_setting=1,1,SQRT(1+(A205*zterm1)^2))</f>
        <v>1.0023015290374708</v>
      </c>
      <c r="P205" s="691">
        <f t="shared" ref="P205:P268" si="107">IF(VOUT_setting=1,0,ATAN(((A205*zterm1))))</f>
        <v>6.7780874778961456E-2</v>
      </c>
      <c r="Q205" s="336">
        <f t="shared" si="90"/>
        <v>4.183209079513535</v>
      </c>
      <c r="R205" s="692">
        <f t="shared" ref="R205:R268" si="108">IF(VOUT_setting=1,0,ATAN(A205*$Q$4/(1+Afbr-$Q$5*(A205)^2)))</f>
        <v>0.1133844217627818</v>
      </c>
      <c r="S205" s="329">
        <f t="shared" ref="S205:S268" si="109">SQRT((1-(Z205/pterm2))^2+(A205/pterm1)^2)</f>
        <v>0.99895654271290413</v>
      </c>
      <c r="T205" s="330">
        <f t="shared" ref="T205:T268" si="110">IF((ATAN((A205/pterm1)/(1-A205^2/pterm2))&gt;0),ATAN((A205/pterm1)/(1-A205^2/pterm2)),PI()+ATAN((A205/pterm1)/(1-A205^2/pterm2)))</f>
        <v>6.7480127177954236E-2</v>
      </c>
      <c r="U205" s="331">
        <f t="shared" ref="U205:U268" si="111">20*LOG10(((E205*K205*G205*O205)/(C205*I205*S205*M205*Q205))*Adc)</f>
        <v>3.2504570675059425</v>
      </c>
      <c r="V205" s="332">
        <f t="shared" ref="V205:V268" si="112">((F205+L205+H205+P205)-(D205+J205+T205+N205+R205))*radconv</f>
        <v>-126.63801402623477</v>
      </c>
      <c r="W205" s="334">
        <f t="shared" ref="W205:W268" si="113">IF(V205&gt;0,V205,V205+180)</f>
        <v>53.361985973765229</v>
      </c>
      <c r="Y205" s="307">
        <f t="shared" ref="Y205:Y268" si="114">IF(U205&lt;0,A205,1000000000)</f>
        <v>1000000000</v>
      </c>
      <c r="Z205" s="307">
        <f t="shared" ref="Z205:Z268" si="115">A205^2</f>
        <v>136474965.0625</v>
      </c>
      <c r="AB205" s="333">
        <f t="shared" ref="AB205:AB268" si="116">20*LOG10((K205/(I205*M205))*AEA)</f>
        <v>17.39644957045153</v>
      </c>
      <c r="AC205" s="334">
        <f t="shared" ref="AC205:AC268" si="117">(L205-(J205+N205))*radconv</f>
        <v>-38.255385211976233</v>
      </c>
      <c r="AE205" s="333">
        <f t="shared" ref="AE205:AE268" si="118">20*LOG10((E205*G205/(C205*S205))*Acs*Am)</f>
        <v>10.305430894775023</v>
      </c>
      <c r="AF205" s="334">
        <f t="shared" ref="AF205:AF268" si="119">(F205+H205-(D205+T205))*radconv</f>
        <v>-85.769738038273431</v>
      </c>
      <c r="AH205">
        <f t="shared" ref="AH205:AH268" si="120">SUM((U206&lt;0)*(U205&gt;0))*A205</f>
        <v>0</v>
      </c>
      <c r="AI205">
        <f t="shared" si="93"/>
        <v>0</v>
      </c>
    </row>
    <row r="206" spans="1:35" x14ac:dyDescent="0.25">
      <c r="A206" s="335">
        <v>11749</v>
      </c>
      <c r="B206" s="352">
        <f t="shared" ref="B206:B269" si="121">A206/1000</f>
        <v>11.749000000000001</v>
      </c>
      <c r="C206" s="325">
        <f t="shared" si="96"/>
        <v>7.391762344284901</v>
      </c>
      <c r="D206" s="326">
        <f t="shared" si="97"/>
        <v>1.4350944839903457</v>
      </c>
      <c r="E206" s="326">
        <f t="shared" si="98"/>
        <v>1.000011869074106</v>
      </c>
      <c r="F206" s="327">
        <f t="shared" si="99"/>
        <v>4.8721569579407925E-3</v>
      </c>
      <c r="G206" s="326">
        <f t="shared" si="100"/>
        <v>1</v>
      </c>
      <c r="H206" s="327">
        <f t="shared" si="101"/>
        <v>0</v>
      </c>
      <c r="I206" s="325">
        <f t="shared" si="102"/>
        <v>18427.228773503444</v>
      </c>
      <c r="J206" s="328">
        <f t="shared" si="103"/>
        <v>1.5707420592751962</v>
      </c>
      <c r="K206" s="336">
        <f t="shared" si="94"/>
        <v>1.778869091020951</v>
      </c>
      <c r="L206" s="337">
        <f t="shared" si="95"/>
        <v>0.97380722831233457</v>
      </c>
      <c r="M206" s="325">
        <f t="shared" si="104"/>
        <v>1.0023496286668836</v>
      </c>
      <c r="N206" s="337">
        <f t="shared" si="105"/>
        <v>6.8484118499573823E-2</v>
      </c>
      <c r="O206" s="343">
        <f t="shared" si="106"/>
        <v>1.0023278744848216</v>
      </c>
      <c r="P206" s="691">
        <f t="shared" si="107"/>
        <v>6.8166965667478888E-2</v>
      </c>
      <c r="Q206" s="336">
        <f t="shared" si="90"/>
        <v>4.1835134361689175</v>
      </c>
      <c r="R206" s="692">
        <f t="shared" si="108"/>
        <v>0.11402675970514205</v>
      </c>
      <c r="S206" s="329">
        <f t="shared" si="109"/>
        <v>0.9989446419597503</v>
      </c>
      <c r="T206" s="330">
        <f t="shared" si="110"/>
        <v>6.7867096006759872E-2</v>
      </c>
      <c r="U206" s="331">
        <f t="shared" si="111"/>
        <v>3.1856501361297145</v>
      </c>
      <c r="V206" s="332">
        <f t="shared" si="112"/>
        <v>-126.58747147790386</v>
      </c>
      <c r="W206" s="334">
        <f t="shared" si="113"/>
        <v>53.412528522096139</v>
      </c>
      <c r="Y206" s="307">
        <f t="shared" si="114"/>
        <v>1000000000</v>
      </c>
      <c r="Z206" s="307">
        <f t="shared" si="115"/>
        <v>138039001</v>
      </c>
      <c r="AB206" s="333">
        <f t="shared" si="116"/>
        <v>17.380518952384787</v>
      </c>
      <c r="AC206" s="334">
        <f t="shared" si="117"/>
        <v>-38.125697455791531</v>
      </c>
      <c r="AE206" s="333">
        <f t="shared" si="118"/>
        <v>10.256958210301445</v>
      </c>
      <c r="AF206" s="334">
        <f t="shared" si="119"/>
        <v>-85.834201371412547</v>
      </c>
      <c r="AH206">
        <f t="shared" si="120"/>
        <v>0</v>
      </c>
      <c r="AI206">
        <f t="shared" si="93"/>
        <v>0</v>
      </c>
    </row>
    <row r="207" spans="1:35" x14ac:dyDescent="0.25">
      <c r="A207" s="335">
        <v>11817.5</v>
      </c>
      <c r="B207" s="352">
        <f t="shared" si="121"/>
        <v>11.817500000000001</v>
      </c>
      <c r="C207" s="325">
        <f t="shared" si="96"/>
        <v>7.4340719040107475</v>
      </c>
      <c r="D207" s="326">
        <f t="shared" si="97"/>
        <v>1.4358715391638439</v>
      </c>
      <c r="E207" s="326">
        <f t="shared" si="98"/>
        <v>1.0000120078768606</v>
      </c>
      <c r="F207" s="327">
        <f t="shared" si="99"/>
        <v>4.900562560442686E-3</v>
      </c>
      <c r="G207" s="326">
        <f t="shared" si="100"/>
        <v>1</v>
      </c>
      <c r="H207" s="327">
        <f t="shared" si="101"/>
        <v>0</v>
      </c>
      <c r="I207" s="325">
        <f t="shared" si="102"/>
        <v>18534.664739737033</v>
      </c>
      <c r="J207" s="328">
        <f t="shared" si="103"/>
        <v>1.5707423738362363</v>
      </c>
      <c r="K207" s="336">
        <f t="shared" si="94"/>
        <v>1.7859693886235375</v>
      </c>
      <c r="L207" s="337">
        <f t="shared" si="95"/>
        <v>0.97650707108999368</v>
      </c>
      <c r="M207" s="325">
        <f t="shared" si="104"/>
        <v>1.0023770739566369</v>
      </c>
      <c r="N207" s="337">
        <f t="shared" si="105"/>
        <v>6.8882142162555574E-2</v>
      </c>
      <c r="O207" s="343">
        <f t="shared" si="106"/>
        <v>1.0023550659688276</v>
      </c>
      <c r="P207" s="691">
        <f t="shared" si="107"/>
        <v>6.8563157627354057E-2</v>
      </c>
      <c r="Q207" s="336">
        <f t="shared" ref="Q207:Q270" si="122">IF(VOUT_setting=1,1,SQRT((1+Afbr-$Q$5*(A207)^2)^2+(A207*$Q$4)^2))</f>
        <v>4.1838275518621968</v>
      </c>
      <c r="R207" s="692">
        <f t="shared" si="108"/>
        <v>0.11468584092931236</v>
      </c>
      <c r="S207" s="329">
        <f t="shared" si="109"/>
        <v>0.998932360075661</v>
      </c>
      <c r="T207" s="330">
        <f t="shared" si="110"/>
        <v>6.8264234986398414E-2</v>
      </c>
      <c r="U207" s="331">
        <f t="shared" si="111"/>
        <v>3.1196348417992064</v>
      </c>
      <c r="V207" s="332">
        <f t="shared" si="112"/>
        <v>-126.53631627388104</v>
      </c>
      <c r="W207" s="334">
        <f t="shared" si="113"/>
        <v>53.463683726118958</v>
      </c>
      <c r="Y207" s="307">
        <f t="shared" si="114"/>
        <v>1000000000</v>
      </c>
      <c r="Z207" s="307">
        <f t="shared" si="115"/>
        <v>139653306.25</v>
      </c>
      <c r="AB207" s="333">
        <f t="shared" si="116"/>
        <v>17.364387420438987</v>
      </c>
      <c r="AC207" s="334">
        <f t="shared" si="117"/>
        <v>-37.993830958187296</v>
      </c>
      <c r="AE207" s="333">
        <f t="shared" si="118"/>
        <v>10.20749096586384</v>
      </c>
      <c r="AF207" s="334">
        <f t="shared" si="119"/>
        <v>-85.899850219653374</v>
      </c>
      <c r="AH207">
        <f t="shared" si="120"/>
        <v>0</v>
      </c>
      <c r="AI207">
        <f t="shared" si="93"/>
        <v>0</v>
      </c>
    </row>
    <row r="208" spans="1:35" x14ac:dyDescent="0.25">
      <c r="A208" s="335">
        <v>11886</v>
      </c>
      <c r="B208" s="352">
        <f t="shared" si="121"/>
        <v>11.885999999999999</v>
      </c>
      <c r="C208" s="325">
        <f t="shared" si="96"/>
        <v>7.4763859017321428</v>
      </c>
      <c r="D208" s="326">
        <f t="shared" si="97"/>
        <v>1.4366397990200606</v>
      </c>
      <c r="E208" s="326">
        <f t="shared" si="98"/>
        <v>1.0000121474865034</v>
      </c>
      <c r="F208" s="327">
        <f t="shared" si="99"/>
        <v>4.9289681550362041E-3</v>
      </c>
      <c r="G208" s="326">
        <f t="shared" si="100"/>
        <v>1</v>
      </c>
      <c r="H208" s="327">
        <f t="shared" si="101"/>
        <v>0</v>
      </c>
      <c r="I208" s="325">
        <f t="shared" si="102"/>
        <v>18642.100705972432</v>
      </c>
      <c r="J208" s="328">
        <f t="shared" si="103"/>
        <v>1.570742684771594</v>
      </c>
      <c r="K208" s="336">
        <f t="shared" si="94"/>
        <v>1.7930826012719678</v>
      </c>
      <c r="L208" s="337">
        <f t="shared" si="95"/>
        <v>0.979185512547322</v>
      </c>
      <c r="M208" s="325">
        <f t="shared" si="104"/>
        <v>1.0024046780370985</v>
      </c>
      <c r="N208" s="337">
        <f t="shared" si="105"/>
        <v>6.928014396714656E-2</v>
      </c>
      <c r="O208" s="343">
        <f t="shared" si="106"/>
        <v>1.0023824147820224</v>
      </c>
      <c r="P208" s="691">
        <f t="shared" si="107"/>
        <v>6.8959328030158765E-2</v>
      </c>
      <c r="Q208" s="336">
        <f t="shared" si="122"/>
        <v>4.1841434698297677</v>
      </c>
      <c r="R208" s="692">
        <f t="shared" si="108"/>
        <v>0.11534482332038117</v>
      </c>
      <c r="S208" s="329">
        <f t="shared" si="109"/>
        <v>0.99892000819506443</v>
      </c>
      <c r="T208" s="330">
        <f t="shared" si="110"/>
        <v>6.8661399334681225E-2</v>
      </c>
      <c r="U208" s="331">
        <f t="shared" si="111"/>
        <v>3.0541097739322391</v>
      </c>
      <c r="V208" s="332">
        <f t="shared" si="112"/>
        <v>-126.48587890687941</v>
      </c>
      <c r="W208" s="334">
        <f t="shared" si="113"/>
        <v>53.514121093120593</v>
      </c>
      <c r="Y208" s="307">
        <f t="shared" si="114"/>
        <v>1000000000</v>
      </c>
      <c r="Z208" s="307">
        <f t="shared" si="115"/>
        <v>141276996</v>
      </c>
      <c r="AB208" s="333">
        <f t="shared" si="116"/>
        <v>17.348471640793804</v>
      </c>
      <c r="AC208" s="334">
        <f t="shared" si="117"/>
        <v>-37.863189205785588</v>
      </c>
      <c r="AE208" s="333">
        <f t="shared" si="118"/>
        <v>10.158300531077799</v>
      </c>
      <c r="AF208" s="334">
        <f t="shared" si="119"/>
        <v>-85.964996587303247</v>
      </c>
      <c r="AH208">
        <f t="shared" si="120"/>
        <v>0</v>
      </c>
      <c r="AI208">
        <f t="shared" si="93"/>
        <v>0</v>
      </c>
    </row>
    <row r="209" spans="1:35" x14ac:dyDescent="0.25">
      <c r="A209" s="335">
        <v>11954.5</v>
      </c>
      <c r="B209" s="352">
        <f t="shared" si="121"/>
        <v>11.954499999999999</v>
      </c>
      <c r="C209" s="325">
        <f t="shared" si="96"/>
        <v>7.5187042625202185</v>
      </c>
      <c r="D209" s="326">
        <f t="shared" si="97"/>
        <v>1.4373994111553554</v>
      </c>
      <c r="E209" s="326">
        <f t="shared" si="98"/>
        <v>1.0000122879030331</v>
      </c>
      <c r="F209" s="327">
        <f t="shared" si="99"/>
        <v>4.9573737416755102E-3</v>
      </c>
      <c r="G209" s="326">
        <f t="shared" si="100"/>
        <v>1</v>
      </c>
      <c r="H209" s="327">
        <f t="shared" si="101"/>
        <v>0</v>
      </c>
      <c r="I209" s="325">
        <f t="shared" si="102"/>
        <v>18749.536672209615</v>
      </c>
      <c r="J209" s="328">
        <f t="shared" si="103"/>
        <v>1.5707429921435954</v>
      </c>
      <c r="K209" s="336">
        <f t="shared" si="94"/>
        <v>1.8002085758715423</v>
      </c>
      <c r="L209" s="337">
        <f t="shared" si="95"/>
        <v>0.98184276817092009</v>
      </c>
      <c r="M209" s="325">
        <f t="shared" si="104"/>
        <v>1.0024324408951513</v>
      </c>
      <c r="N209" s="337">
        <f t="shared" si="105"/>
        <v>6.9678123789066487E-2</v>
      </c>
      <c r="O209" s="343">
        <f t="shared" si="106"/>
        <v>1.0024099209115285</v>
      </c>
      <c r="P209" s="691">
        <f t="shared" si="107"/>
        <v>6.9355476753303835E-2</v>
      </c>
      <c r="Q209" s="336">
        <f t="shared" si="122"/>
        <v>4.1844611896634571</v>
      </c>
      <c r="R209" s="692">
        <f t="shared" si="108"/>
        <v>0.11600370633548157</v>
      </c>
      <c r="S209" s="329">
        <f t="shared" si="109"/>
        <v>0.9989075863423974</v>
      </c>
      <c r="T209" s="330">
        <f t="shared" si="110"/>
        <v>6.9058589198676024E-2</v>
      </c>
      <c r="U209" s="331">
        <f t="shared" si="111"/>
        <v>2.9890681828551919</v>
      </c>
      <c r="V209" s="332">
        <f t="shared" si="112"/>
        <v>-126.4361554678738</v>
      </c>
      <c r="W209" s="334">
        <f t="shared" si="113"/>
        <v>53.563844532126197</v>
      </c>
      <c r="Y209" s="307">
        <f t="shared" si="114"/>
        <v>1000000000</v>
      </c>
      <c r="Z209" s="307">
        <f t="shared" si="115"/>
        <v>142910070.25</v>
      </c>
      <c r="AB209" s="333">
        <f t="shared" si="116"/>
        <v>17.332767864288233</v>
      </c>
      <c r="AC209" s="334">
        <f t="shared" si="117"/>
        <v>-37.733759848563913</v>
      </c>
      <c r="AE209" s="333">
        <f t="shared" si="118"/>
        <v>10.10938390396622</v>
      </c>
      <c r="AF209" s="334">
        <f t="shared" si="119"/>
        <v>-86.029648939439681</v>
      </c>
      <c r="AH209">
        <f t="shared" si="120"/>
        <v>0</v>
      </c>
      <c r="AI209">
        <f t="shared" si="93"/>
        <v>0</v>
      </c>
    </row>
    <row r="210" spans="1:35" x14ac:dyDescent="0.25">
      <c r="A210" s="335">
        <v>12023</v>
      </c>
      <c r="B210" s="352">
        <f t="shared" si="121"/>
        <v>12.023</v>
      </c>
      <c r="C210" s="325">
        <f t="shared" si="96"/>
        <v>7.5610269131159473</v>
      </c>
      <c r="D210" s="326">
        <f t="shared" si="97"/>
        <v>1.4381505199018527</v>
      </c>
      <c r="E210" s="326">
        <f t="shared" si="98"/>
        <v>1.0000124291264501</v>
      </c>
      <c r="F210" s="327">
        <f t="shared" si="99"/>
        <v>4.985779320314767E-3</v>
      </c>
      <c r="G210" s="326">
        <f t="shared" si="100"/>
        <v>1</v>
      </c>
      <c r="H210" s="327">
        <f t="shared" si="101"/>
        <v>0</v>
      </c>
      <c r="I210" s="325">
        <f t="shared" si="102"/>
        <v>18856.972638448551</v>
      </c>
      <c r="J210" s="328">
        <f t="shared" si="103"/>
        <v>1.570743296013146</v>
      </c>
      <c r="K210" s="336">
        <f t="shared" si="94"/>
        <v>1.8073471614695207</v>
      </c>
      <c r="L210" s="337">
        <f t="shared" si="95"/>
        <v>0.9844790512488043</v>
      </c>
      <c r="M210" s="325">
        <f t="shared" si="104"/>
        <v>1.002460362517603</v>
      </c>
      <c r="N210" s="337">
        <f t="shared" si="105"/>
        <v>7.0076081504076626E-2</v>
      </c>
      <c r="O210" s="343">
        <f t="shared" si="106"/>
        <v>1.0024375843443962</v>
      </c>
      <c r="P210" s="691">
        <f t="shared" si="107"/>
        <v>6.9751603674240811E-2</v>
      </c>
      <c r="Q210" s="336">
        <f t="shared" si="122"/>
        <v>4.1847807109528832</v>
      </c>
      <c r="R210" s="692">
        <f t="shared" si="108"/>
        <v>0.11666248943225357</v>
      </c>
      <c r="S210" s="329">
        <f t="shared" si="109"/>
        <v>0.99889509454223901</v>
      </c>
      <c r="T210" s="330">
        <f t="shared" si="110"/>
        <v>6.9455804725450654E-2</v>
      </c>
      <c r="U210" s="331">
        <f t="shared" si="111"/>
        <v>2.924503443553002</v>
      </c>
      <c r="V210" s="332">
        <f t="shared" si="112"/>
        <v>-126.38714198672943</v>
      </c>
      <c r="W210" s="334">
        <f t="shared" si="113"/>
        <v>53.612858013270568</v>
      </c>
      <c r="Y210" s="307">
        <f t="shared" si="114"/>
        <v>1000000000</v>
      </c>
      <c r="Z210" s="307">
        <f t="shared" si="115"/>
        <v>144552529</v>
      </c>
      <c r="AB210" s="333">
        <f t="shared" si="116"/>
        <v>17.317272418752854</v>
      </c>
      <c r="AC210" s="334">
        <f t="shared" si="117"/>
        <v>-37.605530662390393</v>
      </c>
      <c r="AE210" s="333">
        <f t="shared" si="118"/>
        <v>10.060738130211304</v>
      </c>
      <c r="AF210" s="334">
        <f t="shared" si="119"/>
        <v>-86.093815554113263</v>
      </c>
      <c r="AH210">
        <f t="shared" si="120"/>
        <v>0</v>
      </c>
      <c r="AI210">
        <f t="shared" si="93"/>
        <v>0</v>
      </c>
    </row>
    <row r="211" spans="1:35" x14ac:dyDescent="0.25">
      <c r="A211" s="335">
        <v>12093</v>
      </c>
      <c r="B211" s="352">
        <f t="shared" si="121"/>
        <v>12.093</v>
      </c>
      <c r="C211" s="325">
        <f t="shared" si="96"/>
        <v>7.6042806942881001</v>
      </c>
      <c r="D211" s="326">
        <f t="shared" si="97"/>
        <v>1.4389094384234145</v>
      </c>
      <c r="E211" s="326">
        <f t="shared" si="98"/>
        <v>1.0000125742759343</v>
      </c>
      <c r="F211" s="327">
        <f t="shared" si="99"/>
        <v>5.0148069106117858E-3</v>
      </c>
      <c r="G211" s="326">
        <f t="shared" si="100"/>
        <v>1</v>
      </c>
      <c r="H211" s="327">
        <f t="shared" si="101"/>
        <v>0</v>
      </c>
      <c r="I211" s="325">
        <f t="shared" si="102"/>
        <v>18966.76121708866</v>
      </c>
      <c r="J211" s="328">
        <f t="shared" si="103"/>
        <v>1.5707436029803761</v>
      </c>
      <c r="K211" s="336">
        <f t="shared" si="94"/>
        <v>1.8146549398345495</v>
      </c>
      <c r="L211" s="337">
        <f t="shared" si="95"/>
        <v>0.98715161636465321</v>
      </c>
      <c r="M211" s="325">
        <f t="shared" si="104"/>
        <v>1.0024890595659917</v>
      </c>
      <c r="N211" s="337">
        <f t="shared" si="105"/>
        <v>7.0482730654013309E-2</v>
      </c>
      <c r="O211" s="343">
        <f t="shared" si="106"/>
        <v>1.0024660160402894</v>
      </c>
      <c r="P211" s="691">
        <f t="shared" si="107"/>
        <v>7.0156382256264249E-2</v>
      </c>
      <c r="Q211" s="336">
        <f t="shared" si="122"/>
        <v>4.1851090896890648</v>
      </c>
      <c r="R211" s="692">
        <f t="shared" si="108"/>
        <v>0.11733559464811881</v>
      </c>
      <c r="S211" s="329">
        <f t="shared" si="109"/>
        <v>0.99888225696293165</v>
      </c>
      <c r="T211" s="330">
        <f t="shared" si="110"/>
        <v>6.9861745067360217E-2</v>
      </c>
      <c r="U211" s="331">
        <f t="shared" si="111"/>
        <v>2.8590107402863385</v>
      </c>
      <c r="V211" s="332">
        <f t="shared" si="112"/>
        <v>-126.33778447486364</v>
      </c>
      <c r="W211" s="334">
        <f t="shared" si="113"/>
        <v>53.662215525136361</v>
      </c>
      <c r="Y211" s="307">
        <f t="shared" si="114"/>
        <v>1000000000</v>
      </c>
      <c r="Z211" s="307">
        <f t="shared" si="115"/>
        <v>146240649</v>
      </c>
      <c r="AB211" s="333">
        <f t="shared" si="116"/>
        <v>17.301649138091054</v>
      </c>
      <c r="AC211" s="334">
        <f t="shared" si="117"/>
        <v>-37.47572082859071</v>
      </c>
      <c r="AE211" s="333">
        <f t="shared" si="118"/>
        <v>10.011303909967175</v>
      </c>
      <c r="AF211" s="334">
        <f t="shared" si="119"/>
        <v>-86.158893892379496</v>
      </c>
      <c r="AH211">
        <f t="shared" si="120"/>
        <v>0</v>
      </c>
      <c r="AI211">
        <f t="shared" si="93"/>
        <v>0</v>
      </c>
    </row>
    <row r="212" spans="1:35" x14ac:dyDescent="0.25">
      <c r="A212" s="335">
        <v>12163</v>
      </c>
      <c r="B212" s="352">
        <f t="shared" si="121"/>
        <v>12.163</v>
      </c>
      <c r="C212" s="325">
        <f t="shared" si="96"/>
        <v>7.6475388056571063</v>
      </c>
      <c r="D212" s="326">
        <f t="shared" si="97"/>
        <v>1.4396597717659212</v>
      </c>
      <c r="E212" s="326">
        <f t="shared" si="98"/>
        <v>1.00001272026803</v>
      </c>
      <c r="F212" s="327">
        <f t="shared" si="99"/>
        <v>5.0438344924577739E-3</v>
      </c>
      <c r="G212" s="326">
        <f t="shared" si="100"/>
        <v>1</v>
      </c>
      <c r="H212" s="327">
        <f t="shared" si="101"/>
        <v>0</v>
      </c>
      <c r="I212" s="325">
        <f t="shared" si="102"/>
        <v>19076.549795730531</v>
      </c>
      <c r="J212" s="328">
        <f t="shared" si="103"/>
        <v>1.570743906414316</v>
      </c>
      <c r="K212" s="336">
        <f t="shared" si="94"/>
        <v>1.8219755755343086</v>
      </c>
      <c r="L212" s="337">
        <f t="shared" si="95"/>
        <v>0.98980272373890676</v>
      </c>
      <c r="M212" s="325">
        <f t="shared" si="104"/>
        <v>1.0025179223800045</v>
      </c>
      <c r="N212" s="337">
        <f t="shared" si="105"/>
        <v>7.0889356456067754E-2</v>
      </c>
      <c r="O212" s="343">
        <f t="shared" si="106"/>
        <v>1.0024946119765972</v>
      </c>
      <c r="P212" s="691">
        <f t="shared" si="107"/>
        <v>7.0561137812163582E-2</v>
      </c>
      <c r="Q212" s="336">
        <f t="shared" si="122"/>
        <v>4.1854393487671686</v>
      </c>
      <c r="R212" s="692">
        <f t="shared" si="108"/>
        <v>0.1180085943782388</v>
      </c>
      <c r="S212" s="329">
        <f t="shared" si="109"/>
        <v>0.99886934639155134</v>
      </c>
      <c r="T212" s="330">
        <f t="shared" si="110"/>
        <v>7.0267712518794545E-2</v>
      </c>
      <c r="U212" s="331">
        <f t="shared" si="111"/>
        <v>2.7940023995651888</v>
      </c>
      <c r="V212" s="332">
        <f t="shared" si="112"/>
        <v>-126.28915979548327</v>
      </c>
      <c r="W212" s="334">
        <f t="shared" si="113"/>
        <v>53.710840204516728</v>
      </c>
      <c r="Y212" s="307">
        <f t="shared" si="114"/>
        <v>1000000000</v>
      </c>
      <c r="Z212" s="307">
        <f t="shared" si="115"/>
        <v>147938569</v>
      </c>
      <c r="AB212" s="333">
        <f t="shared" si="116"/>
        <v>17.286235896988892</v>
      </c>
      <c r="AC212" s="334">
        <f t="shared" si="117"/>
        <v>-37.347138892646015</v>
      </c>
      <c r="AE212" s="333">
        <f t="shared" si="118"/>
        <v>9.9621464454023165</v>
      </c>
      <c r="AF212" s="334">
        <f t="shared" si="119"/>
        <v>-86.223481889864487</v>
      </c>
      <c r="AH212">
        <f t="shared" si="120"/>
        <v>0</v>
      </c>
      <c r="AI212">
        <f t="shared" si="93"/>
        <v>0</v>
      </c>
    </row>
    <row r="213" spans="1:35" x14ac:dyDescent="0.25">
      <c r="A213" s="335">
        <v>12233</v>
      </c>
      <c r="B213" s="352">
        <f t="shared" si="121"/>
        <v>12.233000000000001</v>
      </c>
      <c r="C213" s="325">
        <f t="shared" si="96"/>
        <v>7.6908011741553617</v>
      </c>
      <c r="D213" s="326">
        <f t="shared" si="97"/>
        <v>1.4404016639575827</v>
      </c>
      <c r="E213" s="326">
        <f t="shared" si="98"/>
        <v>1.0000128671027364</v>
      </c>
      <c r="F213" s="327">
        <f t="shared" si="99"/>
        <v>5.072862065803819E-3</v>
      </c>
      <c r="G213" s="326">
        <f t="shared" si="100"/>
        <v>1</v>
      </c>
      <c r="H213" s="327">
        <f t="shared" si="101"/>
        <v>0</v>
      </c>
      <c r="I213" s="325">
        <f t="shared" si="102"/>
        <v>19186.33837437414</v>
      </c>
      <c r="J213" s="328">
        <f t="shared" si="103"/>
        <v>1.5707442063756201</v>
      </c>
      <c r="K213" s="336">
        <f t="shared" si="94"/>
        <v>1.8293089142090961</v>
      </c>
      <c r="L213" s="337">
        <f t="shared" si="95"/>
        <v>0.99243259394039529</v>
      </c>
      <c r="M213" s="325">
        <f t="shared" si="104"/>
        <v>1.0025469509453246</v>
      </c>
      <c r="N213" s="337">
        <f t="shared" si="105"/>
        <v>7.1295958777795598E-2</v>
      </c>
      <c r="O213" s="343">
        <f t="shared" si="106"/>
        <v>1.0025233721392648</v>
      </c>
      <c r="P213" s="691">
        <f t="shared" si="107"/>
        <v>7.0965870211295065E-2</v>
      </c>
      <c r="Q213" s="336">
        <f t="shared" si="122"/>
        <v>4.1857714877421452</v>
      </c>
      <c r="R213" s="692">
        <f t="shared" si="108"/>
        <v>0.1186814880454945</v>
      </c>
      <c r="S213" s="329">
        <f t="shared" si="109"/>
        <v>0.99885636285479018</v>
      </c>
      <c r="T213" s="330">
        <f t="shared" si="110"/>
        <v>7.0673707236696207E-2</v>
      </c>
      <c r="U213" s="331">
        <f t="shared" si="111"/>
        <v>2.7294717370761745</v>
      </c>
      <c r="V213" s="332">
        <f t="shared" si="112"/>
        <v>-126.24126354243445</v>
      </c>
      <c r="W213" s="334">
        <f t="shared" si="113"/>
        <v>53.758736457565547</v>
      </c>
      <c r="Y213" s="307">
        <f t="shared" si="114"/>
        <v>1000000000</v>
      </c>
      <c r="Z213" s="307">
        <f t="shared" si="115"/>
        <v>149646289</v>
      </c>
      <c r="AB213" s="333">
        <f t="shared" si="116"/>
        <v>17.271029014261131</v>
      </c>
      <c r="AC213" s="334">
        <f t="shared" si="117"/>
        <v>-37.219772212779922</v>
      </c>
      <c r="AE213" s="333">
        <f t="shared" si="118"/>
        <v>9.9132627317929298</v>
      </c>
      <c r="AF213" s="334">
        <f t="shared" si="119"/>
        <v>-86.2875878077718</v>
      </c>
      <c r="AH213">
        <f t="shared" si="120"/>
        <v>0</v>
      </c>
      <c r="AI213">
        <f t="shared" si="93"/>
        <v>0</v>
      </c>
    </row>
    <row r="214" spans="1:35" x14ac:dyDescent="0.25">
      <c r="A214" s="335">
        <v>12303</v>
      </c>
      <c r="B214" s="352">
        <f t="shared" si="121"/>
        <v>12.303000000000001</v>
      </c>
      <c r="C214" s="325">
        <f t="shared" si="96"/>
        <v>7.7340677283430388</v>
      </c>
      <c r="D214" s="326">
        <f t="shared" si="97"/>
        <v>1.4411352558413171</v>
      </c>
      <c r="E214" s="326">
        <f t="shared" si="98"/>
        <v>1.0000130147800537</v>
      </c>
      <c r="F214" s="327">
        <f t="shared" si="99"/>
        <v>5.1018896306010047E-3</v>
      </c>
      <c r="G214" s="326">
        <f t="shared" si="100"/>
        <v>1</v>
      </c>
      <c r="H214" s="327">
        <f t="shared" si="101"/>
        <v>0</v>
      </c>
      <c r="I214" s="325">
        <f t="shared" si="102"/>
        <v>19296.126953019455</v>
      </c>
      <c r="J214" s="328">
        <f t="shared" si="103"/>
        <v>1.5707445029235632</v>
      </c>
      <c r="K214" s="336">
        <f t="shared" si="94"/>
        <v>1.8366548036987769</v>
      </c>
      <c r="L214" s="337">
        <f t="shared" si="95"/>
        <v>0.99504144519341953</v>
      </c>
      <c r="M214" s="325">
        <f t="shared" si="104"/>
        <v>1.0025761452475548</v>
      </c>
      <c r="N214" s="337">
        <f t="shared" si="105"/>
        <v>7.1702537486798792E-2</v>
      </c>
      <c r="O214" s="343">
        <f t="shared" si="106"/>
        <v>1.0025522965141589</v>
      </c>
      <c r="P214" s="691">
        <f t="shared" si="107"/>
        <v>7.1370579323060263E-2</v>
      </c>
      <c r="Q214" s="336">
        <f t="shared" si="122"/>
        <v>4.1861055061665553</v>
      </c>
      <c r="R214" s="692">
        <f t="shared" si="108"/>
        <v>0.1193542750733305</v>
      </c>
      <c r="S214" s="329">
        <f t="shared" si="109"/>
        <v>0.99884330637949537</v>
      </c>
      <c r="T214" s="330">
        <f t="shared" si="110"/>
        <v>7.1079729378007828E-2</v>
      </c>
      <c r="U214" s="331">
        <f t="shared" si="111"/>
        <v>2.6654121926024916</v>
      </c>
      <c r="V214" s="332">
        <f t="shared" si="112"/>
        <v>-126.19409126134431</v>
      </c>
      <c r="W214" s="334">
        <f t="shared" si="113"/>
        <v>53.805908738655688</v>
      </c>
      <c r="Y214" s="307">
        <f t="shared" si="114"/>
        <v>1000000000</v>
      </c>
      <c r="Z214" s="307">
        <f t="shared" si="115"/>
        <v>151363809</v>
      </c>
      <c r="AB214" s="333">
        <f t="shared" si="116"/>
        <v>17.25602488499905</v>
      </c>
      <c r="AC214" s="334">
        <f t="shared" si="117"/>
        <v>-37.093608281471383</v>
      </c>
      <c r="AE214" s="333">
        <f t="shared" si="118"/>
        <v>9.8646498122270216</v>
      </c>
      <c r="AF214" s="334">
        <f t="shared" si="119"/>
        <v>-86.35121972480114</v>
      </c>
      <c r="AH214">
        <f t="shared" si="120"/>
        <v>0</v>
      </c>
      <c r="AI214">
        <f t="shared" si="93"/>
        <v>0</v>
      </c>
    </row>
    <row r="215" spans="1:35" x14ac:dyDescent="0.25">
      <c r="A215" s="335">
        <v>12374.5</v>
      </c>
      <c r="B215" s="352">
        <f t="shared" si="121"/>
        <v>12.374499999999999</v>
      </c>
      <c r="C215" s="325">
        <f t="shared" si="96"/>
        <v>7.7782656715431395</v>
      </c>
      <c r="D215" s="326">
        <f t="shared" si="97"/>
        <v>1.4418761417445924</v>
      </c>
      <c r="E215" s="326">
        <f t="shared" si="98"/>
        <v>1.0000131664917722</v>
      </c>
      <c r="F215" s="327">
        <f t="shared" si="99"/>
        <v>5.1315392057673806E-3</v>
      </c>
      <c r="G215" s="326">
        <f t="shared" si="100"/>
        <v>1</v>
      </c>
      <c r="H215" s="327">
        <f t="shared" si="101"/>
        <v>0</v>
      </c>
      <c r="I215" s="325">
        <f t="shared" si="102"/>
        <v>19408.268144066045</v>
      </c>
      <c r="J215" s="328">
        <f t="shared" si="103"/>
        <v>1.5707448023624733</v>
      </c>
      <c r="K215" s="336">
        <f t="shared" ref="K215:K278" si="123">SQRT(1+(A215/Zero2)^2)</f>
        <v>1.844170906277899</v>
      </c>
      <c r="L215" s="337">
        <f t="shared" ref="L215:L278" si="124">ATAN(A215/Zero2)</f>
        <v>0.99768472548122389</v>
      </c>
      <c r="M215" s="325">
        <f t="shared" si="104"/>
        <v>1.002606136229141</v>
      </c>
      <c r="N215" s="337">
        <f t="shared" si="105"/>
        <v>7.2117804081971229E-2</v>
      </c>
      <c r="O215" s="343">
        <f t="shared" si="106"/>
        <v>1.0025820102104872</v>
      </c>
      <c r="P215" s="691">
        <f t="shared" si="107"/>
        <v>7.1783936595957665E-2</v>
      </c>
      <c r="Q215" s="336">
        <f t="shared" si="122"/>
        <v>4.1864486219527217</v>
      </c>
      <c r="R215" s="692">
        <f t="shared" si="108"/>
        <v>0.12004136827557052</v>
      </c>
      <c r="S215" s="329">
        <f t="shared" si="109"/>
        <v>0.99882989485093232</v>
      </c>
      <c r="T215" s="330">
        <f t="shared" si="110"/>
        <v>7.1494480468129645E-2</v>
      </c>
      <c r="U215" s="331">
        <f t="shared" si="111"/>
        <v>2.600459618681275</v>
      </c>
      <c r="V215" s="332">
        <f t="shared" si="112"/>
        <v>-126.14665087689259</v>
      </c>
      <c r="W215" s="334">
        <f t="shared" si="113"/>
        <v>53.853349123107407</v>
      </c>
      <c r="Y215" s="307">
        <f t="shared" si="114"/>
        <v>1000000000</v>
      </c>
      <c r="Z215" s="307">
        <f t="shared" si="115"/>
        <v>153128250.25</v>
      </c>
      <c r="AB215" s="333">
        <f t="shared" si="116"/>
        <v>17.240904885410952</v>
      </c>
      <c r="AC215" s="334">
        <f t="shared" si="117"/>
        <v>-36.965969656626136</v>
      </c>
      <c r="AE215" s="333">
        <f t="shared" si="118"/>
        <v>9.8152717220553125</v>
      </c>
      <c r="AF215" s="334">
        <f t="shared" si="119"/>
        <v>-86.415734051724314</v>
      </c>
      <c r="AH215">
        <f t="shared" si="120"/>
        <v>0</v>
      </c>
      <c r="AI215">
        <f t="shared" si="93"/>
        <v>0</v>
      </c>
    </row>
    <row r="216" spans="1:35" x14ac:dyDescent="0.25">
      <c r="A216" s="335">
        <v>12446</v>
      </c>
      <c r="B216" s="352">
        <f t="shared" si="121"/>
        <v>12.446</v>
      </c>
      <c r="C216" s="325">
        <f t="shared" si="96"/>
        <v>7.822467836077263</v>
      </c>
      <c r="D216" s="326">
        <f t="shared" si="97"/>
        <v>1.4426086550464305</v>
      </c>
      <c r="E216" s="326">
        <f t="shared" si="98"/>
        <v>1.0000133190825995</v>
      </c>
      <c r="F216" s="327">
        <f t="shared" si="99"/>
        <v>5.1611887719114364E-3</v>
      </c>
      <c r="G216" s="326">
        <f t="shared" si="100"/>
        <v>1</v>
      </c>
      <c r="H216" s="327">
        <f t="shared" si="101"/>
        <v>0</v>
      </c>
      <c r="I216" s="325">
        <f t="shared" si="102"/>
        <v>19520.409335114353</v>
      </c>
      <c r="J216" s="328">
        <f t="shared" si="103"/>
        <v>1.5707450983609397</v>
      </c>
      <c r="K216" s="336">
        <f t="shared" si="123"/>
        <v>1.851699789297101</v>
      </c>
      <c r="L216" s="337">
        <f t="shared" si="124"/>
        <v>1.0003065291746116</v>
      </c>
      <c r="M216" s="325">
        <f t="shared" si="104"/>
        <v>1.00263630009613</v>
      </c>
      <c r="N216" s="337">
        <f t="shared" si="105"/>
        <v>7.2533045762525478E-2</v>
      </c>
      <c r="O216" s="343">
        <f t="shared" si="106"/>
        <v>1.0026118952020528</v>
      </c>
      <c r="P216" s="691">
        <f t="shared" si="107"/>
        <v>7.2197269297480438E-2</v>
      </c>
      <c r="Q216" s="336">
        <f t="shared" si="122"/>
        <v>4.1867936976479037</v>
      </c>
      <c r="R216" s="692">
        <f t="shared" si="108"/>
        <v>0.1207283490050237</v>
      </c>
      <c r="S216" s="329">
        <f t="shared" si="109"/>
        <v>0.99881640728152443</v>
      </c>
      <c r="T216" s="330">
        <f t="shared" si="110"/>
        <v>7.190926050053334E-2</v>
      </c>
      <c r="U216" s="331">
        <f t="shared" si="111"/>
        <v>2.5359851183858213</v>
      </c>
      <c r="V216" s="332">
        <f t="shared" si="112"/>
        <v>-126.09995629371645</v>
      </c>
      <c r="W216" s="334">
        <f t="shared" si="113"/>
        <v>53.900043706283554</v>
      </c>
      <c r="Y216" s="307">
        <f t="shared" si="114"/>
        <v>1000000000</v>
      </c>
      <c r="Z216" s="307">
        <f t="shared" si="115"/>
        <v>154902916</v>
      </c>
      <c r="AB216" s="333">
        <f t="shared" si="116"/>
        <v>17.225989054705767</v>
      </c>
      <c r="AC216" s="334">
        <f t="shared" si="117"/>
        <v>-36.839559925375312</v>
      </c>
      <c r="AE216" s="333">
        <f t="shared" si="118"/>
        <v>9.7661700679480266</v>
      </c>
      <c r="AF216" s="334">
        <f t="shared" si="119"/>
        <v>-86.479770322708589</v>
      </c>
      <c r="AH216">
        <f t="shared" si="120"/>
        <v>0</v>
      </c>
      <c r="AI216">
        <f t="shared" si="93"/>
        <v>0</v>
      </c>
    </row>
    <row r="217" spans="1:35" x14ac:dyDescent="0.25">
      <c r="A217" s="335">
        <v>12517.5</v>
      </c>
      <c r="B217" s="352">
        <f t="shared" si="121"/>
        <v>12.5175</v>
      </c>
      <c r="C217" s="325">
        <f t="shared" si="96"/>
        <v>7.866674150787472</v>
      </c>
      <c r="D217" s="326">
        <f t="shared" si="97"/>
        <v>1.4433329361020626</v>
      </c>
      <c r="E217" s="326">
        <f t="shared" si="98"/>
        <v>1.0000134725525351</v>
      </c>
      <c r="F217" s="327">
        <f t="shared" si="99"/>
        <v>5.1908383289810452E-3</v>
      </c>
      <c r="G217" s="326">
        <f t="shared" si="100"/>
        <v>1</v>
      </c>
      <c r="H217" s="327">
        <f t="shared" si="101"/>
        <v>0</v>
      </c>
      <c r="I217" s="325">
        <f t="shared" si="102"/>
        <v>19632.550526164356</v>
      </c>
      <c r="J217" s="328">
        <f t="shared" si="103"/>
        <v>1.5707453909779177</v>
      </c>
      <c r="K217" s="336">
        <f t="shared" si="123"/>
        <v>1.8592412974955772</v>
      </c>
      <c r="L217" s="337">
        <f t="shared" si="124"/>
        <v>1.0029070813516721</v>
      </c>
      <c r="M217" s="325">
        <f t="shared" si="104"/>
        <v>1.0026666368329191</v>
      </c>
      <c r="N217" s="337">
        <f t="shared" si="105"/>
        <v>7.294826238751996E-2</v>
      </c>
      <c r="O217" s="343">
        <f t="shared" si="106"/>
        <v>1.002641951473539</v>
      </c>
      <c r="P217" s="691">
        <f t="shared" si="107"/>
        <v>7.2610577288601277E-2</v>
      </c>
      <c r="Q217" s="336">
        <f t="shared" si="122"/>
        <v>4.1871407327675643</v>
      </c>
      <c r="R217" s="692">
        <f t="shared" si="108"/>
        <v>0.12141521664911002</v>
      </c>
      <c r="S217" s="329">
        <f t="shared" si="109"/>
        <v>0.99880284370038641</v>
      </c>
      <c r="T217" s="330">
        <f t="shared" si="110"/>
        <v>7.2324069642468569E-2</v>
      </c>
      <c r="U217" s="331">
        <f t="shared" si="111"/>
        <v>2.4719820837202651</v>
      </c>
      <c r="V217" s="332">
        <f t="shared" si="112"/>
        <v>-126.05400263530932</v>
      </c>
      <c r="W217" s="334">
        <f t="shared" si="113"/>
        <v>53.945997364690683</v>
      </c>
      <c r="Y217" s="307">
        <f t="shared" si="114"/>
        <v>1000000000</v>
      </c>
      <c r="Z217" s="307">
        <f t="shared" si="115"/>
        <v>156687806.25</v>
      </c>
      <c r="AB217" s="333">
        <f t="shared" si="116"/>
        <v>17.211273786085833</v>
      </c>
      <c r="AC217" s="334">
        <f t="shared" si="117"/>
        <v>-36.714366186996834</v>
      </c>
      <c r="AE217" s="333">
        <f t="shared" si="118"/>
        <v>9.7173418469710331</v>
      </c>
      <c r="AF217" s="334">
        <f t="shared" si="119"/>
        <v>-86.543336589102012</v>
      </c>
      <c r="AH217">
        <f t="shared" si="120"/>
        <v>0</v>
      </c>
      <c r="AI217">
        <f t="shared" si="93"/>
        <v>0</v>
      </c>
    </row>
    <row r="218" spans="1:35" x14ac:dyDescent="0.25">
      <c r="A218" s="335">
        <v>12589</v>
      </c>
      <c r="B218" s="352">
        <f t="shared" si="121"/>
        <v>12.589</v>
      </c>
      <c r="C218" s="325">
        <f t="shared" si="96"/>
        <v>7.9108845460997568</v>
      </c>
      <c r="D218" s="326">
        <f t="shared" si="97"/>
        <v>1.444049122164182</v>
      </c>
      <c r="E218" s="326">
        <f t="shared" si="98"/>
        <v>1.0000136269015785</v>
      </c>
      <c r="F218" s="327">
        <f t="shared" si="99"/>
        <v>5.2204878769240822E-3</v>
      </c>
      <c r="G218" s="326">
        <f t="shared" si="100"/>
        <v>1</v>
      </c>
      <c r="H218" s="327">
        <f t="shared" si="101"/>
        <v>0</v>
      </c>
      <c r="I218" s="325">
        <f t="shared" si="102"/>
        <v>19744.691717216014</v>
      </c>
      <c r="J218" s="328">
        <f t="shared" si="103"/>
        <v>1.5707456802710233</v>
      </c>
      <c r="K218" s="336">
        <f t="shared" si="123"/>
        <v>1.8667952778631549</v>
      </c>
      <c r="L218" s="337">
        <f t="shared" si="124"/>
        <v>1.0054866046063085</v>
      </c>
      <c r="M218" s="325">
        <f t="shared" si="104"/>
        <v>1.0026971464238177</v>
      </c>
      <c r="N218" s="337">
        <f t="shared" si="105"/>
        <v>7.3363453816064711E-2</v>
      </c>
      <c r="O218" s="343">
        <f t="shared" si="106"/>
        <v>1.0026721790095425</v>
      </c>
      <c r="P218" s="691">
        <f t="shared" si="107"/>
        <v>7.3023860430343326E-2</v>
      </c>
      <c r="Q218" s="336">
        <f t="shared" si="122"/>
        <v>4.1874897268245821</v>
      </c>
      <c r="R218" s="692">
        <f t="shared" si="108"/>
        <v>0.12210197059587538</v>
      </c>
      <c r="S218" s="329">
        <f t="shared" si="109"/>
        <v>0.99878920413680194</v>
      </c>
      <c r="T218" s="330">
        <f t="shared" si="110"/>
        <v>7.2738908061185117E-2</v>
      </c>
      <c r="U218" s="331">
        <f t="shared" si="111"/>
        <v>2.4084440299250285</v>
      </c>
      <c r="V218" s="332">
        <f t="shared" si="112"/>
        <v>-126.00878498969493</v>
      </c>
      <c r="W218" s="334">
        <f t="shared" si="113"/>
        <v>53.991215010305069</v>
      </c>
      <c r="Y218" s="307">
        <f t="shared" si="114"/>
        <v>1000000000</v>
      </c>
      <c r="Z218" s="307">
        <f t="shared" si="115"/>
        <v>158482921</v>
      </c>
      <c r="AB218" s="333">
        <f t="shared" si="116"/>
        <v>17.196755548117636</v>
      </c>
      <c r="AC218" s="334">
        <f t="shared" si="117"/>
        <v>-36.590375683028263</v>
      </c>
      <c r="AE218" s="333">
        <f t="shared" si="118"/>
        <v>9.6687841040534312</v>
      </c>
      <c r="AF218" s="334">
        <f t="shared" si="119"/>
        <v>-86.606440724490412</v>
      </c>
      <c r="AH218">
        <f t="shared" si="120"/>
        <v>0</v>
      </c>
      <c r="AI218">
        <f t="shared" ref="AI218:AI281" si="125">IF(AH218&gt;0,W218,0)</f>
        <v>0</v>
      </c>
    </row>
    <row r="219" spans="1:35" x14ac:dyDescent="0.25">
      <c r="A219" s="335">
        <v>12662.25</v>
      </c>
      <c r="B219" s="352">
        <f t="shared" si="121"/>
        <v>12.66225</v>
      </c>
      <c r="C219" s="325">
        <f t="shared" si="96"/>
        <v>7.9561811745433939</v>
      </c>
      <c r="D219" s="326">
        <f t="shared" si="97"/>
        <v>1.4447745829639631</v>
      </c>
      <c r="E219" s="326">
        <f t="shared" si="98"/>
        <v>1.0000137859400413</v>
      </c>
      <c r="F219" s="327">
        <f t="shared" si="99"/>
        <v>5.2508631035846198E-3</v>
      </c>
      <c r="G219" s="326">
        <f t="shared" si="100"/>
        <v>1</v>
      </c>
      <c r="H219" s="327">
        <f t="shared" si="101"/>
        <v>0</v>
      </c>
      <c r="I219" s="325">
        <f t="shared" si="102"/>
        <v>19859.577622735673</v>
      </c>
      <c r="J219" s="328">
        <f t="shared" si="103"/>
        <v>1.5707459732566986</v>
      </c>
      <c r="K219" s="336">
        <f t="shared" si="123"/>
        <v>1.8745469220235622</v>
      </c>
      <c r="L219" s="337">
        <f t="shared" si="124"/>
        <v>1.0081076859057825</v>
      </c>
      <c r="M219" s="325">
        <f t="shared" si="104"/>
        <v>1.0027285819883847</v>
      </c>
      <c r="N219" s="337">
        <f t="shared" si="105"/>
        <v>7.3788780996297376E-2</v>
      </c>
      <c r="O219" s="343">
        <f t="shared" si="106"/>
        <v>1.0027033239676486</v>
      </c>
      <c r="P219" s="691">
        <f t="shared" si="107"/>
        <v>7.3447232979368879E-2</v>
      </c>
      <c r="Q219" s="336">
        <f t="shared" si="122"/>
        <v>4.1878492936253222</v>
      </c>
      <c r="R219" s="692">
        <f t="shared" si="108"/>
        <v>0.12280541466097454</v>
      </c>
      <c r="S219" s="329">
        <f t="shared" si="109"/>
        <v>0.99877515197376909</v>
      </c>
      <c r="T219" s="330">
        <f t="shared" si="110"/>
        <v>7.3163930403024782E-2</v>
      </c>
      <c r="U219" s="331">
        <f t="shared" si="111"/>
        <v>2.3438263870869349</v>
      </c>
      <c r="V219" s="332">
        <f t="shared" si="112"/>
        <v>-125.96321870456377</v>
      </c>
      <c r="W219" s="334">
        <f t="shared" si="113"/>
        <v>54.036781295436228</v>
      </c>
      <c r="Y219" s="307">
        <f t="shared" si="114"/>
        <v>1000000000</v>
      </c>
      <c r="Z219" s="307">
        <f t="shared" si="115"/>
        <v>160332575.0625</v>
      </c>
      <c r="AB219" s="333">
        <f t="shared" si="116"/>
        <v>17.182082677314227</v>
      </c>
      <c r="AC219" s="334">
        <f t="shared" si="117"/>
        <v>-36.464585025846183</v>
      </c>
      <c r="AE219" s="333">
        <f t="shared" si="118"/>
        <v>9.61931533397469</v>
      </c>
      <c r="AF219" s="334">
        <f t="shared" si="119"/>
        <v>-86.670618180690155</v>
      </c>
      <c r="AH219">
        <f t="shared" si="120"/>
        <v>0</v>
      </c>
      <c r="AI219">
        <f t="shared" si="125"/>
        <v>0</v>
      </c>
    </row>
    <row r="220" spans="1:35" x14ac:dyDescent="0.25">
      <c r="A220" s="335">
        <v>12735.5</v>
      </c>
      <c r="B220" s="352">
        <f t="shared" si="121"/>
        <v>12.7355</v>
      </c>
      <c r="C220" s="325">
        <f t="shared" si="96"/>
        <v>8.0014819428624779</v>
      </c>
      <c r="D220" s="326">
        <f t="shared" si="97"/>
        <v>1.445491829676439</v>
      </c>
      <c r="E220" s="326">
        <f t="shared" si="98"/>
        <v>1.0000139459011708</v>
      </c>
      <c r="F220" s="327">
        <f t="shared" si="99"/>
        <v>5.281238320555607E-3</v>
      </c>
      <c r="G220" s="326">
        <f t="shared" si="100"/>
        <v>1</v>
      </c>
      <c r="H220" s="327">
        <f t="shared" si="101"/>
        <v>0</v>
      </c>
      <c r="I220" s="325">
        <f t="shared" si="102"/>
        <v>19974.463528257013</v>
      </c>
      <c r="J220" s="328">
        <f t="shared" si="103"/>
        <v>1.5707462628720783</v>
      </c>
      <c r="K220" s="336">
        <f t="shared" si="123"/>
        <v>1.8823113383265984</v>
      </c>
      <c r="L220" s="337">
        <f t="shared" si="124"/>
        <v>1.0107071613491587</v>
      </c>
      <c r="M220" s="325">
        <f t="shared" si="104"/>
        <v>1.002760198938379</v>
      </c>
      <c r="N220" s="337">
        <f t="shared" si="105"/>
        <v>7.421408143239934E-2</v>
      </c>
      <c r="O220" s="343">
        <f t="shared" si="106"/>
        <v>1.0027346486434421</v>
      </c>
      <c r="P220" s="691">
        <f t="shared" si="107"/>
        <v>7.3870579152593263E-2</v>
      </c>
      <c r="Q220" s="336">
        <f t="shared" si="122"/>
        <v>4.1882109153856053</v>
      </c>
      <c r="R220" s="692">
        <f t="shared" si="108"/>
        <v>0.12350873809679259</v>
      </c>
      <c r="S220" s="329">
        <f t="shared" si="109"/>
        <v>0.99876102012612067</v>
      </c>
      <c r="T220" s="330">
        <f t="shared" si="110"/>
        <v>7.3588983827683516E-2</v>
      </c>
      <c r="U220" s="331">
        <f t="shared" si="111"/>
        <v>2.2796833707231228</v>
      </c>
      <c r="V220" s="332">
        <f t="shared" si="112"/>
        <v>-125.91841436697889</v>
      </c>
      <c r="W220" s="334">
        <f t="shared" si="113"/>
        <v>54.081585633021106</v>
      </c>
      <c r="Y220" s="307">
        <f t="shared" si="114"/>
        <v>1000000000</v>
      </c>
      <c r="Z220" s="307">
        <f t="shared" si="115"/>
        <v>162192960.25</v>
      </c>
      <c r="AB220" s="333">
        <f t="shared" si="116"/>
        <v>17.167609331225815</v>
      </c>
      <c r="AC220" s="334">
        <f t="shared" si="117"/>
        <v>-36.340030567603151</v>
      </c>
      <c r="AE220" s="333">
        <f t="shared" si="118"/>
        <v>9.5701243150146524</v>
      </c>
      <c r="AF220" s="334">
        <f t="shared" si="119"/>
        <v>-86.73432678582374</v>
      </c>
      <c r="AH220">
        <f t="shared" si="120"/>
        <v>0</v>
      </c>
      <c r="AI220">
        <f t="shared" si="125"/>
        <v>0</v>
      </c>
    </row>
    <row r="221" spans="1:35" x14ac:dyDescent="0.25">
      <c r="A221" s="335">
        <v>12808.75</v>
      </c>
      <c r="B221" s="352">
        <f t="shared" si="121"/>
        <v>12.80875</v>
      </c>
      <c r="C221" s="325">
        <f t="shared" si="96"/>
        <v>8.0467867811385894</v>
      </c>
      <c r="D221" s="326">
        <f t="shared" si="97"/>
        <v>1.446201000297652</v>
      </c>
      <c r="E221" s="326">
        <f t="shared" si="98"/>
        <v>1.0000141067849668</v>
      </c>
      <c r="F221" s="327">
        <f t="shared" si="99"/>
        <v>5.3116135277809975E-3</v>
      </c>
      <c r="G221" s="326">
        <f t="shared" si="100"/>
        <v>1</v>
      </c>
      <c r="H221" s="327">
        <f t="shared" si="101"/>
        <v>0</v>
      </c>
      <c r="I221" s="325">
        <f t="shared" si="102"/>
        <v>20089.349433780011</v>
      </c>
      <c r="J221" s="328">
        <f t="shared" si="103"/>
        <v>1.5707465491749837</v>
      </c>
      <c r="K221" s="336">
        <f t="shared" si="123"/>
        <v>1.8900883693697366</v>
      </c>
      <c r="L221" s="337">
        <f t="shared" si="124"/>
        <v>1.0132852622889597</v>
      </c>
      <c r="M221" s="325">
        <f t="shared" si="104"/>
        <v>1.0027919972566437</v>
      </c>
      <c r="N221" s="337">
        <f t="shared" si="105"/>
        <v>7.4639354973050437E-2</v>
      </c>
      <c r="O221" s="343">
        <f t="shared" si="106"/>
        <v>1.0027661530200802</v>
      </c>
      <c r="P221" s="691">
        <f t="shared" si="107"/>
        <v>7.4293898800749533E-2</v>
      </c>
      <c r="Q221" s="336">
        <f t="shared" si="122"/>
        <v>4.1885745915732207</v>
      </c>
      <c r="R221" s="692">
        <f t="shared" si="108"/>
        <v>0.12421194024739655</v>
      </c>
      <c r="S221" s="329">
        <f t="shared" si="109"/>
        <v>0.99874680862589804</v>
      </c>
      <c r="T221" s="330">
        <f t="shared" si="110"/>
        <v>7.4014068514994702E-2</v>
      </c>
      <c r="U221" s="331">
        <f t="shared" si="111"/>
        <v>2.2160083924276992</v>
      </c>
      <c r="V221" s="332">
        <f t="shared" si="112"/>
        <v>-125.87436660392797</v>
      </c>
      <c r="W221" s="334">
        <f t="shared" si="113"/>
        <v>54.125633396072033</v>
      </c>
      <c r="Y221" s="307">
        <f t="shared" si="114"/>
        <v>1000000000</v>
      </c>
      <c r="Z221" s="307">
        <f t="shared" si="115"/>
        <v>164064076.5625</v>
      </c>
      <c r="AB221" s="333">
        <f t="shared" si="116"/>
        <v>17.153331947089459</v>
      </c>
      <c r="AC221" s="334">
        <f t="shared" si="117"/>
        <v>-36.216699047418956</v>
      </c>
      <c r="AE221" s="333">
        <f t="shared" si="118"/>
        <v>9.5212080196251456</v>
      </c>
      <c r="AF221" s="334">
        <f t="shared" si="119"/>
        <v>-86.797574456788894</v>
      </c>
      <c r="AH221">
        <f t="shared" si="120"/>
        <v>0</v>
      </c>
      <c r="AI221">
        <f t="shared" si="125"/>
        <v>0</v>
      </c>
    </row>
    <row r="222" spans="1:35" x14ac:dyDescent="0.25">
      <c r="A222" s="335">
        <v>12882</v>
      </c>
      <c r="B222" s="352">
        <f t="shared" si="121"/>
        <v>12.882</v>
      </c>
      <c r="C222" s="325">
        <f t="shared" si="96"/>
        <v>8.0920956210128896</v>
      </c>
      <c r="D222" s="326">
        <f t="shared" si="97"/>
        <v>1.4469022297659144</v>
      </c>
      <c r="E222" s="326">
        <f t="shared" si="98"/>
        <v>1.0000142685914286</v>
      </c>
      <c r="F222" s="327">
        <f t="shared" si="99"/>
        <v>5.341988725204745E-3</v>
      </c>
      <c r="G222" s="326">
        <f t="shared" si="100"/>
        <v>1</v>
      </c>
      <c r="H222" s="327">
        <f t="shared" si="101"/>
        <v>0</v>
      </c>
      <c r="I222" s="325">
        <f t="shared" si="102"/>
        <v>20204.235339304632</v>
      </c>
      <c r="J222" s="328">
        <f t="shared" si="103"/>
        <v>1.5707468322219216</v>
      </c>
      <c r="K222" s="336">
        <f t="shared" si="123"/>
        <v>1.8978778600767887</v>
      </c>
      <c r="L222" s="337">
        <f t="shared" si="124"/>
        <v>1.0158422174253237</v>
      </c>
      <c r="M222" s="325">
        <f t="shared" si="104"/>
        <v>1.0028239769259257</v>
      </c>
      <c r="N222" s="337">
        <f t="shared" si="105"/>
        <v>7.5064601466988609E-2</v>
      </c>
      <c r="O222" s="343">
        <f t="shared" si="106"/>
        <v>1.0027978370806268</v>
      </c>
      <c r="P222" s="691">
        <f t="shared" si="107"/>
        <v>7.4717191774627503E-2</v>
      </c>
      <c r="Q222" s="336">
        <f t="shared" si="122"/>
        <v>4.1889403216531189</v>
      </c>
      <c r="R222" s="692">
        <f t="shared" si="108"/>
        <v>0.12491502045755633</v>
      </c>
      <c r="S222" s="329">
        <f t="shared" si="109"/>
        <v>0.99873251750533032</v>
      </c>
      <c r="T222" s="330">
        <f t="shared" si="110"/>
        <v>7.4439184644791698E-2</v>
      </c>
      <c r="U222" s="331">
        <f t="shared" si="111"/>
        <v>2.1527949875557524</v>
      </c>
      <c r="V222" s="332">
        <f t="shared" si="112"/>
        <v>-125.83107001913916</v>
      </c>
      <c r="W222" s="334">
        <f t="shared" si="113"/>
        <v>54.168929980860838</v>
      </c>
      <c r="Y222" s="307">
        <f t="shared" si="114"/>
        <v>1000000000</v>
      </c>
      <c r="Z222" s="307">
        <f t="shared" si="115"/>
        <v>165945924</v>
      </c>
      <c r="AB222" s="333">
        <f t="shared" si="116"/>
        <v>17.139247037422322</v>
      </c>
      <c r="AC222" s="334">
        <f t="shared" si="117"/>
        <v>-36.094577356311795</v>
      </c>
      <c r="AE222" s="333">
        <f t="shared" si="118"/>
        <v>9.4725634687290903</v>
      </c>
      <c r="AF222" s="334">
        <f t="shared" si="119"/>
        <v>-86.860368935288349</v>
      </c>
      <c r="AH222">
        <f t="shared" si="120"/>
        <v>0</v>
      </c>
      <c r="AI222">
        <f t="shared" si="125"/>
        <v>0</v>
      </c>
    </row>
    <row r="223" spans="1:35" x14ac:dyDescent="0.25">
      <c r="A223" s="335">
        <v>12957.25</v>
      </c>
      <c r="B223" s="352">
        <f t="shared" si="121"/>
        <v>12.95725</v>
      </c>
      <c r="C223" s="325">
        <f t="shared" si="96"/>
        <v>8.1386456590672971</v>
      </c>
      <c r="D223" s="326">
        <f t="shared" si="97"/>
        <v>1.447614474731385</v>
      </c>
      <c r="E223" s="326">
        <f t="shared" si="98"/>
        <v>1.0000144357766121</v>
      </c>
      <c r="F223" s="327">
        <f t="shared" si="99"/>
        <v>5.3731932692891128E-3</v>
      </c>
      <c r="G223" s="326">
        <f t="shared" si="100"/>
        <v>1</v>
      </c>
      <c r="H223" s="327">
        <f t="shared" si="101"/>
        <v>0</v>
      </c>
      <c r="I223" s="325">
        <f t="shared" si="102"/>
        <v>20322.25806136402</v>
      </c>
      <c r="J223" s="328">
        <f t="shared" si="103"/>
        <v>1.5707471196645972</v>
      </c>
      <c r="K223" s="336">
        <f t="shared" si="123"/>
        <v>1.9058928471922143</v>
      </c>
      <c r="L223" s="337">
        <f t="shared" si="124"/>
        <v>1.0184472048480884</v>
      </c>
      <c r="M223" s="325">
        <f t="shared" si="104"/>
        <v>1.0028570185879695</v>
      </c>
      <c r="N223" s="337">
        <f t="shared" si="105"/>
        <v>7.5501430463304819E-2</v>
      </c>
      <c r="O223" s="343">
        <f t="shared" si="106"/>
        <v>1.0028305733270324</v>
      </c>
      <c r="P223" s="691">
        <f t="shared" si="107"/>
        <v>7.5152014302433262E-2</v>
      </c>
      <c r="Q223" s="336">
        <f t="shared" si="122"/>
        <v>4.1893181757483386</v>
      </c>
      <c r="R223" s="692">
        <f t="shared" si="108"/>
        <v>0.12563716972918657</v>
      </c>
      <c r="S223" s="329">
        <f t="shared" si="109"/>
        <v>0.99871775330665757</v>
      </c>
      <c r="T223" s="330">
        <f t="shared" si="110"/>
        <v>7.4875940971853974E-2</v>
      </c>
      <c r="U223" s="331">
        <f t="shared" si="111"/>
        <v>2.088329603749739</v>
      </c>
      <c r="V223" s="332">
        <f t="shared" si="112"/>
        <v>-125.78736780699205</v>
      </c>
      <c r="W223" s="334">
        <f t="shared" si="113"/>
        <v>54.212632193007948</v>
      </c>
      <c r="Y223" s="307">
        <f t="shared" si="114"/>
        <v>1000000000</v>
      </c>
      <c r="Z223" s="307">
        <f t="shared" si="115"/>
        <v>167890327.5625</v>
      </c>
      <c r="AB223" s="333">
        <f t="shared" si="116"/>
        <v>17.124974399004483</v>
      </c>
      <c r="AC223" s="334">
        <f t="shared" si="117"/>
        <v>-35.970367498270804</v>
      </c>
      <c r="AE223" s="333">
        <f t="shared" si="118"/>
        <v>9.4228706339986044</v>
      </c>
      <c r="AF223" s="334">
        <f t="shared" si="119"/>
        <v>-86.92441397140108</v>
      </c>
      <c r="AH223">
        <f t="shared" si="120"/>
        <v>0</v>
      </c>
      <c r="AI223">
        <f t="shared" si="125"/>
        <v>0</v>
      </c>
    </row>
    <row r="224" spans="1:35" x14ac:dyDescent="0.25">
      <c r="A224" s="335">
        <v>13032.5</v>
      </c>
      <c r="B224" s="352">
        <f t="shared" si="121"/>
        <v>13.032500000000001</v>
      </c>
      <c r="C224" s="325">
        <f t="shared" si="96"/>
        <v>8.1851997788371857</v>
      </c>
      <c r="D224" s="326">
        <f t="shared" si="97"/>
        <v>1.4483186181256673</v>
      </c>
      <c r="E224" s="326">
        <f t="shared" si="98"/>
        <v>1.0000146039355331</v>
      </c>
      <c r="F224" s="327">
        <f t="shared" si="99"/>
        <v>5.4043978029093753E-3</v>
      </c>
      <c r="G224" s="326">
        <f t="shared" si="100"/>
        <v>1</v>
      </c>
      <c r="H224" s="327">
        <f t="shared" si="101"/>
        <v>0</v>
      </c>
      <c r="I224" s="325">
        <f t="shared" si="102"/>
        <v>20440.280783425071</v>
      </c>
      <c r="J224" s="328">
        <f t="shared" si="103"/>
        <v>1.5707474037878697</v>
      </c>
      <c r="K224" s="336">
        <f t="shared" si="123"/>
        <v>1.9139206592458224</v>
      </c>
      <c r="L224" s="337">
        <f t="shared" si="124"/>
        <v>1.0210303567871275</v>
      </c>
      <c r="M224" s="325">
        <f t="shared" si="104"/>
        <v>1.0028902516021294</v>
      </c>
      <c r="N224" s="337">
        <f t="shared" si="105"/>
        <v>7.5938230592352579E-2</v>
      </c>
      <c r="O224" s="343">
        <f t="shared" si="106"/>
        <v>1.0028634991668477</v>
      </c>
      <c r="P224" s="691">
        <f t="shared" si="107"/>
        <v>7.5586808360406252E-2</v>
      </c>
      <c r="Q224" s="336">
        <f t="shared" si="122"/>
        <v>4.1896981962710127</v>
      </c>
      <c r="R224" s="692">
        <f t="shared" si="108"/>
        <v>0.1263591889110193</v>
      </c>
      <c r="S224" s="329">
        <f t="shared" si="109"/>
        <v>0.99870290514997528</v>
      </c>
      <c r="T224" s="330">
        <f t="shared" si="110"/>
        <v>7.531273086659529E-2</v>
      </c>
      <c r="U224" s="331">
        <f t="shared" si="111"/>
        <v>2.0243379007145506</v>
      </c>
      <c r="V224" s="332">
        <f t="shared" si="112"/>
        <v>-125.74444674740084</v>
      </c>
      <c r="W224" s="334">
        <f t="shared" si="113"/>
        <v>54.255553252599157</v>
      </c>
      <c r="Y224" s="307">
        <f t="shared" si="114"/>
        <v>1000000000</v>
      </c>
      <c r="Z224" s="307">
        <f t="shared" si="115"/>
        <v>169846056.25</v>
      </c>
      <c r="AB224" s="333">
        <f t="shared" si="116"/>
        <v>17.110897663800873</v>
      </c>
      <c r="AC224" s="334">
        <f t="shared" si="117"/>
        <v>-35.84740687713191</v>
      </c>
      <c r="AE224" s="333">
        <f t="shared" si="118"/>
        <v>9.3734583646736649</v>
      </c>
      <c r="AF224" s="334">
        <f t="shared" si="119"/>
        <v>-86.98799674556264</v>
      </c>
      <c r="AH224">
        <f t="shared" si="120"/>
        <v>0</v>
      </c>
      <c r="AI224">
        <f t="shared" si="125"/>
        <v>0</v>
      </c>
    </row>
    <row r="225" spans="1:35" x14ac:dyDescent="0.25">
      <c r="A225" s="335">
        <v>13107.75</v>
      </c>
      <c r="B225" s="352">
        <f t="shared" si="121"/>
        <v>13.107749999999999</v>
      </c>
      <c r="C225" s="325">
        <f t="shared" si="96"/>
        <v>8.2317579110710088</v>
      </c>
      <c r="D225" s="326">
        <f t="shared" si="97"/>
        <v>1.4490147967099376</v>
      </c>
      <c r="E225" s="326">
        <f t="shared" si="98"/>
        <v>1.0000147730681905</v>
      </c>
      <c r="F225" s="327">
        <f t="shared" si="99"/>
        <v>5.435602326004766E-3</v>
      </c>
      <c r="G225" s="326">
        <f t="shared" si="100"/>
        <v>1</v>
      </c>
      <c r="H225" s="327">
        <f t="shared" si="101"/>
        <v>0</v>
      </c>
      <c r="I225" s="325">
        <f t="shared" si="102"/>
        <v>20558.303505487747</v>
      </c>
      <c r="J225" s="328">
        <f t="shared" si="103"/>
        <v>1.5707476846489079</v>
      </c>
      <c r="K225" s="336">
        <f t="shared" si="123"/>
        <v>1.9219611355327155</v>
      </c>
      <c r="L225" s="337">
        <f t="shared" si="124"/>
        <v>1.0235919125967845</v>
      </c>
      <c r="M225" s="325">
        <f t="shared" si="104"/>
        <v>1.0029236759493836</v>
      </c>
      <c r="N225" s="337">
        <f t="shared" si="105"/>
        <v>7.6375001690331845E-2</v>
      </c>
      <c r="O225" s="343">
        <f t="shared" si="106"/>
        <v>1.0028966145813989</v>
      </c>
      <c r="P225" s="691">
        <f t="shared" si="107"/>
        <v>7.6021573786966626E-2</v>
      </c>
      <c r="Q225" s="336">
        <f t="shared" si="122"/>
        <v>4.1900803826317263</v>
      </c>
      <c r="R225" s="692">
        <f t="shared" si="108"/>
        <v>0.12708107729501547</v>
      </c>
      <c r="S225" s="329">
        <f t="shared" si="109"/>
        <v>0.99868797307084223</v>
      </c>
      <c r="T225" s="330">
        <f t="shared" si="110"/>
        <v>7.5749554523985116E-2</v>
      </c>
      <c r="U225" s="331">
        <f t="shared" si="111"/>
        <v>1.9608132591460334</v>
      </c>
      <c r="V225" s="332">
        <f t="shared" si="112"/>
        <v>-125.70230093596501</v>
      </c>
      <c r="W225" s="334">
        <f t="shared" si="113"/>
        <v>54.297699064034987</v>
      </c>
      <c r="Y225" s="307">
        <f t="shared" si="114"/>
        <v>1000000000</v>
      </c>
      <c r="Z225" s="307">
        <f t="shared" si="115"/>
        <v>171813110.0625</v>
      </c>
      <c r="AB225" s="333">
        <f t="shared" si="116"/>
        <v>17.097013287028386</v>
      </c>
      <c r="AC225" s="334">
        <f t="shared" si="117"/>
        <v>-35.725681772791873</v>
      </c>
      <c r="AE225" s="333">
        <f t="shared" si="118"/>
        <v>9.3243235841249739</v>
      </c>
      <c r="AF225" s="334">
        <f t="shared" si="119"/>
        <v>-87.051125104785683</v>
      </c>
      <c r="AH225">
        <f t="shared" si="120"/>
        <v>0</v>
      </c>
      <c r="AI225">
        <f t="shared" si="125"/>
        <v>0</v>
      </c>
    </row>
    <row r="226" spans="1:35" x14ac:dyDescent="0.25">
      <c r="A226" s="335">
        <v>13183</v>
      </c>
      <c r="B226" s="352">
        <f t="shared" si="121"/>
        <v>13.183</v>
      </c>
      <c r="C226" s="325">
        <f t="shared" si="96"/>
        <v>8.2783199880692155</v>
      </c>
      <c r="D226" s="326">
        <f t="shared" si="97"/>
        <v>1.4497031441997561</v>
      </c>
      <c r="E226" s="326">
        <f t="shared" si="98"/>
        <v>1.0000149431745846</v>
      </c>
      <c r="F226" s="327">
        <f t="shared" si="99"/>
        <v>5.466806838514522E-3</v>
      </c>
      <c r="G226" s="326">
        <f t="shared" si="100"/>
        <v>1</v>
      </c>
      <c r="H226" s="327">
        <f t="shared" si="101"/>
        <v>0</v>
      </c>
      <c r="I226" s="325">
        <f t="shared" si="102"/>
        <v>20676.326227552028</v>
      </c>
      <c r="J226" s="328">
        <f t="shared" si="103"/>
        <v>1.5707479623035752</v>
      </c>
      <c r="K226" s="336">
        <f t="shared" si="123"/>
        <v>1.9300141177745751</v>
      </c>
      <c r="L226" s="337">
        <f t="shared" si="124"/>
        <v>1.0261321087796633</v>
      </c>
      <c r="M226" s="325">
        <f t="shared" si="104"/>
        <v>1.0029572916106031</v>
      </c>
      <c r="N226" s="337">
        <f t="shared" si="105"/>
        <v>7.6811743593508688E-2</v>
      </c>
      <c r="O226" s="343">
        <f t="shared" si="106"/>
        <v>1.0029299195519077</v>
      </c>
      <c r="P226" s="691">
        <f t="shared" si="107"/>
        <v>7.6456310420599097E-2</v>
      </c>
      <c r="Q226" s="336">
        <f t="shared" si="122"/>
        <v>4.1904647342379233</v>
      </c>
      <c r="R226" s="692">
        <f t="shared" si="108"/>
        <v>0.12780283417393459</v>
      </c>
      <c r="S226" s="329">
        <f t="shared" si="109"/>
        <v>0.99867295710502535</v>
      </c>
      <c r="T226" s="330">
        <f t="shared" si="110"/>
        <v>7.6186412138992909E-2</v>
      </c>
      <c r="U226" s="331">
        <f t="shared" si="111"/>
        <v>1.8977491852850243</v>
      </c>
      <c r="V226" s="332">
        <f t="shared" si="112"/>
        <v>-125.660924457147</v>
      </c>
      <c r="W226" s="334">
        <f t="shared" si="113"/>
        <v>54.339075542852996</v>
      </c>
      <c r="Y226" s="307">
        <f t="shared" si="114"/>
        <v>1000000000</v>
      </c>
      <c r="Z226" s="307">
        <f t="shared" si="115"/>
        <v>173791489</v>
      </c>
      <c r="AB226" s="333">
        <f t="shared" si="116"/>
        <v>17.083317799836287</v>
      </c>
      <c r="AC226" s="334">
        <f t="shared" si="117"/>
        <v>-35.605178628469126</v>
      </c>
      <c r="AE226" s="333">
        <f t="shared" si="118"/>
        <v>9.2754632653250297</v>
      </c>
      <c r="AF226" s="334">
        <f t="shared" si="119"/>
        <v>-87.113806721581881</v>
      </c>
      <c r="AH226">
        <f t="shared" si="120"/>
        <v>0</v>
      </c>
      <c r="AI226">
        <f t="shared" si="125"/>
        <v>0</v>
      </c>
    </row>
    <row r="227" spans="1:35" x14ac:dyDescent="0.25">
      <c r="A227" s="335">
        <v>13259.75</v>
      </c>
      <c r="B227" s="352">
        <f t="shared" si="121"/>
        <v>13.25975</v>
      </c>
      <c r="C227" s="325">
        <f t="shared" si="96"/>
        <v>8.3258142076512502</v>
      </c>
      <c r="D227" s="326">
        <f t="shared" si="97"/>
        <v>1.4503972816687596</v>
      </c>
      <c r="E227" s="326">
        <f t="shared" si="98"/>
        <v>1.0000151176748477</v>
      </c>
      <c r="F227" s="327">
        <f t="shared" si="99"/>
        <v>5.4986333569176779E-3</v>
      </c>
      <c r="G227" s="326">
        <f t="shared" si="100"/>
        <v>1</v>
      </c>
      <c r="H227" s="327">
        <f t="shared" si="101"/>
        <v>0</v>
      </c>
      <c r="I227" s="325">
        <f t="shared" si="102"/>
        <v>20796.701562017883</v>
      </c>
      <c r="J227" s="328">
        <f t="shared" si="103"/>
        <v>1.5707482422466137</v>
      </c>
      <c r="K227" s="336">
        <f t="shared" si="123"/>
        <v>1.9382403453123493</v>
      </c>
      <c r="L227" s="337">
        <f t="shared" si="124"/>
        <v>1.028701179868035</v>
      </c>
      <c r="M227" s="325">
        <f t="shared" si="104"/>
        <v>1.0029917744038264</v>
      </c>
      <c r="N227" s="337">
        <f t="shared" si="105"/>
        <v>7.7257161072102939E-2</v>
      </c>
      <c r="O227" s="343">
        <f t="shared" si="106"/>
        <v>1.0029640836506934</v>
      </c>
      <c r="P227" s="691">
        <f t="shared" si="107"/>
        <v>7.689968307376821E-2</v>
      </c>
      <c r="Q227" s="336">
        <f t="shared" si="122"/>
        <v>4.1908589771374309</v>
      </c>
      <c r="R227" s="692">
        <f t="shared" si="108"/>
        <v>0.12853884203738261</v>
      </c>
      <c r="S227" s="329">
        <f t="shared" si="109"/>
        <v>0.99865755544334678</v>
      </c>
      <c r="T227" s="330">
        <f t="shared" si="110"/>
        <v>7.6632013061097501E-2</v>
      </c>
      <c r="U227" s="331">
        <f t="shared" si="111"/>
        <v>1.8338958447143296</v>
      </c>
      <c r="V227" s="332">
        <f t="shared" si="112"/>
        <v>-125.61950954453067</v>
      </c>
      <c r="W227" s="334">
        <f t="shared" si="113"/>
        <v>54.380490455469328</v>
      </c>
      <c r="Y227" s="307">
        <f t="shared" si="114"/>
        <v>1000000000</v>
      </c>
      <c r="Z227" s="307">
        <f t="shared" si="115"/>
        <v>175820970.0625</v>
      </c>
      <c r="AB227" s="333">
        <f t="shared" si="116"/>
        <v>17.069540368041054</v>
      </c>
      <c r="AC227" s="334">
        <f t="shared" si="117"/>
        <v>-35.483518278896746</v>
      </c>
      <c r="AE227" s="333">
        <f t="shared" si="118"/>
        <v>9.2259086212012793</v>
      </c>
      <c r="AF227" s="334">
        <f t="shared" si="119"/>
        <v>-87.177285396032829</v>
      </c>
      <c r="AH227">
        <f t="shared" si="120"/>
        <v>0</v>
      </c>
      <c r="AI227">
        <f t="shared" si="125"/>
        <v>0</v>
      </c>
    </row>
    <row r="228" spans="1:35" x14ac:dyDescent="0.25">
      <c r="A228" s="335">
        <v>13336.5</v>
      </c>
      <c r="B228" s="352">
        <f t="shared" si="121"/>
        <v>13.336499999999999</v>
      </c>
      <c r="C228" s="325">
        <f t="shared" si="96"/>
        <v>8.37331239332444</v>
      </c>
      <c r="D228" s="326">
        <f t="shared" si="97"/>
        <v>1.4510835443810273</v>
      </c>
      <c r="E228" s="326">
        <f t="shared" si="98"/>
        <v>1.0000152931880535</v>
      </c>
      <c r="F228" s="327">
        <f t="shared" si="99"/>
        <v>5.530459864181294E-3</v>
      </c>
      <c r="G228" s="326">
        <f t="shared" si="100"/>
        <v>1</v>
      </c>
      <c r="H228" s="327">
        <f t="shared" si="101"/>
        <v>0</v>
      </c>
      <c r="I228" s="325">
        <f t="shared" si="102"/>
        <v>20917.076896485352</v>
      </c>
      <c r="J228" s="328">
        <f t="shared" si="103"/>
        <v>1.5707485189675729</v>
      </c>
      <c r="K228" s="336">
        <f t="shared" si="123"/>
        <v>1.9464792573034515</v>
      </c>
      <c r="L228" s="337">
        <f t="shared" si="124"/>
        <v>1.0312485193064773</v>
      </c>
      <c r="M228" s="325">
        <f t="shared" si="104"/>
        <v>1.0030264561736328</v>
      </c>
      <c r="N228" s="337">
        <f t="shared" si="105"/>
        <v>7.7702547836544927E-2</v>
      </c>
      <c r="O228" s="343">
        <f t="shared" si="106"/>
        <v>1.0029984448980123</v>
      </c>
      <c r="P228" s="691">
        <f t="shared" si="107"/>
        <v>7.7343025435498022E-2</v>
      </c>
      <c r="Q228" s="336">
        <f t="shared" si="122"/>
        <v>4.1912554712097663</v>
      </c>
      <c r="R228" s="692">
        <f t="shared" si="108"/>
        <v>0.12927471161722554</v>
      </c>
      <c r="S228" s="329">
        <f t="shared" si="109"/>
        <v>0.99864206659315136</v>
      </c>
      <c r="T228" s="330">
        <f t="shared" si="110"/>
        <v>7.7077649717787272E-2</v>
      </c>
      <c r="U228" s="331">
        <f t="shared" si="111"/>
        <v>1.7705083577062273</v>
      </c>
      <c r="V228" s="332">
        <f t="shared" si="112"/>
        <v>-125.57888248959337</v>
      </c>
      <c r="W228" s="334">
        <f t="shared" si="113"/>
        <v>54.421117510406631</v>
      </c>
      <c r="Y228" s="307">
        <f t="shared" si="114"/>
        <v>1000000000</v>
      </c>
      <c r="Z228" s="307">
        <f t="shared" si="115"/>
        <v>177862232.25</v>
      </c>
      <c r="AB228" s="333">
        <f t="shared" si="116"/>
        <v>17.055952375665481</v>
      </c>
      <c r="AC228" s="334">
        <f t="shared" si="117"/>
        <v>-35.363101116745767</v>
      </c>
      <c r="AE228" s="333">
        <f t="shared" si="118"/>
        <v>9.1766332824362067</v>
      </c>
      <c r="AF228" s="334">
        <f t="shared" si="119"/>
        <v>-87.240314928236785</v>
      </c>
      <c r="AH228">
        <f t="shared" si="120"/>
        <v>0</v>
      </c>
      <c r="AI228">
        <f t="shared" si="125"/>
        <v>0</v>
      </c>
    </row>
    <row r="229" spans="1:35" x14ac:dyDescent="0.25">
      <c r="A229" s="335">
        <v>13413.25</v>
      </c>
      <c r="B229" s="352">
        <f t="shared" si="121"/>
        <v>13.41325</v>
      </c>
      <c r="C229" s="325">
        <f t="shared" si="96"/>
        <v>8.4208144779757514</v>
      </c>
      <c r="D229" s="326">
        <f t="shared" si="97"/>
        <v>1.4517620649498941</v>
      </c>
      <c r="E229" s="326">
        <f t="shared" si="98"/>
        <v>1.0000154697142007</v>
      </c>
      <c r="F229" s="327">
        <f t="shared" si="99"/>
        <v>5.5622863602409001E-3</v>
      </c>
      <c r="G229" s="326">
        <f t="shared" si="100"/>
        <v>1</v>
      </c>
      <c r="H229" s="327">
        <f t="shared" si="101"/>
        <v>0</v>
      </c>
      <c r="I229" s="325">
        <f t="shared" si="102"/>
        <v>21037.452230954405</v>
      </c>
      <c r="J229" s="328">
        <f t="shared" si="103"/>
        <v>1.5707487925217631</v>
      </c>
      <c r="K229" s="336">
        <f t="shared" si="123"/>
        <v>1.9547306933583855</v>
      </c>
      <c r="L229" s="337">
        <f t="shared" si="124"/>
        <v>1.0337743690308701</v>
      </c>
      <c r="M229" s="325">
        <f t="shared" si="104"/>
        <v>1.0030613368993835</v>
      </c>
      <c r="N229" s="337">
        <f t="shared" si="105"/>
        <v>7.8147903713327568E-2</v>
      </c>
      <c r="O229" s="343">
        <f t="shared" si="106"/>
        <v>1.003033003273603</v>
      </c>
      <c r="P229" s="691">
        <f t="shared" si="107"/>
        <v>7.7786337334630612E-2</v>
      </c>
      <c r="Q229" s="336">
        <f t="shared" si="122"/>
        <v>4.1916542158161505</v>
      </c>
      <c r="R229" s="692">
        <f t="shared" si="108"/>
        <v>0.1300104421656722</v>
      </c>
      <c r="S229" s="329">
        <f t="shared" si="109"/>
        <v>0.99862649059305875</v>
      </c>
      <c r="T229" s="330">
        <f t="shared" si="110"/>
        <v>7.7523322315924625E-2</v>
      </c>
      <c r="U229" s="331">
        <f t="shared" si="111"/>
        <v>1.7075802194485594</v>
      </c>
      <c r="V229" s="332">
        <f t="shared" si="112"/>
        <v>-125.53903700065992</v>
      </c>
      <c r="W229" s="334">
        <f t="shared" si="113"/>
        <v>54.460962999340083</v>
      </c>
      <c r="Y229" s="307">
        <f t="shared" si="114"/>
        <v>1000000000</v>
      </c>
      <c r="Z229" s="307">
        <f t="shared" si="115"/>
        <v>179915275.5625</v>
      </c>
      <c r="AB229" s="333">
        <f t="shared" si="116"/>
        <v>17.042550374468838</v>
      </c>
      <c r="AC229" s="334">
        <f t="shared" si="117"/>
        <v>-35.243913273339139</v>
      </c>
      <c r="AE229" s="333">
        <f t="shared" si="118"/>
        <v>9.1276341901755202</v>
      </c>
      <c r="AF229" s="334">
        <f t="shared" si="119"/>
        <v>-87.302902928234175</v>
      </c>
      <c r="AH229">
        <f t="shared" si="120"/>
        <v>0</v>
      </c>
      <c r="AI229">
        <f t="shared" si="125"/>
        <v>0</v>
      </c>
    </row>
    <row r="230" spans="1:35" x14ac:dyDescent="0.25">
      <c r="A230" s="335">
        <v>13490</v>
      </c>
      <c r="B230" s="352">
        <f t="shared" si="121"/>
        <v>13.49</v>
      </c>
      <c r="C230" s="325">
        <f t="shared" si="96"/>
        <v>8.4683203959925599</v>
      </c>
      <c r="D230" s="326">
        <f t="shared" si="97"/>
        <v>1.4524329730418197</v>
      </c>
      <c r="E230" s="326">
        <f t="shared" si="98"/>
        <v>1.0000156472532893</v>
      </c>
      <c r="F230" s="327">
        <f t="shared" si="99"/>
        <v>5.594112845032027E-3</v>
      </c>
      <c r="G230" s="326">
        <f t="shared" si="100"/>
        <v>1</v>
      </c>
      <c r="H230" s="327">
        <f t="shared" si="101"/>
        <v>0</v>
      </c>
      <c r="I230" s="325">
        <f t="shared" si="102"/>
        <v>21157.827565425006</v>
      </c>
      <c r="J230" s="328">
        <f t="shared" si="103"/>
        <v>1.5707490629632352</v>
      </c>
      <c r="K230" s="336">
        <f t="shared" si="123"/>
        <v>1.962994495542667</v>
      </c>
      <c r="L230" s="337">
        <f t="shared" si="124"/>
        <v>1.0362789680091982</v>
      </c>
      <c r="M230" s="325">
        <f t="shared" si="104"/>
        <v>1.0030964165603233</v>
      </c>
      <c r="N230" s="337">
        <f t="shared" si="105"/>
        <v>7.8593228529016887E-2</v>
      </c>
      <c r="O230" s="343">
        <f t="shared" si="106"/>
        <v>1.0030677587570904</v>
      </c>
      <c r="P230" s="691">
        <f t="shared" si="107"/>
        <v>7.8229618600079417E-2</v>
      </c>
      <c r="Q230" s="336">
        <f t="shared" si="122"/>
        <v>4.19205521031442</v>
      </c>
      <c r="R230" s="692">
        <f t="shared" si="108"/>
        <v>0.13074603293581225</v>
      </c>
      <c r="S230" s="329">
        <f t="shared" si="109"/>
        <v>0.99861082748191443</v>
      </c>
      <c r="T230" s="330">
        <f t="shared" si="110"/>
        <v>7.7969031062371852E-2</v>
      </c>
      <c r="U230" s="331">
        <f t="shared" si="111"/>
        <v>1.6451050487765853</v>
      </c>
      <c r="V230" s="332">
        <f t="shared" si="112"/>
        <v>-125.49996678723775</v>
      </c>
      <c r="W230" s="334">
        <f t="shared" si="113"/>
        <v>54.500033212762247</v>
      </c>
      <c r="Y230" s="307">
        <f t="shared" si="114"/>
        <v>1000000000</v>
      </c>
      <c r="Z230" s="307">
        <f t="shared" si="115"/>
        <v>181980100</v>
      </c>
      <c r="AB230" s="333">
        <f t="shared" si="116"/>
        <v>17.029330990547141</v>
      </c>
      <c r="AC230" s="334">
        <f t="shared" si="117"/>
        <v>-35.125941049979765</v>
      </c>
      <c r="AE230" s="333">
        <f t="shared" si="118"/>
        <v>9.0789083348640158</v>
      </c>
      <c r="AF230" s="334">
        <f t="shared" si="119"/>
        <v>-87.365056837221942</v>
      </c>
      <c r="AH230">
        <f t="shared" si="120"/>
        <v>0</v>
      </c>
      <c r="AI230">
        <f t="shared" si="125"/>
        <v>0</v>
      </c>
    </row>
    <row r="231" spans="1:35" x14ac:dyDescent="0.25">
      <c r="A231" s="335">
        <v>13568.5</v>
      </c>
      <c r="B231" s="352">
        <f t="shared" si="121"/>
        <v>13.5685</v>
      </c>
      <c r="C231" s="325">
        <f t="shared" si="96"/>
        <v>8.5169134094471204</v>
      </c>
      <c r="D231" s="326">
        <f t="shared" si="97"/>
        <v>1.4531114360456827</v>
      </c>
      <c r="E231" s="326">
        <f t="shared" si="98"/>
        <v>1.0000158298883486</v>
      </c>
      <c r="F231" s="327">
        <f t="shared" si="99"/>
        <v>5.6266650034201126E-3</v>
      </c>
      <c r="G231" s="326">
        <f t="shared" si="100"/>
        <v>1</v>
      </c>
      <c r="H231" s="327">
        <f t="shared" si="101"/>
        <v>0</v>
      </c>
      <c r="I231" s="325">
        <f t="shared" si="102"/>
        <v>21280.947614363955</v>
      </c>
      <c r="J231" s="328">
        <f t="shared" si="103"/>
        <v>1.5707493364061935</v>
      </c>
      <c r="K231" s="336">
        <f t="shared" si="123"/>
        <v>1.9714593533845872</v>
      </c>
      <c r="L231" s="337">
        <f t="shared" si="124"/>
        <v>1.0388189380232218</v>
      </c>
      <c r="M231" s="325">
        <f t="shared" si="104"/>
        <v>1.0031325018523589</v>
      </c>
      <c r="N231" s="337">
        <f t="shared" si="105"/>
        <v>7.9048675018516493E-2</v>
      </c>
      <c r="O231" s="343">
        <f t="shared" si="106"/>
        <v>1.0031035105901396</v>
      </c>
      <c r="P231" s="691">
        <f t="shared" si="107"/>
        <v>7.8682975388314425E-2</v>
      </c>
      <c r="Q231" s="336">
        <f t="shared" si="122"/>
        <v>4.1924676747642806</v>
      </c>
      <c r="R231" s="692">
        <f t="shared" si="108"/>
        <v>0.13149825076100788</v>
      </c>
      <c r="S231" s="329">
        <f t="shared" si="109"/>
        <v>0.9985947171590901</v>
      </c>
      <c r="T231" s="330">
        <f t="shared" si="110"/>
        <v>7.8424940158632953E-2</v>
      </c>
      <c r="U231" s="331">
        <f t="shared" si="111"/>
        <v>1.5816674158660669</v>
      </c>
      <c r="V231" s="332">
        <f t="shared" si="112"/>
        <v>-125.46080116259307</v>
      </c>
      <c r="W231" s="334">
        <f t="shared" si="113"/>
        <v>54.539198837406929</v>
      </c>
      <c r="Y231" s="307">
        <f t="shared" si="114"/>
        <v>1000000000</v>
      </c>
      <c r="Z231" s="307">
        <f t="shared" si="115"/>
        <v>184104192.25</v>
      </c>
      <c r="AB231" s="333">
        <f t="shared" si="116"/>
        <v>17.015995657344881</v>
      </c>
      <c r="AC231" s="334">
        <f t="shared" si="117"/>
        <v>-35.006522316719789</v>
      </c>
      <c r="AE231" s="333">
        <f t="shared" si="118"/>
        <v>9.0293510334356188</v>
      </c>
      <c r="AF231" s="334">
        <f t="shared" si="119"/>
        <v>-87.428186469738904</v>
      </c>
      <c r="AH231">
        <f t="shared" si="120"/>
        <v>0</v>
      </c>
      <c r="AI231">
        <f t="shared" si="125"/>
        <v>0</v>
      </c>
    </row>
    <row r="232" spans="1:35" x14ac:dyDescent="0.25">
      <c r="A232" s="335">
        <v>13647</v>
      </c>
      <c r="B232" s="352">
        <f t="shared" si="121"/>
        <v>13.647</v>
      </c>
      <c r="C232" s="325">
        <f t="shared" si="96"/>
        <v>8.5655102988563954</v>
      </c>
      <c r="D232" s="326">
        <f t="shared" si="97"/>
        <v>1.4537822007617509</v>
      </c>
      <c r="E232" s="326">
        <f t="shared" si="98"/>
        <v>1.0000160135830676</v>
      </c>
      <c r="F232" s="327">
        <f t="shared" si="99"/>
        <v>5.659217149883565E-3</v>
      </c>
      <c r="G232" s="326">
        <f t="shared" si="100"/>
        <v>1</v>
      </c>
      <c r="H232" s="327">
        <f t="shared" si="101"/>
        <v>0</v>
      </c>
      <c r="I232" s="325">
        <f t="shared" si="102"/>
        <v>21404.067663304475</v>
      </c>
      <c r="J232" s="328">
        <f t="shared" si="103"/>
        <v>1.5707496067033657</v>
      </c>
      <c r="K232" s="336">
        <f t="shared" si="123"/>
        <v>1.9799368211922115</v>
      </c>
      <c r="L232" s="337">
        <f t="shared" si="124"/>
        <v>1.0413371734596495</v>
      </c>
      <c r="M232" s="325">
        <f t="shared" si="104"/>
        <v>1.0031687952106838</v>
      </c>
      <c r="N232" s="337">
        <f t="shared" si="105"/>
        <v>7.9504088647539717E-2</v>
      </c>
      <c r="O232" s="343">
        <f t="shared" si="106"/>
        <v>1.0031394685787178</v>
      </c>
      <c r="P232" s="691">
        <f t="shared" si="107"/>
        <v>7.9136299768157906E-2</v>
      </c>
      <c r="Q232" s="336">
        <f t="shared" si="122"/>
        <v>4.1928824915069907</v>
      </c>
      <c r="R232" s="692">
        <f t="shared" si="108"/>
        <v>0.13225032078327467</v>
      </c>
      <c r="S232" s="329">
        <f t="shared" si="109"/>
        <v>0.99857851579035872</v>
      </c>
      <c r="T232" s="330">
        <f t="shared" si="110"/>
        <v>7.88808875081949E-2</v>
      </c>
      <c r="U232" s="331">
        <f t="shared" si="111"/>
        <v>1.5186905230361916</v>
      </c>
      <c r="V232" s="332">
        <f t="shared" si="112"/>
        <v>-125.42243327592399</v>
      </c>
      <c r="W232" s="334">
        <f t="shared" si="113"/>
        <v>54.577566724076007</v>
      </c>
      <c r="Y232" s="307">
        <f t="shared" si="114"/>
        <v>1000000000</v>
      </c>
      <c r="Z232" s="307">
        <f t="shared" si="115"/>
        <v>186240609</v>
      </c>
      <c r="AB232" s="333">
        <f t="shared" si="116"/>
        <v>17.002844454853761</v>
      </c>
      <c r="AC232" s="334">
        <f t="shared" si="117"/>
        <v>-34.888346820020118</v>
      </c>
      <c r="AE232" s="333">
        <f t="shared" si="118"/>
        <v>8.9800733562619168</v>
      </c>
      <c r="AF232" s="334">
        <f t="shared" si="119"/>
        <v>-87.490877215291164</v>
      </c>
      <c r="AH232">
        <f t="shared" si="120"/>
        <v>0</v>
      </c>
      <c r="AI232">
        <f t="shared" si="125"/>
        <v>0</v>
      </c>
    </row>
    <row r="233" spans="1:35" x14ac:dyDescent="0.25">
      <c r="A233" s="335">
        <v>13725.5</v>
      </c>
      <c r="B233" s="352">
        <f t="shared" si="121"/>
        <v>13.7255</v>
      </c>
      <c r="C233" s="325">
        <f t="shared" si="96"/>
        <v>8.61411099862128</v>
      </c>
      <c r="D233" s="326">
        <f t="shared" si="97"/>
        <v>1.4544453968821827</v>
      </c>
      <c r="E233" s="326">
        <f t="shared" si="98"/>
        <v>1.0000161983374452</v>
      </c>
      <c r="F233" s="327">
        <f t="shared" si="99"/>
        <v>5.6917692843534012E-3</v>
      </c>
      <c r="G233" s="326">
        <f t="shared" si="100"/>
        <v>1</v>
      </c>
      <c r="H233" s="327">
        <f t="shared" si="101"/>
        <v>0</v>
      </c>
      <c r="I233" s="325">
        <f t="shared" si="102"/>
        <v>21527.187712246541</v>
      </c>
      <c r="J233" s="328">
        <f t="shared" si="103"/>
        <v>1.5707498739087264</v>
      </c>
      <c r="K233" s="336">
        <f t="shared" si="123"/>
        <v>1.9884267376813871</v>
      </c>
      <c r="L233" s="337">
        <f t="shared" si="124"/>
        <v>1.0438339205722897</v>
      </c>
      <c r="M233" s="325">
        <f t="shared" si="104"/>
        <v>1.0032052966127161</v>
      </c>
      <c r="N233" s="337">
        <f t="shared" si="105"/>
        <v>7.9959469230756294E-2</v>
      </c>
      <c r="O233" s="343">
        <f t="shared" si="106"/>
        <v>1.0031756327006565</v>
      </c>
      <c r="P233" s="691">
        <f t="shared" si="107"/>
        <v>7.9589591556785869E-2</v>
      </c>
      <c r="Q233" s="336">
        <f t="shared" si="122"/>
        <v>4.193299659844504</v>
      </c>
      <c r="R233" s="692">
        <f t="shared" si="108"/>
        <v>0.13300224220632414</v>
      </c>
      <c r="S233" s="329">
        <f t="shared" si="109"/>
        <v>0.9985622234180177</v>
      </c>
      <c r="T233" s="330">
        <f t="shared" si="110"/>
        <v>7.9336873332394697E-2</v>
      </c>
      <c r="U233" s="331">
        <f t="shared" si="111"/>
        <v>1.4561679255025792</v>
      </c>
      <c r="V233" s="332">
        <f t="shared" si="112"/>
        <v>-125.38485641875046</v>
      </c>
      <c r="W233" s="334">
        <f t="shared" si="113"/>
        <v>54.615143581249541</v>
      </c>
      <c r="Y233" s="307">
        <f t="shared" si="114"/>
        <v>1000000000</v>
      </c>
      <c r="Z233" s="307">
        <f t="shared" si="115"/>
        <v>188389350.25</v>
      </c>
      <c r="AB233" s="333">
        <f t="shared" si="116"/>
        <v>16.989874002565966</v>
      </c>
      <c r="AC233" s="334">
        <f t="shared" si="117"/>
        <v>-34.771400443050673</v>
      </c>
      <c r="AE233" s="333">
        <f t="shared" si="118"/>
        <v>8.931072236573911</v>
      </c>
      <c r="AF233" s="334">
        <f t="shared" si="119"/>
        <v>-87.553136517377666</v>
      </c>
      <c r="AH233">
        <f t="shared" si="120"/>
        <v>0</v>
      </c>
      <c r="AI233">
        <f t="shared" si="125"/>
        <v>0</v>
      </c>
    </row>
    <row r="234" spans="1:35" x14ac:dyDescent="0.25">
      <c r="A234" s="335">
        <v>13804</v>
      </c>
      <c r="B234" s="352">
        <f t="shared" si="121"/>
        <v>13.804</v>
      </c>
      <c r="C234" s="325">
        <f t="shared" si="96"/>
        <v>8.6627154446097041</v>
      </c>
      <c r="D234" s="326">
        <f t="shared" si="97"/>
        <v>1.4551011512154224</v>
      </c>
      <c r="E234" s="326">
        <f t="shared" si="98"/>
        <v>1.0000163841514811</v>
      </c>
      <c r="F234" s="327">
        <f t="shared" si="99"/>
        <v>5.7243214067606435E-3</v>
      </c>
      <c r="G234" s="326">
        <f t="shared" si="100"/>
        <v>1</v>
      </c>
      <c r="H234" s="327">
        <f t="shared" si="101"/>
        <v>0</v>
      </c>
      <c r="I234" s="325">
        <f t="shared" si="102"/>
        <v>21650.307761190124</v>
      </c>
      <c r="J234" s="328">
        <f t="shared" si="103"/>
        <v>1.5707501380750231</v>
      </c>
      <c r="K234" s="336">
        <f t="shared" si="123"/>
        <v>1.9969289440759146</v>
      </c>
      <c r="L234" s="337">
        <f t="shared" si="124"/>
        <v>1.0463094225019667</v>
      </c>
      <c r="M234" s="325">
        <f t="shared" si="104"/>
        <v>1.0032420060357479</v>
      </c>
      <c r="N234" s="337">
        <f t="shared" si="105"/>
        <v>8.0414816582917617E-2</v>
      </c>
      <c r="O234" s="343">
        <f t="shared" si="106"/>
        <v>1.0032120029336631</v>
      </c>
      <c r="P234" s="691">
        <f t="shared" si="107"/>
        <v>8.0042850571454133E-2</v>
      </c>
      <c r="Q234" s="336">
        <f t="shared" si="122"/>
        <v>4.1937191790750985</v>
      </c>
      <c r="R234" s="692">
        <f t="shared" si="108"/>
        <v>0.13375401423485039</v>
      </c>
      <c r="S234" s="329">
        <f t="shared" si="109"/>
        <v>0.99854584008461189</v>
      </c>
      <c r="T234" s="330">
        <f t="shared" si="110"/>
        <v>7.9792897852569253E-2</v>
      </c>
      <c r="U234" s="331">
        <f t="shared" si="111"/>
        <v>1.3940933015704318</v>
      </c>
      <c r="V234" s="332">
        <f t="shared" si="112"/>
        <v>-125.34806389571484</v>
      </c>
      <c r="W234" s="334">
        <f t="shared" si="113"/>
        <v>54.651936104285156</v>
      </c>
      <c r="Y234" s="307">
        <f t="shared" si="114"/>
        <v>1000000000</v>
      </c>
      <c r="Z234" s="307">
        <f t="shared" si="115"/>
        <v>190550416</v>
      </c>
      <c r="AB234" s="333">
        <f t="shared" si="116"/>
        <v>16.977080993507883</v>
      </c>
      <c r="AC234" s="334">
        <f t="shared" si="117"/>
        <v>-34.655669247276641</v>
      </c>
      <c r="AE234" s="333">
        <f t="shared" si="118"/>
        <v>8.8823446571454436</v>
      </c>
      <c r="AF234" s="334">
        <f t="shared" si="119"/>
        <v>-87.614971654272736</v>
      </c>
      <c r="AH234">
        <f t="shared" si="120"/>
        <v>0</v>
      </c>
      <c r="AI234">
        <f t="shared" si="125"/>
        <v>0</v>
      </c>
    </row>
    <row r="235" spans="1:35" x14ac:dyDescent="0.25">
      <c r="A235" s="335">
        <v>13884.25</v>
      </c>
      <c r="B235" s="352">
        <f t="shared" si="121"/>
        <v>13.88425</v>
      </c>
      <c r="C235" s="325">
        <f t="shared" si="96"/>
        <v>8.7124072363375404</v>
      </c>
      <c r="D235" s="326">
        <f t="shared" si="97"/>
        <v>1.4557639609079904</v>
      </c>
      <c r="E235" s="326">
        <f t="shared" si="98"/>
        <v>1.0000165752032235</v>
      </c>
      <c r="F235" s="327">
        <f t="shared" si="99"/>
        <v>5.7575992008845785E-3</v>
      </c>
      <c r="G235" s="326">
        <f t="shared" si="100"/>
        <v>1</v>
      </c>
      <c r="H235" s="327">
        <f t="shared" si="101"/>
        <v>0</v>
      </c>
      <c r="I235" s="325">
        <f t="shared" si="102"/>
        <v>21776.172524602149</v>
      </c>
      <c r="J235" s="328">
        <f t="shared" si="103"/>
        <v>1.5707504050426133</v>
      </c>
      <c r="K235" s="336">
        <f t="shared" si="123"/>
        <v>2.0056332312669363</v>
      </c>
      <c r="L235" s="337">
        <f t="shared" si="124"/>
        <v>1.0488183998658511</v>
      </c>
      <c r="M235" s="325">
        <f t="shared" si="104"/>
        <v>1.0032797488267402</v>
      </c>
      <c r="N235" s="337">
        <f t="shared" si="105"/>
        <v>8.0880280447331893E-2</v>
      </c>
      <c r="O235" s="343">
        <f t="shared" si="106"/>
        <v>1.0032493969992318</v>
      </c>
      <c r="P235" s="691">
        <f t="shared" si="107"/>
        <v>8.0506180018181162E-2</v>
      </c>
      <c r="Q235" s="336">
        <f t="shared" si="122"/>
        <v>4.1941504800005465</v>
      </c>
      <c r="R235" s="692">
        <f t="shared" si="108"/>
        <v>0.13452239025792395</v>
      </c>
      <c r="S235" s="329">
        <f t="shared" si="109"/>
        <v>0.99852899753686397</v>
      </c>
      <c r="T235" s="330">
        <f t="shared" si="110"/>
        <v>8.0259128754524428E-2</v>
      </c>
      <c r="U235" s="331">
        <f t="shared" si="111"/>
        <v>1.3310914560130158</v>
      </c>
      <c r="V235" s="332">
        <f t="shared" si="112"/>
        <v>-125.31125495808122</v>
      </c>
      <c r="W235" s="334">
        <f t="shared" si="113"/>
        <v>54.688745041918779</v>
      </c>
      <c r="Y235" s="307">
        <f t="shared" si="114"/>
        <v>1000000000</v>
      </c>
      <c r="Z235" s="307">
        <f t="shared" si="115"/>
        <v>192772398.0625</v>
      </c>
      <c r="AB235" s="333">
        <f t="shared" si="116"/>
        <v>16.964182842200803</v>
      </c>
      <c r="AC235" s="334">
        <f t="shared" si="117"/>
        <v>-34.5385998443614</v>
      </c>
      <c r="AE235" s="333">
        <f t="shared" si="118"/>
        <v>8.8328104581124744</v>
      </c>
      <c r="AF235" s="334">
        <f t="shared" si="119"/>
        <v>-87.67775423815479</v>
      </c>
      <c r="AH235">
        <f t="shared" si="120"/>
        <v>0</v>
      </c>
      <c r="AI235">
        <f t="shared" si="125"/>
        <v>0</v>
      </c>
    </row>
    <row r="236" spans="1:35" x14ac:dyDescent="0.25">
      <c r="A236" s="335">
        <v>13964.5</v>
      </c>
      <c r="B236" s="352">
        <f t="shared" si="121"/>
        <v>13.964499999999999</v>
      </c>
      <c r="C236" s="325">
        <f t="shared" si="96"/>
        <v>8.7621028121570639</v>
      </c>
      <c r="D236" s="326">
        <f t="shared" si="97"/>
        <v>1.4564192524372335</v>
      </c>
      <c r="E236" s="326">
        <f t="shared" si="98"/>
        <v>1.0000167673623954</v>
      </c>
      <c r="F236" s="327">
        <f t="shared" si="99"/>
        <v>5.7908769822563131E-3</v>
      </c>
      <c r="G236" s="326">
        <f t="shared" si="100"/>
        <v>1</v>
      </c>
      <c r="H236" s="327">
        <f t="shared" si="101"/>
        <v>0</v>
      </c>
      <c r="I236" s="325">
        <f t="shared" si="102"/>
        <v>21902.037288015705</v>
      </c>
      <c r="J236" s="328">
        <f t="shared" si="103"/>
        <v>1.5707506689418305</v>
      </c>
      <c r="K236" s="336">
        <f t="shared" si="123"/>
        <v>2.0143500346954717</v>
      </c>
      <c r="L236" s="337">
        <f t="shared" si="124"/>
        <v>1.0513056783135615</v>
      </c>
      <c r="M236" s="325">
        <f t="shared" si="104"/>
        <v>1.0033177089685397</v>
      </c>
      <c r="N236" s="337">
        <f t="shared" si="105"/>
        <v>8.134570919128345E-2</v>
      </c>
      <c r="O236" s="343">
        <f t="shared" si="106"/>
        <v>1.0032870064204571</v>
      </c>
      <c r="P236" s="691">
        <f t="shared" si="107"/>
        <v>8.0969474827435259E-2</v>
      </c>
      <c r="Q236" s="336">
        <f t="shared" si="122"/>
        <v>4.1945842363094989</v>
      </c>
      <c r="R236" s="692">
        <f t="shared" si="108"/>
        <v>0.13529060847363758</v>
      </c>
      <c r="S236" s="329">
        <f t="shared" si="109"/>
        <v>0.99851206001796533</v>
      </c>
      <c r="T236" s="330">
        <f t="shared" si="110"/>
        <v>8.0725400564770233E-2</v>
      </c>
      <c r="U236" s="331">
        <f t="shared" si="111"/>
        <v>1.2685448006649027</v>
      </c>
      <c r="V236" s="332">
        <f t="shared" si="112"/>
        <v>-125.27525161716632</v>
      </c>
      <c r="W236" s="334">
        <f t="shared" si="113"/>
        <v>54.724748382833681</v>
      </c>
      <c r="Y236" s="307">
        <f t="shared" si="114"/>
        <v>1000000000</v>
      </c>
      <c r="Z236" s="307">
        <f t="shared" si="115"/>
        <v>195007260.25</v>
      </c>
      <c r="AB236" s="333">
        <f t="shared" si="116"/>
        <v>16.951463371915494</v>
      </c>
      <c r="AC236" s="334">
        <f t="shared" si="117"/>
        <v>-34.422771509705257</v>
      </c>
      <c r="AE236" s="333">
        <f t="shared" si="118"/>
        <v>8.7835559085153001</v>
      </c>
      <c r="AF236" s="334">
        <f t="shared" si="119"/>
        <v>-87.740108407611174</v>
      </c>
      <c r="AH236">
        <f t="shared" si="120"/>
        <v>0</v>
      </c>
      <c r="AI236">
        <f t="shared" si="125"/>
        <v>0</v>
      </c>
    </row>
    <row r="237" spans="1:35" x14ac:dyDescent="0.25">
      <c r="A237" s="335">
        <v>14044.75</v>
      </c>
      <c r="B237" s="352">
        <f t="shared" si="121"/>
        <v>14.044750000000001</v>
      </c>
      <c r="C237" s="325">
        <f t="shared" si="96"/>
        <v>8.8118021080452866</v>
      </c>
      <c r="D237" s="326">
        <f t="shared" si="97"/>
        <v>1.4570671524447596</v>
      </c>
      <c r="E237" s="326">
        <f t="shared" si="98"/>
        <v>1.0000169606289964</v>
      </c>
      <c r="F237" s="327">
        <f t="shared" si="99"/>
        <v>5.8241547508021503E-3</v>
      </c>
      <c r="G237" s="326">
        <f t="shared" si="100"/>
        <v>1</v>
      </c>
      <c r="H237" s="327">
        <f t="shared" si="101"/>
        <v>0</v>
      </c>
      <c r="I237" s="325">
        <f t="shared" si="102"/>
        <v>22027.90205143077</v>
      </c>
      <c r="J237" s="328">
        <f t="shared" si="103"/>
        <v>1.5707509298252711</v>
      </c>
      <c r="K237" s="336">
        <f t="shared" si="123"/>
        <v>2.0230791925760934</v>
      </c>
      <c r="L237" s="337">
        <f t="shared" si="124"/>
        <v>1.0537715077482754</v>
      </c>
      <c r="M237" s="325">
        <f t="shared" si="104"/>
        <v>1.0033558864364769</v>
      </c>
      <c r="N237" s="337">
        <f t="shared" si="105"/>
        <v>8.1811102617123974E-2</v>
      </c>
      <c r="O237" s="343">
        <f t="shared" si="106"/>
        <v>1.0033248311731209</v>
      </c>
      <c r="P237" s="691">
        <f t="shared" si="107"/>
        <v>8.1432734804237669E-2</v>
      </c>
      <c r="Q237" s="336">
        <f t="shared" si="122"/>
        <v>4.195020447240366</v>
      </c>
      <c r="R237" s="692">
        <f t="shared" si="108"/>
        <v>0.13605866803551628</v>
      </c>
      <c r="S237" s="329">
        <f t="shared" si="109"/>
        <v>0.99849502757417286</v>
      </c>
      <c r="T237" s="330">
        <f t="shared" si="110"/>
        <v>8.1191713519777872E-2</v>
      </c>
      <c r="U237" s="331">
        <f t="shared" si="111"/>
        <v>1.2064469619437612</v>
      </c>
      <c r="V237" s="332">
        <f t="shared" si="112"/>
        <v>-125.24004677851661</v>
      </c>
      <c r="W237" s="334">
        <f t="shared" si="113"/>
        <v>54.759953221483386</v>
      </c>
      <c r="Y237" s="307">
        <f t="shared" si="114"/>
        <v>1000000000</v>
      </c>
      <c r="Z237" s="307">
        <f t="shared" si="115"/>
        <v>197255002.5625</v>
      </c>
      <c r="AB237" s="333">
        <f t="shared" si="116"/>
        <v>16.938919276049191</v>
      </c>
      <c r="AC237" s="334">
        <f t="shared" si="117"/>
        <v>-34.308169916599951</v>
      </c>
      <c r="AE237" s="333">
        <f t="shared" si="118"/>
        <v>8.7345779386576048</v>
      </c>
      <c r="AF237" s="334">
        <f t="shared" si="119"/>
        <v>-87.802041432224613</v>
      </c>
      <c r="AH237">
        <f t="shared" si="120"/>
        <v>0</v>
      </c>
      <c r="AI237">
        <f t="shared" si="125"/>
        <v>0</v>
      </c>
    </row>
    <row r="238" spans="1:35" x14ac:dyDescent="0.25">
      <c r="A238" s="335">
        <v>14125</v>
      </c>
      <c r="B238" s="352">
        <f t="shared" si="121"/>
        <v>14.125</v>
      </c>
      <c r="C238" s="325">
        <f t="shared" si="96"/>
        <v>8.8615050614107727</v>
      </c>
      <c r="D238" s="326">
        <f t="shared" si="97"/>
        <v>1.4577077847560589</v>
      </c>
      <c r="E238" s="326">
        <f t="shared" si="98"/>
        <v>1.0000171550030255</v>
      </c>
      <c r="F238" s="327">
        <f t="shared" si="99"/>
        <v>5.8574325064483937E-3</v>
      </c>
      <c r="G238" s="326">
        <f t="shared" si="100"/>
        <v>1</v>
      </c>
      <c r="H238" s="327">
        <f t="shared" si="101"/>
        <v>0</v>
      </c>
      <c r="I238" s="325">
        <f t="shared" si="102"/>
        <v>22153.76681484732</v>
      </c>
      <c r="J238" s="328">
        <f t="shared" si="103"/>
        <v>1.570751187744337</v>
      </c>
      <c r="K238" s="336">
        <f t="shared" si="123"/>
        <v>2.031820545676295</v>
      </c>
      <c r="L238" s="337">
        <f t="shared" si="124"/>
        <v>1.0562161348250858</v>
      </c>
      <c r="M238" s="325">
        <f t="shared" si="104"/>
        <v>1.0033942812057455</v>
      </c>
      <c r="N238" s="337">
        <f t="shared" si="105"/>
        <v>8.2276460527296272E-2</v>
      </c>
      <c r="O238" s="343">
        <f t="shared" si="106"/>
        <v>1.0033628712328708</v>
      </c>
      <c r="P238" s="691">
        <f t="shared" si="107"/>
        <v>8.1895959753698774E-2</v>
      </c>
      <c r="Q238" s="336">
        <f t="shared" si="122"/>
        <v>4.1954591120275611</v>
      </c>
      <c r="R238" s="692">
        <f t="shared" si="108"/>
        <v>0.13682656809817853</v>
      </c>
      <c r="S238" s="329">
        <f t="shared" si="109"/>
        <v>0.99847790025201344</v>
      </c>
      <c r="T238" s="330">
        <f t="shared" si="110"/>
        <v>8.1658067856018271E-2</v>
      </c>
      <c r="U238" s="331">
        <f t="shared" si="111"/>
        <v>1.1447916884828533</v>
      </c>
      <c r="V238" s="332">
        <f t="shared" si="112"/>
        <v>-125.20563337242272</v>
      </c>
      <c r="W238" s="334">
        <f t="shared" si="113"/>
        <v>54.794366627577276</v>
      </c>
      <c r="Y238" s="307">
        <f t="shared" si="114"/>
        <v>1000000000</v>
      </c>
      <c r="Z238" s="307">
        <f t="shared" si="115"/>
        <v>199515625</v>
      </c>
      <c r="AB238" s="333">
        <f t="shared" si="116"/>
        <v>16.926547320525181</v>
      </c>
      <c r="AC238" s="334">
        <f t="shared" si="117"/>
        <v>-34.194780924375578</v>
      </c>
      <c r="AE238" s="333">
        <f t="shared" si="118"/>
        <v>8.6858735285190143</v>
      </c>
      <c r="AF238" s="334">
        <f t="shared" si="119"/>
        <v>-87.863560420226079</v>
      </c>
      <c r="AH238">
        <f t="shared" si="120"/>
        <v>0</v>
      </c>
      <c r="AI238">
        <f t="shared" si="125"/>
        <v>0</v>
      </c>
    </row>
    <row r="239" spans="1:35" x14ac:dyDescent="0.25">
      <c r="A239" s="335">
        <v>14207.25</v>
      </c>
      <c r="B239" s="352">
        <f t="shared" si="121"/>
        <v>14.20725</v>
      </c>
      <c r="C239" s="325">
        <f t="shared" si="96"/>
        <v>8.9124504489800014</v>
      </c>
      <c r="D239" s="326">
        <f t="shared" si="97"/>
        <v>1.4583569680162896</v>
      </c>
      <c r="E239" s="326">
        <f t="shared" si="98"/>
        <v>1.0000173553704375</v>
      </c>
      <c r="F239" s="327">
        <f t="shared" si="99"/>
        <v>5.8915396007973384E-3</v>
      </c>
      <c r="G239" s="326">
        <f t="shared" si="100"/>
        <v>1</v>
      </c>
      <c r="H239" s="327">
        <f t="shared" si="101"/>
        <v>0</v>
      </c>
      <c r="I239" s="325">
        <f t="shared" si="102"/>
        <v>22282.768394799125</v>
      </c>
      <c r="J239" s="328">
        <f t="shared" si="103"/>
        <v>1.5707514490677392</v>
      </c>
      <c r="K239" s="336">
        <f t="shared" si="123"/>
        <v>2.0407922427491276</v>
      </c>
      <c r="L239" s="337">
        <f t="shared" si="124"/>
        <v>1.0586999403329906</v>
      </c>
      <c r="M239" s="325">
        <f t="shared" si="104"/>
        <v>1.0034338583201281</v>
      </c>
      <c r="N239" s="337">
        <f t="shared" si="105"/>
        <v>8.2753379081398307E-2</v>
      </c>
      <c r="O239" s="343">
        <f t="shared" si="106"/>
        <v>1.0034020827286843</v>
      </c>
      <c r="P239" s="691">
        <f t="shared" si="107"/>
        <v>8.2370692698712916E-2</v>
      </c>
      <c r="Q239" s="336">
        <f t="shared" si="122"/>
        <v>4.1959112548166093</v>
      </c>
      <c r="R239" s="692">
        <f t="shared" si="108"/>
        <v>0.13761343946239135</v>
      </c>
      <c r="S239" s="329">
        <f t="shared" si="109"/>
        <v>0.99846024767498354</v>
      </c>
      <c r="T239" s="330">
        <f t="shared" si="110"/>
        <v>8.2136087918701958E-2</v>
      </c>
      <c r="U239" s="331">
        <f t="shared" si="111"/>
        <v>1.0820526669259769</v>
      </c>
      <c r="V239" s="332">
        <f t="shared" si="112"/>
        <v>-125.17117620724107</v>
      </c>
      <c r="W239" s="334">
        <f t="shared" si="113"/>
        <v>54.828823792758925</v>
      </c>
      <c r="Y239" s="307">
        <f t="shared" si="114"/>
        <v>1000000000</v>
      </c>
      <c r="Z239" s="307">
        <f t="shared" si="115"/>
        <v>201845952.5625</v>
      </c>
      <c r="AB239" s="333">
        <f t="shared" si="116"/>
        <v>16.914042349175404</v>
      </c>
      <c r="AC239" s="334">
        <f t="shared" si="117"/>
        <v>-34.079809744559476</v>
      </c>
      <c r="AE239" s="333">
        <f t="shared" si="118"/>
        <v>8.6362360638113937</v>
      </c>
      <c r="AF239" s="334">
        <f t="shared" si="119"/>
        <v>-87.926190220796101</v>
      </c>
      <c r="AH239">
        <f t="shared" si="120"/>
        <v>0</v>
      </c>
      <c r="AI239">
        <f t="shared" si="125"/>
        <v>0</v>
      </c>
    </row>
    <row r="240" spans="1:35" x14ac:dyDescent="0.25">
      <c r="A240" s="335">
        <v>14289.5</v>
      </c>
      <c r="B240" s="352">
        <f t="shared" si="121"/>
        <v>14.2895</v>
      </c>
      <c r="C240" s="325">
        <f t="shared" si="96"/>
        <v>8.9633995499050183</v>
      </c>
      <c r="D240" s="326">
        <f t="shared" si="97"/>
        <v>1.4589987714643173</v>
      </c>
      <c r="E240" s="326">
        <f t="shared" si="98"/>
        <v>1.0000175569011633</v>
      </c>
      <c r="F240" s="327">
        <f t="shared" si="99"/>
        <v>5.9256466814389466E-3</v>
      </c>
      <c r="G240" s="326">
        <f t="shared" si="100"/>
        <v>1</v>
      </c>
      <c r="H240" s="327">
        <f t="shared" si="101"/>
        <v>0</v>
      </c>
      <c r="I240" s="325">
        <f t="shared" si="102"/>
        <v>22411.769974752435</v>
      </c>
      <c r="J240" s="328">
        <f t="shared" si="103"/>
        <v>1.5707517073827995</v>
      </c>
      <c r="K240" s="336">
        <f t="shared" si="123"/>
        <v>2.0497764198028414</v>
      </c>
      <c r="L240" s="337">
        <f t="shared" si="124"/>
        <v>1.0611619878632268</v>
      </c>
      <c r="M240" s="325">
        <f t="shared" si="104"/>
        <v>1.0034736636488204</v>
      </c>
      <c r="N240" s="337">
        <f t="shared" si="105"/>
        <v>8.3230259907591586E-2</v>
      </c>
      <c r="O240" s="343">
        <f t="shared" si="106"/>
        <v>1.0034415203448956</v>
      </c>
      <c r="P240" s="691">
        <f t="shared" si="107"/>
        <v>8.2845388434456116E-2</v>
      </c>
      <c r="Q240" s="336">
        <f t="shared" si="122"/>
        <v>4.196365973655384</v>
      </c>
      <c r="R240" s="692">
        <f t="shared" si="108"/>
        <v>0.13840014148352983</v>
      </c>
      <c r="S240" s="329">
        <f t="shared" si="109"/>
        <v>0.99844249553135678</v>
      </c>
      <c r="T240" s="330">
        <f t="shared" si="110"/>
        <v>8.26141519539354E-2</v>
      </c>
      <c r="U240" s="331">
        <f t="shared" si="111"/>
        <v>1.0197656288352046</v>
      </c>
      <c r="V240" s="332">
        <f t="shared" si="112"/>
        <v>-125.13753546576102</v>
      </c>
      <c r="W240" s="334">
        <f t="shared" si="113"/>
        <v>54.862464534238981</v>
      </c>
      <c r="Y240" s="307">
        <f t="shared" si="114"/>
        <v>1000000000</v>
      </c>
      <c r="Z240" s="307">
        <f t="shared" si="115"/>
        <v>204189810.25</v>
      </c>
      <c r="AB240" s="333">
        <f t="shared" si="116"/>
        <v>16.901711551830093</v>
      </c>
      <c r="AC240" s="334">
        <f t="shared" si="117"/>
        <v>-33.96608287102071</v>
      </c>
      <c r="AE240" s="333">
        <f t="shared" si="118"/>
        <v>8.5868796957140887</v>
      </c>
      <c r="AF240" s="334">
        <f t="shared" si="119"/>
        <v>-87.988399709499717</v>
      </c>
      <c r="AH240">
        <f t="shared" si="120"/>
        <v>0</v>
      </c>
      <c r="AI240">
        <f t="shared" si="125"/>
        <v>0</v>
      </c>
    </row>
    <row r="241" spans="1:35" x14ac:dyDescent="0.25">
      <c r="A241" s="335">
        <v>14371.75</v>
      </c>
      <c r="B241" s="352">
        <f t="shared" si="121"/>
        <v>14.37175</v>
      </c>
      <c r="C241" s="325">
        <f t="shared" si="96"/>
        <v>9.0143523012221838</v>
      </c>
      <c r="D241" s="326">
        <f t="shared" si="97"/>
        <v>1.4596333197078923</v>
      </c>
      <c r="E241" s="326">
        <f t="shared" si="98"/>
        <v>1.0000177595952022</v>
      </c>
      <c r="F241" s="327">
        <f t="shared" si="99"/>
        <v>5.9597537482938721E-3</v>
      </c>
      <c r="G241" s="326">
        <f t="shared" si="100"/>
        <v>1</v>
      </c>
      <c r="H241" s="327">
        <f t="shared" si="101"/>
        <v>0</v>
      </c>
      <c r="I241" s="325">
        <f t="shared" si="102"/>
        <v>22540.771554707222</v>
      </c>
      <c r="J241" s="328">
        <f t="shared" si="103"/>
        <v>1.5707519627411684</v>
      </c>
      <c r="K241" s="336">
        <f t="shared" si="123"/>
        <v>2.0587729134551336</v>
      </c>
      <c r="L241" s="337">
        <f t="shared" si="124"/>
        <v>1.0636025326070726</v>
      </c>
      <c r="M241" s="325">
        <f t="shared" si="104"/>
        <v>1.003513697164665</v>
      </c>
      <c r="N241" s="337">
        <f t="shared" si="105"/>
        <v>8.3707102793478566E-2</v>
      </c>
      <c r="O241" s="343">
        <f t="shared" si="106"/>
        <v>1.0034811840548445</v>
      </c>
      <c r="P241" s="691">
        <f t="shared" si="107"/>
        <v>8.3320046751396024E-2</v>
      </c>
      <c r="Q241" s="336">
        <f t="shared" si="122"/>
        <v>4.1968232677066135</v>
      </c>
      <c r="R241" s="692">
        <f t="shared" si="108"/>
        <v>0.13918667325502823</v>
      </c>
      <c r="S241" s="329">
        <f t="shared" si="109"/>
        <v>0.99842464387211116</v>
      </c>
      <c r="T241" s="330">
        <f t="shared" si="110"/>
        <v>8.3092260216312636E-2</v>
      </c>
      <c r="U241" s="331">
        <f t="shared" si="111"/>
        <v>0.95792422468936889</v>
      </c>
      <c r="V241" s="332">
        <f t="shared" si="112"/>
        <v>-125.10470363154214</v>
      </c>
      <c r="W241" s="334">
        <f t="shared" si="113"/>
        <v>54.895296368457863</v>
      </c>
      <c r="Y241" s="307">
        <f t="shared" si="114"/>
        <v>1000000000</v>
      </c>
      <c r="Z241" s="307">
        <f t="shared" si="115"/>
        <v>206547198.0625</v>
      </c>
      <c r="AB241" s="333">
        <f t="shared" si="116"/>
        <v>16.889551671839826</v>
      </c>
      <c r="AC241" s="334">
        <f t="shared" si="117"/>
        <v>-33.853585673165924</v>
      </c>
      <c r="AE241" s="333">
        <f t="shared" si="118"/>
        <v>8.5378013283715877</v>
      </c>
      <c r="AF241" s="334">
        <f t="shared" si="119"/>
        <v>-88.050196040426812</v>
      </c>
      <c r="AH241">
        <f t="shared" si="120"/>
        <v>0</v>
      </c>
      <c r="AI241">
        <f t="shared" si="125"/>
        <v>0</v>
      </c>
    </row>
    <row r="242" spans="1:35" x14ac:dyDescent="0.25">
      <c r="A242" s="335">
        <v>14454</v>
      </c>
      <c r="B242" s="352">
        <f t="shared" si="121"/>
        <v>14.454000000000001</v>
      </c>
      <c r="C242" s="325">
        <f t="shared" si="96"/>
        <v>9.0653086413789836</v>
      </c>
      <c r="D242" s="326">
        <f t="shared" si="97"/>
        <v>1.4602607345767427</v>
      </c>
      <c r="E242" s="326">
        <f t="shared" si="98"/>
        <v>1.0000179634525532</v>
      </c>
      <c r="F242" s="327">
        <f t="shared" si="99"/>
        <v>5.9938608012827712E-3</v>
      </c>
      <c r="G242" s="326">
        <f t="shared" si="100"/>
        <v>1</v>
      </c>
      <c r="H242" s="327">
        <f t="shared" si="101"/>
        <v>0</v>
      </c>
      <c r="I242" s="325">
        <f t="shared" si="102"/>
        <v>22669.773134663461</v>
      </c>
      <c r="J242" s="328">
        <f t="shared" si="103"/>
        <v>1.5707522151933211</v>
      </c>
      <c r="K242" s="336">
        <f t="shared" si="123"/>
        <v>2.067781562945024</v>
      </c>
      <c r="L242" s="337">
        <f t="shared" si="124"/>
        <v>1.0660218263424206</v>
      </c>
      <c r="M242" s="325">
        <f t="shared" si="104"/>
        <v>1.0035539588403539</v>
      </c>
      <c r="N242" s="337">
        <f t="shared" si="105"/>
        <v>8.4183907526764565E-2</v>
      </c>
      <c r="O242" s="343">
        <f t="shared" si="106"/>
        <v>1.0035210738317224</v>
      </c>
      <c r="P242" s="691">
        <f t="shared" si="107"/>
        <v>8.3794667440100737E-2</v>
      </c>
      <c r="Q242" s="336">
        <f t="shared" si="122"/>
        <v>4.1972831361286467</v>
      </c>
      <c r="R242" s="692">
        <f t="shared" si="108"/>
        <v>0.1399730338715505</v>
      </c>
      <c r="S242" s="329">
        <f t="shared" si="109"/>
        <v>0.99840669274852401</v>
      </c>
      <c r="T242" s="330">
        <f t="shared" si="110"/>
        <v>8.3570412960427304E-2</v>
      </c>
      <c r="U242" s="331">
        <f t="shared" si="111"/>
        <v>0.89652222748278776</v>
      </c>
      <c r="V242" s="332">
        <f t="shared" si="112"/>
        <v>-125.07267322455073</v>
      </c>
      <c r="W242" s="334">
        <f t="shared" si="113"/>
        <v>54.927326775449274</v>
      </c>
      <c r="Y242" s="307">
        <f t="shared" si="114"/>
        <v>1000000000</v>
      </c>
      <c r="Z242" s="307">
        <f t="shared" si="115"/>
        <v>208918116</v>
      </c>
      <c r="AB242" s="333">
        <f t="shared" si="116"/>
        <v>16.877559524748833</v>
      </c>
      <c r="AC242" s="334">
        <f t="shared" si="117"/>
        <v>-33.742303715912911</v>
      </c>
      <c r="AE242" s="333">
        <f t="shared" si="118"/>
        <v>8.4889979162353573</v>
      </c>
      <c r="AF242" s="334">
        <f t="shared" si="119"/>
        <v>-88.111586208498309</v>
      </c>
      <c r="AH242">
        <f t="shared" si="120"/>
        <v>0</v>
      </c>
      <c r="AI242">
        <f t="shared" si="125"/>
        <v>0</v>
      </c>
    </row>
    <row r="243" spans="1:35" x14ac:dyDescent="0.25">
      <c r="A243" s="335">
        <v>14622.5</v>
      </c>
      <c r="B243" s="352">
        <f t="shared" si="121"/>
        <v>14.6225</v>
      </c>
      <c r="C243" s="325">
        <f t="shared" si="96"/>
        <v>9.1697103965286058</v>
      </c>
      <c r="D243" s="326">
        <f t="shared" si="97"/>
        <v>1.4615243001939999</v>
      </c>
      <c r="E243" s="326">
        <f t="shared" si="98"/>
        <v>1.0000183847140358</v>
      </c>
      <c r="F243" s="327">
        <f t="shared" si="99"/>
        <v>6.0637335652909867E-3</v>
      </c>
      <c r="G243" s="326">
        <f t="shared" si="100"/>
        <v>1</v>
      </c>
      <c r="H243" s="327">
        <f t="shared" si="101"/>
        <v>0</v>
      </c>
      <c r="I243" s="325">
        <f t="shared" si="102"/>
        <v>22934.049927648161</v>
      </c>
      <c r="J243" s="328">
        <f t="shared" si="103"/>
        <v>1.5707527235061851</v>
      </c>
      <c r="K243" s="336">
        <f t="shared" si="123"/>
        <v>2.0862742684830278</v>
      </c>
      <c r="L243" s="337">
        <f t="shared" si="124"/>
        <v>1.0709127507592218</v>
      </c>
      <c r="M243" s="325">
        <f t="shared" si="104"/>
        <v>1.0036371525796053</v>
      </c>
      <c r="N243" s="337">
        <f t="shared" si="105"/>
        <v>8.5160585029813288E-2</v>
      </c>
      <c r="O243" s="343">
        <f t="shared" si="106"/>
        <v>1.003603499153529</v>
      </c>
      <c r="P243" s="691">
        <f t="shared" si="107"/>
        <v>8.4766872288575087E-2</v>
      </c>
      <c r="Q243" s="336">
        <f t="shared" si="122"/>
        <v>4.1982332729743872</v>
      </c>
      <c r="R243" s="692">
        <f t="shared" si="108"/>
        <v>0.14158345928095939</v>
      </c>
      <c r="S243" s="329">
        <f t="shared" si="109"/>
        <v>0.99836960711249079</v>
      </c>
      <c r="T243" s="330">
        <f t="shared" si="110"/>
        <v>8.4550112056410484E-2</v>
      </c>
      <c r="U243" s="331">
        <f t="shared" si="111"/>
        <v>0.77207867199401781</v>
      </c>
      <c r="V243" s="332">
        <f t="shared" si="112"/>
        <v>-125.00952605098894</v>
      </c>
      <c r="W243" s="334">
        <f t="shared" si="113"/>
        <v>54.990473949011061</v>
      </c>
      <c r="Y243" s="307">
        <f t="shared" si="114"/>
        <v>1000000000</v>
      </c>
      <c r="Z243" s="307">
        <f t="shared" si="115"/>
        <v>213817506.25</v>
      </c>
      <c r="AB243" s="333">
        <f t="shared" si="116"/>
        <v>16.853502767881995</v>
      </c>
      <c r="AC243" s="334">
        <f t="shared" si="117"/>
        <v>-33.518063011708342</v>
      </c>
      <c r="AE243" s="333">
        <f t="shared" si="118"/>
        <v>8.3898637195859465</v>
      </c>
      <c r="AF243" s="334">
        <f t="shared" si="119"/>
        <v>-88.236112394559328</v>
      </c>
      <c r="AH243">
        <f t="shared" si="120"/>
        <v>0</v>
      </c>
      <c r="AI243">
        <f t="shared" si="125"/>
        <v>0</v>
      </c>
    </row>
    <row r="244" spans="1:35" x14ac:dyDescent="0.25">
      <c r="A244" s="335">
        <v>14706.75</v>
      </c>
      <c r="B244" s="352">
        <f t="shared" si="121"/>
        <v>14.70675</v>
      </c>
      <c r="C244" s="325">
        <f t="shared" si="96"/>
        <v>9.2219166709982794</v>
      </c>
      <c r="D244" s="326">
        <f t="shared" si="97"/>
        <v>1.462145353842933</v>
      </c>
      <c r="E244" s="326">
        <f t="shared" si="98"/>
        <v>1.0000185971756357</v>
      </c>
      <c r="F244" s="327">
        <f t="shared" si="99"/>
        <v>6.0986699251341942E-3</v>
      </c>
      <c r="G244" s="326">
        <f t="shared" si="100"/>
        <v>1</v>
      </c>
      <c r="H244" s="327">
        <f t="shared" si="101"/>
        <v>0</v>
      </c>
      <c r="I244" s="325">
        <f t="shared" si="102"/>
        <v>23066.188324142695</v>
      </c>
      <c r="J244" s="328">
        <f t="shared" si="103"/>
        <v>1.5707529732946883</v>
      </c>
      <c r="K244" s="336">
        <f t="shared" si="123"/>
        <v>2.0955390881739322</v>
      </c>
      <c r="L244" s="337">
        <f t="shared" si="124"/>
        <v>1.0733258130795993</v>
      </c>
      <c r="M244" s="325">
        <f t="shared" si="104"/>
        <v>1.0036791084176591</v>
      </c>
      <c r="N244" s="337">
        <f t="shared" si="105"/>
        <v>8.5648862831749425E-2</v>
      </c>
      <c r="O244" s="343">
        <f t="shared" si="106"/>
        <v>1.0036450674911068</v>
      </c>
      <c r="P244" s="691">
        <f t="shared" si="107"/>
        <v>8.5252914600667792E-2</v>
      </c>
      <c r="Q244" s="336">
        <f t="shared" si="122"/>
        <v>4.1987123894114529</v>
      </c>
      <c r="R244" s="692">
        <f t="shared" si="108"/>
        <v>0.14238839876860582</v>
      </c>
      <c r="S244" s="329">
        <f t="shared" si="109"/>
        <v>0.9983509079748808</v>
      </c>
      <c r="T244" s="330">
        <f t="shared" si="110"/>
        <v>8.5040032696064805E-2</v>
      </c>
      <c r="U244" s="331">
        <f t="shared" si="111"/>
        <v>0.7105228703814187</v>
      </c>
      <c r="V244" s="332">
        <f t="shared" si="112"/>
        <v>-124.97918222757338</v>
      </c>
      <c r="W244" s="334">
        <f t="shared" si="113"/>
        <v>55.020817772426625</v>
      </c>
      <c r="Y244" s="307">
        <f t="shared" si="114"/>
        <v>1000000000</v>
      </c>
      <c r="Z244" s="307">
        <f t="shared" si="115"/>
        <v>216288495.5625</v>
      </c>
      <c r="AB244" s="333">
        <f t="shared" si="116"/>
        <v>16.841725365543077</v>
      </c>
      <c r="AC244" s="334">
        <f t="shared" si="117"/>
        <v>-33.407795294030528</v>
      </c>
      <c r="AE244" s="333">
        <f t="shared" si="118"/>
        <v>8.3407167724181139</v>
      </c>
      <c r="AF244" s="334">
        <f t="shared" si="119"/>
        <v>-88.297764826542803</v>
      </c>
      <c r="AH244">
        <f t="shared" si="120"/>
        <v>0</v>
      </c>
      <c r="AI244">
        <f t="shared" si="125"/>
        <v>0</v>
      </c>
    </row>
    <row r="245" spans="1:35" x14ac:dyDescent="0.25">
      <c r="A245" s="335">
        <v>14791</v>
      </c>
      <c r="B245" s="352">
        <f t="shared" si="121"/>
        <v>14.791</v>
      </c>
      <c r="C245" s="325">
        <f t="shared" si="96"/>
        <v>9.2741264623848298</v>
      </c>
      <c r="D245" s="326">
        <f t="shared" si="97"/>
        <v>1.462759415136611</v>
      </c>
      <c r="E245" s="326">
        <f t="shared" si="98"/>
        <v>1.0000188108578072</v>
      </c>
      <c r="F245" s="327">
        <f t="shared" si="99"/>
        <v>6.1336062700897689E-3</v>
      </c>
      <c r="G245" s="326">
        <f t="shared" si="100"/>
        <v>1</v>
      </c>
      <c r="H245" s="327">
        <f t="shared" si="101"/>
        <v>0</v>
      </c>
      <c r="I245" s="325">
        <f t="shared" si="102"/>
        <v>23198.326720638648</v>
      </c>
      <c r="J245" s="328">
        <f t="shared" si="103"/>
        <v>1.5707532202375853</v>
      </c>
      <c r="K245" s="336">
        <f t="shared" si="123"/>
        <v>2.1048160024546632</v>
      </c>
      <c r="L245" s="337">
        <f t="shared" si="124"/>
        <v>1.0757176182234598</v>
      </c>
      <c r="M245" s="325">
        <f t="shared" si="104"/>
        <v>1.0037213035280417</v>
      </c>
      <c r="N245" s="337">
        <f t="shared" si="105"/>
        <v>8.6137099696980066E-2</v>
      </c>
      <c r="O245" s="343">
        <f t="shared" si="106"/>
        <v>1.0036868729072423</v>
      </c>
      <c r="P245" s="691">
        <f t="shared" si="107"/>
        <v>8.5738916538440249E-2</v>
      </c>
      <c r="Q245" s="336">
        <f t="shared" si="122"/>
        <v>4.1991942032948231</v>
      </c>
      <c r="R245" s="692">
        <f t="shared" si="108"/>
        <v>0.14319315482099593</v>
      </c>
      <c r="S245" s="329">
        <f t="shared" si="109"/>
        <v>0.9983321046993181</v>
      </c>
      <c r="T245" s="330">
        <f t="shared" si="110"/>
        <v>8.5530001094986097E-2</v>
      </c>
      <c r="U245" s="331">
        <f t="shared" si="111"/>
        <v>0.64940276007184872</v>
      </c>
      <c r="V245" s="332">
        <f t="shared" si="112"/>
        <v>-124.94964775014043</v>
      </c>
      <c r="W245" s="334">
        <f t="shared" si="113"/>
        <v>55.050352249859571</v>
      </c>
      <c r="Y245" s="307">
        <f t="shared" si="114"/>
        <v>1000000000</v>
      </c>
      <c r="Z245" s="307">
        <f t="shared" si="115"/>
        <v>218773681</v>
      </c>
      <c r="AB245" s="333">
        <f t="shared" si="116"/>
        <v>16.830111087178395</v>
      </c>
      <c r="AC245" s="334">
        <f t="shared" si="117"/>
        <v>-33.298743014311235</v>
      </c>
      <c r="AE245" s="333">
        <f t="shared" si="118"/>
        <v>8.2918458222814895</v>
      </c>
      <c r="AF245" s="334">
        <f t="shared" si="119"/>
        <v>-88.359019363338305</v>
      </c>
      <c r="AH245">
        <f t="shared" si="120"/>
        <v>0</v>
      </c>
      <c r="AI245">
        <f t="shared" si="125"/>
        <v>0</v>
      </c>
    </row>
    <row r="246" spans="1:35" x14ac:dyDescent="0.25">
      <c r="A246" s="335">
        <v>14877.25</v>
      </c>
      <c r="B246" s="352">
        <f t="shared" si="121"/>
        <v>14.87725</v>
      </c>
      <c r="C246" s="325">
        <f t="shared" si="96"/>
        <v>9.3275792368266508</v>
      </c>
      <c r="D246" s="326">
        <f t="shared" si="97"/>
        <v>1.4633809323549292</v>
      </c>
      <c r="E246" s="326">
        <f t="shared" si="98"/>
        <v>1.0000190308769294</v>
      </c>
      <c r="F246" s="327">
        <f t="shared" si="99"/>
        <v>6.1693719489695079E-3</v>
      </c>
      <c r="G246" s="326">
        <f t="shared" si="100"/>
        <v>1</v>
      </c>
      <c r="H246" s="327">
        <f t="shared" si="101"/>
        <v>0</v>
      </c>
      <c r="I246" s="325">
        <f t="shared" si="102"/>
        <v>23333.601933670081</v>
      </c>
      <c r="J246" s="328">
        <f t="shared" si="103"/>
        <v>1.5707534701453683</v>
      </c>
      <c r="K246" s="336">
        <f t="shared" si="123"/>
        <v>2.1143255026650443</v>
      </c>
      <c r="L246" s="337">
        <f t="shared" si="124"/>
        <v>1.0781444457923652</v>
      </c>
      <c r="M246" s="325">
        <f t="shared" si="104"/>
        <v>1.0037647481310905</v>
      </c>
      <c r="N246" s="337">
        <f t="shared" si="105"/>
        <v>8.6636884111307294E-2</v>
      </c>
      <c r="O246" s="343">
        <f t="shared" si="106"/>
        <v>1.0037299162932123</v>
      </c>
      <c r="P246" s="691">
        <f t="shared" si="107"/>
        <v>8.62364135564197E-2</v>
      </c>
      <c r="Q246" s="336">
        <f t="shared" si="122"/>
        <v>4.1996902481850489</v>
      </c>
      <c r="R246" s="692">
        <f t="shared" si="108"/>
        <v>0.14401682384709744</v>
      </c>
      <c r="S246" s="329">
        <f t="shared" si="109"/>
        <v>0.99831274723897145</v>
      </c>
      <c r="T246" s="330">
        <f t="shared" si="110"/>
        <v>8.6031650550242894E-2</v>
      </c>
      <c r="U246" s="331">
        <f t="shared" si="111"/>
        <v>0.58727671921872526</v>
      </c>
      <c r="V246" s="332">
        <f t="shared" si="112"/>
        <v>-124.92024239616623</v>
      </c>
      <c r="W246" s="334">
        <f t="shared" si="113"/>
        <v>55.07975760383377</v>
      </c>
      <c r="Y246" s="307">
        <f t="shared" si="114"/>
        <v>1000000000</v>
      </c>
      <c r="Z246" s="307">
        <f t="shared" si="115"/>
        <v>221332567.5625</v>
      </c>
      <c r="AB246" s="333">
        <f t="shared" si="116"/>
        <v>16.818386885676496</v>
      </c>
      <c r="AC246" s="334">
        <f t="shared" si="117"/>
        <v>-33.188345893149396</v>
      </c>
      <c r="AE246" s="333">
        <f t="shared" si="118"/>
        <v>8.2420974854626277</v>
      </c>
      <c r="AF246" s="334">
        <f t="shared" si="119"/>
        <v>-88.421322851043868</v>
      </c>
      <c r="AH246">
        <f t="shared" si="120"/>
        <v>0</v>
      </c>
      <c r="AI246">
        <f t="shared" si="125"/>
        <v>0</v>
      </c>
    </row>
    <row r="247" spans="1:35" x14ac:dyDescent="0.25">
      <c r="A247" s="335">
        <v>14963.5</v>
      </c>
      <c r="B247" s="352">
        <f t="shared" si="121"/>
        <v>14.9635</v>
      </c>
      <c r="C247" s="325">
        <f t="shared" si="96"/>
        <v>9.3810355732984938</v>
      </c>
      <c r="D247" s="326">
        <f t="shared" si="97"/>
        <v>1.4639953665746681</v>
      </c>
      <c r="E247" s="326">
        <f t="shared" si="98"/>
        <v>1.0000192521752591</v>
      </c>
      <c r="F247" s="327">
        <f t="shared" si="99"/>
        <v>6.2051376120655323E-3</v>
      </c>
      <c r="G247" s="326">
        <f t="shared" si="100"/>
        <v>1</v>
      </c>
      <c r="H247" s="327">
        <f t="shared" si="101"/>
        <v>0</v>
      </c>
      <c r="I247" s="325">
        <f t="shared" si="102"/>
        <v>23468.877146702955</v>
      </c>
      <c r="J247" s="328">
        <f t="shared" si="103"/>
        <v>1.5707537171722012</v>
      </c>
      <c r="K247" s="336">
        <f t="shared" si="123"/>
        <v>2.1238473436260374</v>
      </c>
      <c r="L247" s="337">
        <f t="shared" si="124"/>
        <v>1.0805495270370722</v>
      </c>
      <c r="M247" s="325">
        <f t="shared" si="104"/>
        <v>1.0038084434372367</v>
      </c>
      <c r="N247" s="337">
        <f t="shared" si="105"/>
        <v>8.713662513969532E-2</v>
      </c>
      <c r="O247" s="343">
        <f t="shared" si="106"/>
        <v>1.0037732080842898</v>
      </c>
      <c r="P247" s="691">
        <f t="shared" si="107"/>
        <v>8.673386778435821E-2</v>
      </c>
      <c r="Q247" s="336">
        <f t="shared" si="122"/>
        <v>4.2001891181361799</v>
      </c>
      <c r="R247" s="692">
        <f t="shared" si="108"/>
        <v>0.14484029857775724</v>
      </c>
      <c r="S247" s="329">
        <f t="shared" si="109"/>
        <v>0.99829328075846169</v>
      </c>
      <c r="T247" s="330">
        <f t="shared" si="110"/>
        <v>8.6533350639515644E-2</v>
      </c>
      <c r="U247" s="331">
        <f t="shared" si="111"/>
        <v>0.52559455479249007</v>
      </c>
      <c r="V247" s="332">
        <f t="shared" si="112"/>
        <v>-124.89166875936684</v>
      </c>
      <c r="W247" s="334">
        <f t="shared" si="113"/>
        <v>55.108331240633163</v>
      </c>
      <c r="Y247" s="307">
        <f t="shared" si="114"/>
        <v>1000000000</v>
      </c>
      <c r="Z247" s="307">
        <f t="shared" si="115"/>
        <v>223906332.25</v>
      </c>
      <c r="AB247" s="333">
        <f t="shared" si="116"/>
        <v>16.806827234249951</v>
      </c>
      <c r="AC247" s="334">
        <f t="shared" si="117"/>
        <v>-33.079192093688008</v>
      </c>
      <c r="AE247" s="333">
        <f t="shared" si="118"/>
        <v>8.1926320624417279</v>
      </c>
      <c r="AF247" s="334">
        <f t="shared" si="119"/>
        <v>-88.48322341484382</v>
      </c>
      <c r="AH247">
        <f t="shared" si="120"/>
        <v>0</v>
      </c>
      <c r="AI247">
        <f t="shared" si="125"/>
        <v>0</v>
      </c>
    </row>
    <row r="248" spans="1:35" x14ac:dyDescent="0.25">
      <c r="A248" s="335">
        <v>15049.75</v>
      </c>
      <c r="B248" s="352">
        <f t="shared" si="121"/>
        <v>15.04975</v>
      </c>
      <c r="C248" s="325">
        <f t="shared" si="96"/>
        <v>9.434495411252426</v>
      </c>
      <c r="D248" s="326">
        <f t="shared" si="97"/>
        <v>1.4646028377336946</v>
      </c>
      <c r="E248" s="326">
        <f t="shared" si="98"/>
        <v>1.0000194747527955</v>
      </c>
      <c r="F248" s="327">
        <f t="shared" si="99"/>
        <v>6.2409032592863518E-3</v>
      </c>
      <c r="G248" s="326">
        <f t="shared" si="100"/>
        <v>1</v>
      </c>
      <c r="H248" s="327">
        <f t="shared" si="101"/>
        <v>0</v>
      </c>
      <c r="I248" s="325">
        <f t="shared" si="102"/>
        <v>23604.152359737243</v>
      </c>
      <c r="J248" s="328">
        <f t="shared" si="103"/>
        <v>1.5707539613676167</v>
      </c>
      <c r="K248" s="336">
        <f t="shared" si="123"/>
        <v>2.1333813600976215</v>
      </c>
      <c r="L248" s="337">
        <f t="shared" si="124"/>
        <v>1.0829331254970513</v>
      </c>
      <c r="M248" s="325">
        <f t="shared" si="104"/>
        <v>1.0038523894137426</v>
      </c>
      <c r="N248" s="337">
        <f t="shared" si="105"/>
        <v>8.7636322538214212E-2</v>
      </c>
      <c r="O248" s="343">
        <f t="shared" si="106"/>
        <v>1.0038167482483362</v>
      </c>
      <c r="P248" s="691">
        <f t="shared" si="107"/>
        <v>8.7231278981607263E-2</v>
      </c>
      <c r="Q248" s="336">
        <f t="shared" si="122"/>
        <v>4.2006908121417794</v>
      </c>
      <c r="R248" s="692">
        <f t="shared" si="108"/>
        <v>0.14566357797938401</v>
      </c>
      <c r="S248" s="329">
        <f t="shared" si="109"/>
        <v>0.99827370531939019</v>
      </c>
      <c r="T248" s="330">
        <f t="shared" si="110"/>
        <v>8.7035101656373223E-2</v>
      </c>
      <c r="U248" s="331">
        <f t="shared" si="111"/>
        <v>0.4643500063401485</v>
      </c>
      <c r="V248" s="332">
        <f t="shared" si="112"/>
        <v>-124.86391857223144</v>
      </c>
      <c r="W248" s="334">
        <f t="shared" si="113"/>
        <v>55.136081427768559</v>
      </c>
      <c r="Y248" s="307">
        <f t="shared" si="114"/>
        <v>1000000000</v>
      </c>
      <c r="Z248" s="307">
        <f t="shared" si="115"/>
        <v>226494975.0625</v>
      </c>
      <c r="AB248" s="333">
        <f t="shared" si="116"/>
        <v>16.79542899900968</v>
      </c>
      <c r="AC248" s="334">
        <f t="shared" si="117"/>
        <v>-32.971266505089481</v>
      </c>
      <c r="AE248" s="333">
        <f t="shared" si="118"/>
        <v>8.1434464230758508</v>
      </c>
      <c r="AF248" s="334">
        <f t="shared" si="119"/>
        <v>-88.544727943497278</v>
      </c>
      <c r="AH248">
        <f t="shared" si="120"/>
        <v>0</v>
      </c>
      <c r="AI248">
        <f t="shared" si="125"/>
        <v>0</v>
      </c>
    </row>
    <row r="249" spans="1:35" x14ac:dyDescent="0.25">
      <c r="A249" s="335">
        <v>15136</v>
      </c>
      <c r="B249" s="352">
        <f t="shared" si="121"/>
        <v>15.135999999999999</v>
      </c>
      <c r="C249" s="325">
        <f t="shared" si="96"/>
        <v>9.4879586915012126</v>
      </c>
      <c r="D249" s="326">
        <f t="shared" si="97"/>
        <v>1.4652034630873685</v>
      </c>
      <c r="E249" s="326">
        <f t="shared" si="98"/>
        <v>1.000019698609538</v>
      </c>
      <c r="F249" s="327">
        <f t="shared" si="99"/>
        <v>6.2766688905404738E-3</v>
      </c>
      <c r="G249" s="326">
        <f t="shared" si="100"/>
        <v>1</v>
      </c>
      <c r="H249" s="327">
        <f t="shared" si="101"/>
        <v>0</v>
      </c>
      <c r="I249" s="325">
        <f t="shared" si="102"/>
        <v>23739.427572772925</v>
      </c>
      <c r="J249" s="328">
        <f t="shared" si="103"/>
        <v>1.5707542027800176</v>
      </c>
      <c r="K249" s="336">
        <f t="shared" si="123"/>
        <v>2.1429273895710037</v>
      </c>
      <c r="L249" s="337">
        <f t="shared" si="124"/>
        <v>1.0852955010013035</v>
      </c>
      <c r="M249" s="325">
        <f t="shared" si="104"/>
        <v>1.0038965860276885</v>
      </c>
      <c r="N249" s="337">
        <f t="shared" si="105"/>
        <v>8.8135976063063823E-2</v>
      </c>
      <c r="O249" s="343">
        <f t="shared" si="106"/>
        <v>1.0038605367530333</v>
      </c>
      <c r="P249" s="691">
        <f t="shared" si="107"/>
        <v>8.7728646907645189E-2</v>
      </c>
      <c r="Q249" s="336">
        <f t="shared" si="122"/>
        <v>4.2011953291901989</v>
      </c>
      <c r="R249" s="692">
        <f t="shared" si="108"/>
        <v>0.14648666101992922</v>
      </c>
      <c r="S249" s="329">
        <f t="shared" si="109"/>
        <v>0.99825402098371996</v>
      </c>
      <c r="T249" s="330">
        <f t="shared" si="110"/>
        <v>8.7536903894383691E-2</v>
      </c>
      <c r="U249" s="331">
        <f t="shared" si="111"/>
        <v>0.40353693539562641</v>
      </c>
      <c r="V249" s="332">
        <f t="shared" si="112"/>
        <v>-124.83698362617102</v>
      </c>
      <c r="W249" s="334">
        <f t="shared" si="113"/>
        <v>55.163016373828981</v>
      </c>
      <c r="Y249" s="307">
        <f t="shared" si="114"/>
        <v>1000000000</v>
      </c>
      <c r="Z249" s="307">
        <f t="shared" si="115"/>
        <v>229098496</v>
      </c>
      <c r="AB249" s="333">
        <f t="shared" si="116"/>
        <v>16.784189116860425</v>
      </c>
      <c r="AC249" s="334">
        <f t="shared" si="117"/>
        <v>-32.864554229053226</v>
      </c>
      <c r="AE249" s="333">
        <f t="shared" si="118"/>
        <v>8.0945374883976395</v>
      </c>
      <c r="AF249" s="334">
        <f t="shared" si="119"/>
        <v>-88.605843172066898</v>
      </c>
      <c r="AH249">
        <f t="shared" si="120"/>
        <v>0</v>
      </c>
      <c r="AI249">
        <f t="shared" si="125"/>
        <v>0</v>
      </c>
    </row>
    <row r="250" spans="1:35" x14ac:dyDescent="0.25">
      <c r="A250" s="335">
        <v>15224</v>
      </c>
      <c r="B250" s="352">
        <f t="shared" si="121"/>
        <v>15.224</v>
      </c>
      <c r="C250" s="325">
        <f t="shared" si="96"/>
        <v>9.5425102216928934</v>
      </c>
      <c r="D250" s="326">
        <f t="shared" si="97"/>
        <v>1.4658093384230708</v>
      </c>
      <c r="E250" s="326">
        <f t="shared" si="98"/>
        <v>1.0000199283267017</v>
      </c>
      <c r="F250" s="327">
        <f t="shared" si="99"/>
        <v>6.3131601847184601E-3</v>
      </c>
      <c r="G250" s="326">
        <f t="shared" si="100"/>
        <v>1</v>
      </c>
      <c r="H250" s="327">
        <f t="shared" si="101"/>
        <v>0</v>
      </c>
      <c r="I250" s="325">
        <f t="shared" si="102"/>
        <v>23877.447500277402</v>
      </c>
      <c r="J250" s="328">
        <f t="shared" si="103"/>
        <v>1.5707544462714327</v>
      </c>
      <c r="K250" s="336">
        <f t="shared" si="123"/>
        <v>2.1526793218601847</v>
      </c>
      <c r="L250" s="337">
        <f t="shared" si="124"/>
        <v>1.0876842013079813</v>
      </c>
      <c r="M250" s="325">
        <f t="shared" si="104"/>
        <v>1.0039419376673058</v>
      </c>
      <c r="N250" s="337">
        <f t="shared" si="105"/>
        <v>8.8645722014699557E-2</v>
      </c>
      <c r="O250" s="343">
        <f t="shared" si="106"/>
        <v>1.0039054696363878</v>
      </c>
      <c r="P250" s="691">
        <f t="shared" si="107"/>
        <v>8.8236061510317057E-2</v>
      </c>
      <c r="Q250" s="336">
        <f t="shared" si="122"/>
        <v>4.2017129913038911</v>
      </c>
      <c r="R250" s="692">
        <f t="shared" si="108"/>
        <v>0.14732624084912349</v>
      </c>
      <c r="S250" s="329">
        <f t="shared" si="109"/>
        <v>0.99823382508714531</v>
      </c>
      <c r="T250" s="330">
        <f t="shared" si="110"/>
        <v>8.804894072228775E-2</v>
      </c>
      <c r="U250" s="331">
        <f t="shared" si="111"/>
        <v>0.3419284290994784</v>
      </c>
      <c r="V250" s="332">
        <f t="shared" si="112"/>
        <v>-124.81033394000571</v>
      </c>
      <c r="W250" s="334">
        <f t="shared" si="113"/>
        <v>55.189666059994295</v>
      </c>
      <c r="Y250" s="307">
        <f t="shared" si="114"/>
        <v>1000000000</v>
      </c>
      <c r="Z250" s="307">
        <f t="shared" si="115"/>
        <v>231770176</v>
      </c>
      <c r="AB250" s="333">
        <f t="shared" si="116"/>
        <v>16.772881277854541</v>
      </c>
      <c r="AC250" s="334">
        <f t="shared" si="117"/>
        <v>-32.756912025519028</v>
      </c>
      <c r="AE250" s="333">
        <f t="shared" si="118"/>
        <v>8.0449182390667104</v>
      </c>
      <c r="AF250" s="334">
        <f t="shared" si="119"/>
        <v>-88.667804023833327</v>
      </c>
      <c r="AH250">
        <f t="shared" si="120"/>
        <v>0</v>
      </c>
      <c r="AI250">
        <f t="shared" si="125"/>
        <v>0</v>
      </c>
    </row>
    <row r="251" spans="1:35" x14ac:dyDescent="0.25">
      <c r="A251" s="335">
        <v>15312</v>
      </c>
      <c r="B251" s="352">
        <f t="shared" si="121"/>
        <v>15.311999999999999</v>
      </c>
      <c r="C251" s="325">
        <f t="shared" si="96"/>
        <v>9.5970652149730284</v>
      </c>
      <c r="D251" s="326">
        <f t="shared" si="97"/>
        <v>1.4664083257197729</v>
      </c>
      <c r="E251" s="326">
        <f t="shared" si="98"/>
        <v>1.0000201593755063</v>
      </c>
      <c r="F251" s="327">
        <f t="shared" si="99"/>
        <v>6.3496514620828386E-3</v>
      </c>
      <c r="G251" s="326">
        <f t="shared" si="100"/>
        <v>1</v>
      </c>
      <c r="H251" s="327">
        <f t="shared" si="101"/>
        <v>0</v>
      </c>
      <c r="I251" s="325">
        <f t="shared" si="102"/>
        <v>24015.467427783286</v>
      </c>
      <c r="J251" s="328">
        <f t="shared" si="103"/>
        <v>1.570754686964096</v>
      </c>
      <c r="K251" s="336">
        <f t="shared" si="123"/>
        <v>2.1624434262738994</v>
      </c>
      <c r="L251" s="337">
        <f t="shared" si="124"/>
        <v>1.0900513435707537</v>
      </c>
      <c r="M251" s="325">
        <f t="shared" si="104"/>
        <v>1.003987550148528</v>
      </c>
      <c r="N251" s="337">
        <f t="shared" si="105"/>
        <v>8.9155421781901667E-2</v>
      </c>
      <c r="O251" s="343">
        <f t="shared" si="106"/>
        <v>1.0039506609716853</v>
      </c>
      <c r="P251" s="691">
        <f t="shared" si="107"/>
        <v>8.8743430562594594E-2</v>
      </c>
      <c r="Q251" s="336">
        <f t="shared" si="122"/>
        <v>4.2022335900367018</v>
      </c>
      <c r="R251" s="692">
        <f t="shared" si="108"/>
        <v>0.14816561410255191</v>
      </c>
      <c r="S251" s="329">
        <f t="shared" si="109"/>
        <v>0.99821351596161667</v>
      </c>
      <c r="T251" s="330">
        <f t="shared" si="110"/>
        <v>8.8561031488372174E-2</v>
      </c>
      <c r="U251" s="331">
        <f t="shared" si="111"/>
        <v>0.28075655274545819</v>
      </c>
      <c r="V251" s="332">
        <f t="shared" si="112"/>
        <v>-124.78451584199733</v>
      </c>
      <c r="W251" s="334">
        <f t="shared" si="113"/>
        <v>55.215484158002667</v>
      </c>
      <c r="Y251" s="307">
        <f t="shared" si="114"/>
        <v>1000000000</v>
      </c>
      <c r="Z251" s="307">
        <f t="shared" si="115"/>
        <v>234457344</v>
      </c>
      <c r="AB251" s="333">
        <f t="shared" si="116"/>
        <v>16.761732058320817</v>
      </c>
      <c r="AC251" s="334">
        <f t="shared" si="117"/>
        <v>-32.650502200386775</v>
      </c>
      <c r="AE251" s="333">
        <f t="shared" si="118"/>
        <v>7.9955807196174122</v>
      </c>
      <c r="AF251" s="334">
        <f t="shared" si="119"/>
        <v>-88.729373311428887</v>
      </c>
      <c r="AH251">
        <f t="shared" si="120"/>
        <v>0</v>
      </c>
      <c r="AI251">
        <f t="shared" si="125"/>
        <v>0</v>
      </c>
    </row>
    <row r="252" spans="1:35" x14ac:dyDescent="0.25">
      <c r="A252" s="335">
        <v>15400</v>
      </c>
      <c r="B252" s="352">
        <f t="shared" si="121"/>
        <v>15.4</v>
      </c>
      <c r="C252" s="325">
        <f t="shared" si="96"/>
        <v>9.6516236126171702</v>
      </c>
      <c r="D252" s="326">
        <f t="shared" si="97"/>
        <v>1.4670005413534501</v>
      </c>
      <c r="E252" s="326">
        <f t="shared" si="98"/>
        <v>1.00002039175595</v>
      </c>
      <c r="F252" s="327">
        <f t="shared" si="99"/>
        <v>6.3861427225364378E-3</v>
      </c>
      <c r="G252" s="326">
        <f t="shared" si="100"/>
        <v>1</v>
      </c>
      <c r="H252" s="327">
        <f t="shared" si="101"/>
        <v>0</v>
      </c>
      <c r="I252" s="325">
        <f t="shared" si="102"/>
        <v>24153.487355290537</v>
      </c>
      <c r="J252" s="328">
        <f t="shared" si="103"/>
        <v>1.570754924905986</v>
      </c>
      <c r="K252" s="336">
        <f t="shared" si="123"/>
        <v>2.1722195386714307</v>
      </c>
      <c r="L252" s="337">
        <f t="shared" si="124"/>
        <v>1.0923971921486819</v>
      </c>
      <c r="M252" s="325">
        <f t="shared" si="104"/>
        <v>1.0040334234358059</v>
      </c>
      <c r="N252" s="337">
        <f t="shared" si="105"/>
        <v>8.9665075106148934E-2</v>
      </c>
      <c r="O252" s="343">
        <f t="shared" si="106"/>
        <v>1.0039961107240261</v>
      </c>
      <c r="P252" s="691">
        <f t="shared" si="107"/>
        <v>8.9250753809429068E-2</v>
      </c>
      <c r="Q252" s="336">
        <f t="shared" si="122"/>
        <v>4.2027571242974213</v>
      </c>
      <c r="R252" s="692">
        <f t="shared" si="108"/>
        <v>0.14900477968907319</v>
      </c>
      <c r="S252" s="329">
        <f t="shared" si="109"/>
        <v>0.99819309367411191</v>
      </c>
      <c r="T252" s="330">
        <f t="shared" si="110"/>
        <v>8.9073176504436344E-2</v>
      </c>
      <c r="U252" s="331">
        <f t="shared" si="111"/>
        <v>0.22001516049633996</v>
      </c>
      <c r="V252" s="332">
        <f t="shared" si="112"/>
        <v>-124.75952081124217</v>
      </c>
      <c r="W252" s="334">
        <f t="shared" si="113"/>
        <v>55.240479188757831</v>
      </c>
      <c r="Y252" s="307">
        <f t="shared" si="114"/>
        <v>1000000000</v>
      </c>
      <c r="Z252" s="307">
        <f t="shared" si="115"/>
        <v>237160000</v>
      </c>
      <c r="AB252" s="333">
        <f t="shared" si="116"/>
        <v>16.7507384210233</v>
      </c>
      <c r="AC252" s="334">
        <f t="shared" si="117"/>
        <v>-32.545309594934764</v>
      </c>
      <c r="AE252" s="333">
        <f t="shared" si="118"/>
        <v>7.9465218175723855</v>
      </c>
      <c r="AF252" s="334">
        <f t="shared" si="119"/>
        <v>-88.790557720576203</v>
      </c>
      <c r="AH252">
        <f t="shared" si="120"/>
        <v>0</v>
      </c>
      <c r="AI252">
        <f t="shared" si="125"/>
        <v>0</v>
      </c>
    </row>
    <row r="253" spans="1:35" x14ac:dyDescent="0.25">
      <c r="A253" s="335">
        <v>15488</v>
      </c>
      <c r="B253" s="352">
        <f t="shared" si="121"/>
        <v>15.488</v>
      </c>
      <c r="C253" s="325">
        <f t="shared" si="96"/>
        <v>9.7061853572176027</v>
      </c>
      <c r="D253" s="326">
        <f t="shared" si="97"/>
        <v>1.4675860991025687</v>
      </c>
      <c r="E253" s="326">
        <f t="shared" si="98"/>
        <v>1.0000206254680324</v>
      </c>
      <c r="F253" s="327">
        <f t="shared" si="99"/>
        <v>6.422633965982083E-3</v>
      </c>
      <c r="G253" s="326">
        <f t="shared" si="100"/>
        <v>1</v>
      </c>
      <c r="H253" s="327">
        <f t="shared" si="101"/>
        <v>0</v>
      </c>
      <c r="I253" s="325">
        <f t="shared" si="102"/>
        <v>24291.507282799146</v>
      </c>
      <c r="J253" s="328">
        <f t="shared" si="103"/>
        <v>1.5707551601439911</v>
      </c>
      <c r="K253" s="336">
        <f t="shared" si="123"/>
        <v>2.1820074976536157</v>
      </c>
      <c r="L253" s="337">
        <f t="shared" si="124"/>
        <v>1.0947220076036115</v>
      </c>
      <c r="M253" s="325">
        <f t="shared" si="104"/>
        <v>1.0040795574933932</v>
      </c>
      <c r="N253" s="337">
        <f t="shared" si="105"/>
        <v>9.017468172906376E-2</v>
      </c>
      <c r="O253" s="343">
        <f t="shared" si="106"/>
        <v>1.0040418188583171</v>
      </c>
      <c r="P253" s="691">
        <f t="shared" si="107"/>
        <v>8.9758030995912161E-2</v>
      </c>
      <c r="Q253" s="336">
        <f t="shared" si="122"/>
        <v>4.2032835929892345</v>
      </c>
      <c r="R253" s="692">
        <f t="shared" si="108"/>
        <v>0.14984373651924837</v>
      </c>
      <c r="S253" s="329">
        <f t="shared" si="109"/>
        <v>0.99817255829200213</v>
      </c>
      <c r="T253" s="330">
        <f t="shared" si="110"/>
        <v>8.9585376082278581E-2</v>
      </c>
      <c r="U253" s="331">
        <f t="shared" si="111"/>
        <v>0.15969822637168893</v>
      </c>
      <c r="V253" s="332">
        <f t="shared" si="112"/>
        <v>-124.73534039560984</v>
      </c>
      <c r="W253" s="334">
        <f t="shared" si="113"/>
        <v>55.264659604390161</v>
      </c>
      <c r="Y253" s="307">
        <f t="shared" si="114"/>
        <v>1000000000</v>
      </c>
      <c r="Z253" s="307">
        <f t="shared" si="115"/>
        <v>239878144</v>
      </c>
      <c r="AB253" s="333">
        <f t="shared" si="116"/>
        <v>16.739897397714408</v>
      </c>
      <c r="AC253" s="334">
        <f t="shared" si="117"/>
        <v>-32.441319267951499</v>
      </c>
      <c r="AE253" s="333">
        <f t="shared" si="118"/>
        <v>7.897738471303926</v>
      </c>
      <c r="AF253" s="334">
        <f t="shared" si="119"/>
        <v>-88.851363788171497</v>
      </c>
      <c r="AH253">
        <f t="shared" si="120"/>
        <v>0</v>
      </c>
      <c r="AI253">
        <f t="shared" si="125"/>
        <v>0</v>
      </c>
    </row>
    <row r="254" spans="1:35" x14ac:dyDescent="0.25">
      <c r="A254" s="335">
        <v>15578.25</v>
      </c>
      <c r="B254" s="352">
        <f t="shared" si="121"/>
        <v>15.578250000000001</v>
      </c>
      <c r="C254" s="325">
        <f t="shared" si="96"/>
        <v>9.7621455640509414</v>
      </c>
      <c r="D254" s="326">
        <f t="shared" si="97"/>
        <v>1.4681798296171236</v>
      </c>
      <c r="E254" s="326">
        <f t="shared" si="98"/>
        <v>1.0000208665388524</v>
      </c>
      <c r="F254" s="327">
        <f t="shared" si="99"/>
        <v>6.4600582064073212E-3</v>
      </c>
      <c r="G254" s="326">
        <f t="shared" si="100"/>
        <v>1</v>
      </c>
      <c r="H254" s="327">
        <f t="shared" si="101"/>
        <v>0</v>
      </c>
      <c r="I254" s="325">
        <f t="shared" si="102"/>
        <v>24433.056128910204</v>
      </c>
      <c r="J254" s="328">
        <f t="shared" si="103"/>
        <v>1.5707553986361349</v>
      </c>
      <c r="K254" s="336">
        <f t="shared" si="123"/>
        <v>2.1920578555150656</v>
      </c>
      <c r="L254" s="337">
        <f t="shared" si="124"/>
        <v>1.0970846866988109</v>
      </c>
      <c r="M254" s="325">
        <f t="shared" si="104"/>
        <v>1.0041271419339803</v>
      </c>
      <c r="N254" s="337">
        <f t="shared" si="105"/>
        <v>9.0697269288562768E-2</v>
      </c>
      <c r="O254" s="343">
        <f t="shared" si="106"/>
        <v>1.0040889640054727</v>
      </c>
      <c r="P254" s="691">
        <f t="shared" si="107"/>
        <v>9.0278230228929585E-2</v>
      </c>
      <c r="Q254" s="336">
        <f t="shared" si="122"/>
        <v>4.2038265693057939</v>
      </c>
      <c r="R254" s="692">
        <f t="shared" si="108"/>
        <v>0.15070392597991439</v>
      </c>
      <c r="S254" s="329">
        <f t="shared" si="109"/>
        <v>0.9981513804594897</v>
      </c>
      <c r="T254" s="330">
        <f t="shared" si="110"/>
        <v>9.0110728670852291E-2</v>
      </c>
      <c r="U254" s="331">
        <f t="shared" si="111"/>
        <v>9.8273784589186119E-2</v>
      </c>
      <c r="V254" s="332">
        <f t="shared" si="112"/>
        <v>-124.71137907408817</v>
      </c>
      <c r="W254" s="334">
        <f t="shared" si="113"/>
        <v>55.288620925911829</v>
      </c>
      <c r="Y254" s="307">
        <f t="shared" si="114"/>
        <v>1000000000</v>
      </c>
      <c r="Z254" s="307">
        <f t="shared" si="115"/>
        <v>242681873.0625</v>
      </c>
      <c r="AB254" s="333">
        <f t="shared" si="116"/>
        <v>16.728934667595659</v>
      </c>
      <c r="AC254" s="334">
        <f t="shared" si="117"/>
        <v>-32.335903453510952</v>
      </c>
      <c r="AE254" s="333">
        <f t="shared" si="118"/>
        <v>7.8479908829078155</v>
      </c>
      <c r="AF254" s="334">
        <f t="shared" si="119"/>
        <v>-88.913338275948121</v>
      </c>
      <c r="AH254">
        <f t="shared" si="120"/>
        <v>0</v>
      </c>
      <c r="AI254">
        <f t="shared" si="125"/>
        <v>0</v>
      </c>
    </row>
    <row r="255" spans="1:35" x14ac:dyDescent="0.25">
      <c r="A255" s="335">
        <v>15668.5</v>
      </c>
      <c r="B255" s="352">
        <f t="shared" si="121"/>
        <v>15.6685</v>
      </c>
      <c r="C255" s="325">
        <f t="shared" si="96"/>
        <v>9.8181091729664978</v>
      </c>
      <c r="D255" s="326">
        <f t="shared" si="97"/>
        <v>1.4687667917620038</v>
      </c>
      <c r="E255" s="326">
        <f t="shared" si="98"/>
        <v>1.0000211090102744</v>
      </c>
      <c r="F255" s="327">
        <f t="shared" si="99"/>
        <v>6.4974824287367403E-3</v>
      </c>
      <c r="G255" s="326">
        <f t="shared" si="100"/>
        <v>1</v>
      </c>
      <c r="H255" s="327">
        <f t="shared" si="101"/>
        <v>0</v>
      </c>
      <c r="I255" s="325">
        <f t="shared" si="102"/>
        <v>24574.604975022641</v>
      </c>
      <c r="J255" s="328">
        <f t="shared" si="103"/>
        <v>1.5707556343808662</v>
      </c>
      <c r="K255" s="336">
        <f t="shared" si="123"/>
        <v>2.2021203382627941</v>
      </c>
      <c r="L255" s="337">
        <f t="shared" si="124"/>
        <v>1.0994257864668309</v>
      </c>
      <c r="M255" s="325">
        <f t="shared" si="104"/>
        <v>1.0041750005734054</v>
      </c>
      <c r="N255" s="337">
        <f t="shared" si="105"/>
        <v>9.1219807178063259E-2</v>
      </c>
      <c r="O255" s="343">
        <f t="shared" si="106"/>
        <v>1.0041363808408164</v>
      </c>
      <c r="P255" s="691">
        <f t="shared" si="107"/>
        <v>9.0798380473506662E-2</v>
      </c>
      <c r="Q255" s="336">
        <f t="shared" si="122"/>
        <v>4.2043726296731245</v>
      </c>
      <c r="R255" s="692">
        <f t="shared" si="108"/>
        <v>0.15156389355723063</v>
      </c>
      <c r="S255" s="329">
        <f t="shared" si="109"/>
        <v>0.9981300838199928</v>
      </c>
      <c r="T255" s="330">
        <f t="shared" si="110"/>
        <v>9.0636139311237776E-2</v>
      </c>
      <c r="U255" s="331">
        <f t="shared" si="111"/>
        <v>3.7283319826826977E-2</v>
      </c>
      <c r="V255" s="332">
        <f t="shared" si="112"/>
        <v>-124.68825677563859</v>
      </c>
      <c r="W255" s="334">
        <f t="shared" si="113"/>
        <v>55.311743224361408</v>
      </c>
      <c r="Y255" s="307">
        <f t="shared" si="114"/>
        <v>1000000000</v>
      </c>
      <c r="Z255" s="307">
        <f t="shared" si="115"/>
        <v>245501892.25</v>
      </c>
      <c r="AB255" s="333">
        <f t="shared" si="116"/>
        <v>16.718126346455048</v>
      </c>
      <c r="AC255" s="334">
        <f t="shared" si="117"/>
        <v>-32.231721040147491</v>
      </c>
      <c r="AE255" s="333">
        <f t="shared" si="118"/>
        <v>7.7985267580624216</v>
      </c>
      <c r="AF255" s="334">
        <f t="shared" si="119"/>
        <v>-88.974928291868409</v>
      </c>
      <c r="AH255">
        <f t="shared" si="120"/>
        <v>15668.5</v>
      </c>
      <c r="AI255">
        <f t="shared" si="125"/>
        <v>55.311743224361408</v>
      </c>
    </row>
    <row r="256" spans="1:35" x14ac:dyDescent="0.25">
      <c r="A256" s="335">
        <v>15758.75</v>
      </c>
      <c r="B256" s="352">
        <f t="shared" si="121"/>
        <v>15.758749999999999</v>
      </c>
      <c r="C256" s="325">
        <f t="shared" si="96"/>
        <v>9.8740761261180143</v>
      </c>
      <c r="D256" s="326">
        <f t="shared" si="97"/>
        <v>1.4693471002200613</v>
      </c>
      <c r="E256" s="326">
        <f t="shared" si="98"/>
        <v>1.0000213528822979</v>
      </c>
      <c r="F256" s="327">
        <f t="shared" si="99"/>
        <v>6.5349066328655222E-3</v>
      </c>
      <c r="G256" s="326">
        <f t="shared" si="100"/>
        <v>1</v>
      </c>
      <c r="H256" s="327">
        <f t="shared" si="101"/>
        <v>0</v>
      </c>
      <c r="I256" s="325">
        <f t="shared" si="102"/>
        <v>24716.153821136424</v>
      </c>
      <c r="J256" s="328">
        <f t="shared" si="103"/>
        <v>1.5707558674253883</v>
      </c>
      <c r="K256" s="336">
        <f t="shared" si="123"/>
        <v>2.2121947804414961</v>
      </c>
      <c r="L256" s="337">
        <f t="shared" si="124"/>
        <v>1.1017455758892862</v>
      </c>
      <c r="M256" s="325">
        <f t="shared" si="104"/>
        <v>1.0042231333724654</v>
      </c>
      <c r="N256" s="337">
        <f t="shared" si="105"/>
        <v>9.1742295119333517E-2</v>
      </c>
      <c r="O256" s="343">
        <f t="shared" si="106"/>
        <v>1.0041840693258612</v>
      </c>
      <c r="P256" s="691">
        <f t="shared" si="107"/>
        <v>9.131848145514318E-2</v>
      </c>
      <c r="Q256" s="336">
        <f t="shared" si="122"/>
        <v>4.2049217728898078</v>
      </c>
      <c r="R256" s="692">
        <f t="shared" si="108"/>
        <v>0.15242363808166806</v>
      </c>
      <c r="S256" s="329">
        <f t="shared" si="109"/>
        <v>0.9981086684474717</v>
      </c>
      <c r="T256" s="330">
        <f t="shared" si="110"/>
        <v>9.1161608339762418E-2</v>
      </c>
      <c r="U256" s="331">
        <f t="shared" si="111"/>
        <v>-2.3279294045578641E-2</v>
      </c>
      <c r="V256" s="332">
        <f t="shared" si="112"/>
        <v>-124.66596461435105</v>
      </c>
      <c r="W256" s="334">
        <f t="shared" si="113"/>
        <v>55.334035385648946</v>
      </c>
      <c r="Y256" s="307">
        <f t="shared" si="114"/>
        <v>15758.75</v>
      </c>
      <c r="Z256" s="307">
        <f t="shared" si="115"/>
        <v>248338201.5625</v>
      </c>
      <c r="AB256" s="333">
        <f t="shared" si="116"/>
        <v>16.707469446848634</v>
      </c>
      <c r="AC256" s="334">
        <f t="shared" si="117"/>
        <v>-32.12875660311289</v>
      </c>
      <c r="AE256" s="333">
        <f t="shared" si="118"/>
        <v>7.749342953818994</v>
      </c>
      <c r="AF256" s="334">
        <f t="shared" si="119"/>
        <v>-89.036140426051873</v>
      </c>
      <c r="AH256">
        <f t="shared" si="120"/>
        <v>0</v>
      </c>
      <c r="AI256">
        <f t="shared" si="125"/>
        <v>0</v>
      </c>
    </row>
    <row r="257" spans="1:35" x14ac:dyDescent="0.25">
      <c r="A257" s="335">
        <v>15849</v>
      </c>
      <c r="B257" s="352">
        <f t="shared" si="121"/>
        <v>15.849</v>
      </c>
      <c r="C257" s="325">
        <f t="shared" si="96"/>
        <v>9.9300463669599193</v>
      </c>
      <c r="D257" s="326">
        <f t="shared" si="97"/>
        <v>1.4699208671066886</v>
      </c>
      <c r="E257" s="326">
        <f t="shared" si="98"/>
        <v>1.0000215981549216</v>
      </c>
      <c r="F257" s="327">
        <f t="shared" si="99"/>
        <v>6.5723308186888514E-3</v>
      </c>
      <c r="G257" s="326">
        <f t="shared" si="100"/>
        <v>1</v>
      </c>
      <c r="H257" s="327">
        <f t="shared" si="101"/>
        <v>0</v>
      </c>
      <c r="I257" s="325">
        <f t="shared" si="102"/>
        <v>24857.702667251535</v>
      </c>
      <c r="J257" s="328">
        <f t="shared" si="103"/>
        <v>1.570756097815829</v>
      </c>
      <c r="K257" s="336">
        <f t="shared" si="123"/>
        <v>2.2222810194012763</v>
      </c>
      <c r="L257" s="337">
        <f t="shared" si="124"/>
        <v>1.1040443199906493</v>
      </c>
      <c r="M257" s="325">
        <f t="shared" si="104"/>
        <v>1.0042715402917402</v>
      </c>
      <c r="N257" s="337">
        <f t="shared" si="105"/>
        <v>9.2264732834304197E-2</v>
      </c>
      <c r="O257" s="343">
        <f t="shared" si="106"/>
        <v>1.0042320294219074</v>
      </c>
      <c r="P257" s="691">
        <f t="shared" si="107"/>
        <v>9.1838532899497519E-2</v>
      </c>
      <c r="Q257" s="336">
        <f t="shared" si="122"/>
        <v>4.2054739977482676</v>
      </c>
      <c r="R257" s="692">
        <f t="shared" si="108"/>
        <v>0.15328315838561482</v>
      </c>
      <c r="S257" s="329">
        <f t="shared" si="109"/>
        <v>0.99808713441632169</v>
      </c>
      <c r="T257" s="330">
        <f t="shared" si="110"/>
        <v>9.1687136092752294E-2</v>
      </c>
      <c r="U257" s="331">
        <f t="shared" si="111"/>
        <v>-8.342006300426083E-2</v>
      </c>
      <c r="V257" s="332">
        <f t="shared" si="112"/>
        <v>-124.64449378398676</v>
      </c>
      <c r="W257" s="334">
        <f t="shared" si="113"/>
        <v>55.355506216013239</v>
      </c>
      <c r="Y257" s="307">
        <f t="shared" si="114"/>
        <v>15849</v>
      </c>
      <c r="Z257" s="307">
        <f t="shared" si="115"/>
        <v>251190801</v>
      </c>
      <c r="AB257" s="333">
        <f t="shared" si="116"/>
        <v>16.696961049897855</v>
      </c>
      <c r="AC257" s="334">
        <f t="shared" si="117"/>
        <v>-32.026994944334078</v>
      </c>
      <c r="AE257" s="333">
        <f t="shared" si="118"/>
        <v>7.7004363787968781</v>
      </c>
      <c r="AF257" s="334">
        <f t="shared" si="119"/>
        <v>-89.096981121513423</v>
      </c>
      <c r="AH257">
        <f t="shared" si="120"/>
        <v>0</v>
      </c>
      <c r="AI257">
        <f t="shared" si="125"/>
        <v>0</v>
      </c>
    </row>
    <row r="258" spans="1:35" x14ac:dyDescent="0.25">
      <c r="A258" s="335">
        <v>15941.25</v>
      </c>
      <c r="B258" s="352">
        <f t="shared" si="121"/>
        <v>15.94125</v>
      </c>
      <c r="C258" s="325">
        <f t="shared" si="96"/>
        <v>9.9872602857855952</v>
      </c>
      <c r="D258" s="326">
        <f t="shared" si="97"/>
        <v>1.4705007025356032</v>
      </c>
      <c r="E258" s="326">
        <f t="shared" si="98"/>
        <v>1.0000218503104501</v>
      </c>
      <c r="F258" s="327">
        <f t="shared" si="99"/>
        <v>6.610584330322803E-3</v>
      </c>
      <c r="G258" s="326">
        <f t="shared" si="100"/>
        <v>1</v>
      </c>
      <c r="H258" s="327">
        <f t="shared" si="101"/>
        <v>0</v>
      </c>
      <c r="I258" s="325">
        <f t="shared" si="102"/>
        <v>25002.388329902402</v>
      </c>
      <c r="J258" s="328">
        <f t="shared" si="103"/>
        <v>1.5707563306158487</v>
      </c>
      <c r="K258" s="336">
        <f t="shared" si="123"/>
        <v>2.232602801477761</v>
      </c>
      <c r="L258" s="337">
        <f t="shared" si="124"/>
        <v>1.1063725275762832</v>
      </c>
      <c r="M258" s="325">
        <f t="shared" si="104"/>
        <v>1.0043213031988143</v>
      </c>
      <c r="N258" s="337">
        <f t="shared" si="105"/>
        <v>9.2798695918827723E-2</v>
      </c>
      <c r="O258" s="343">
        <f t="shared" si="106"/>
        <v>1.0042813330113678</v>
      </c>
      <c r="P258" s="691">
        <f t="shared" si="107"/>
        <v>9.2370057548028919E-2</v>
      </c>
      <c r="Q258" s="336">
        <f t="shared" si="122"/>
        <v>4.2060416438483728</v>
      </c>
      <c r="R258" s="692">
        <f t="shared" si="108"/>
        <v>0.15416149328845416</v>
      </c>
      <c r="S258" s="329">
        <f t="shared" si="109"/>
        <v>0.99806500062253933</v>
      </c>
      <c r="T258" s="330">
        <f t="shared" si="110"/>
        <v>9.2224370931228886E-2</v>
      </c>
      <c r="U258" s="331">
        <f t="shared" si="111"/>
        <v>-0.14446375058123803</v>
      </c>
      <c r="V258" s="332">
        <f t="shared" si="112"/>
        <v>-124.62338689592967</v>
      </c>
      <c r="W258" s="334">
        <f t="shared" si="113"/>
        <v>55.37661310407033</v>
      </c>
      <c r="Y258" s="307">
        <f t="shared" si="114"/>
        <v>15941.25</v>
      </c>
      <c r="Z258" s="307">
        <f t="shared" si="115"/>
        <v>254123451.5625</v>
      </c>
      <c r="AB258" s="333">
        <f t="shared" si="116"/>
        <v>16.686370286343276</v>
      </c>
      <c r="AC258" s="334">
        <f t="shared" si="117"/>
        <v>-31.924205645347033</v>
      </c>
      <c r="AE258" s="333">
        <f t="shared" si="118"/>
        <v>7.6507293485476291</v>
      </c>
      <c r="AF258" s="334">
        <f t="shared" si="119"/>
        <v>-89.158792768556935</v>
      </c>
      <c r="AH258">
        <f t="shared" si="120"/>
        <v>0</v>
      </c>
      <c r="AI258">
        <f t="shared" si="125"/>
        <v>0</v>
      </c>
    </row>
    <row r="259" spans="1:35" x14ac:dyDescent="0.25">
      <c r="A259" s="335">
        <v>16033.5</v>
      </c>
      <c r="B259" s="352">
        <f t="shared" si="121"/>
        <v>16.0335</v>
      </c>
      <c r="C259" s="325">
        <f t="shared" si="96"/>
        <v>10.044477524166119</v>
      </c>
      <c r="D259" s="326">
        <f t="shared" si="97"/>
        <v>1.4710739322205881</v>
      </c>
      <c r="E259" s="326">
        <f t="shared" si="98"/>
        <v>1.0000221039293411</v>
      </c>
      <c r="F259" s="327">
        <f t="shared" si="99"/>
        <v>6.6488378226095346E-3</v>
      </c>
      <c r="G259" s="326">
        <f t="shared" si="100"/>
        <v>1</v>
      </c>
      <c r="H259" s="327">
        <f t="shared" si="101"/>
        <v>0</v>
      </c>
      <c r="I259" s="325">
        <f t="shared" si="102"/>
        <v>25147.073992554604</v>
      </c>
      <c r="J259" s="328">
        <f t="shared" si="103"/>
        <v>1.5707565607370022</v>
      </c>
      <c r="K259" s="336">
        <f t="shared" si="123"/>
        <v>2.2429365740686191</v>
      </c>
      <c r="L259" s="337">
        <f t="shared" si="124"/>
        <v>1.1086792942949244</v>
      </c>
      <c r="M259" s="325">
        <f t="shared" si="104"/>
        <v>1.0043713524261166</v>
      </c>
      <c r="N259" s="337">
        <f t="shared" si="105"/>
        <v>9.3332605939312654E-2</v>
      </c>
      <c r="O259" s="343">
        <f t="shared" si="106"/>
        <v>1.0043309203009323</v>
      </c>
      <c r="P259" s="691">
        <f t="shared" si="107"/>
        <v>9.2901529860279913E-2</v>
      </c>
      <c r="Q259" s="336">
        <f t="shared" si="122"/>
        <v>4.2066125071151408</v>
      </c>
      <c r="R259" s="692">
        <f t="shared" si="108"/>
        <v>0.15503959146219831</v>
      </c>
      <c r="S259" s="329">
        <f t="shared" si="109"/>
        <v>0.99804274301132012</v>
      </c>
      <c r="T259" s="330">
        <f t="shared" si="110"/>
        <v>9.2761667836333911E-2</v>
      </c>
      <c r="U259" s="331">
        <f t="shared" si="111"/>
        <v>-0.20507900705522647</v>
      </c>
      <c r="V259" s="332">
        <f t="shared" si="112"/>
        <v>-124.6031197963147</v>
      </c>
      <c r="W259" s="334">
        <f t="shared" si="113"/>
        <v>55.396880203685299</v>
      </c>
      <c r="Y259" s="307">
        <f t="shared" si="114"/>
        <v>16033.5</v>
      </c>
      <c r="Z259" s="307">
        <f t="shared" si="115"/>
        <v>257073122.25</v>
      </c>
      <c r="AB259" s="333">
        <f t="shared" si="116"/>
        <v>16.675928724683772</v>
      </c>
      <c r="AC259" s="334">
        <f t="shared" si="117"/>
        <v>-31.822641623716009</v>
      </c>
      <c r="AE259" s="333">
        <f t="shared" si="118"/>
        <v>7.6013055995394039</v>
      </c>
      <c r="AF259" s="334">
        <f t="shared" si="119"/>
        <v>-89.220229491616692</v>
      </c>
      <c r="AH259">
        <f t="shared" si="120"/>
        <v>0</v>
      </c>
      <c r="AI259">
        <f t="shared" si="125"/>
        <v>0</v>
      </c>
    </row>
    <row r="260" spans="1:35" x14ac:dyDescent="0.25">
      <c r="A260" s="335">
        <v>16125.75</v>
      </c>
      <c r="B260" s="352">
        <f t="shared" si="121"/>
        <v>16.12575</v>
      </c>
      <c r="C260" s="325">
        <f t="shared" si="96"/>
        <v>10.101698025694416</v>
      </c>
      <c r="D260" s="326">
        <f t="shared" si="97"/>
        <v>1.4716406680352858</v>
      </c>
      <c r="E260" s="326">
        <f t="shared" si="98"/>
        <v>1.0000223590115933</v>
      </c>
      <c r="F260" s="327">
        <f t="shared" si="99"/>
        <v>6.6870912954371062E-3</v>
      </c>
      <c r="G260" s="326">
        <f t="shared" si="100"/>
        <v>1</v>
      </c>
      <c r="H260" s="327">
        <f t="shared" si="101"/>
        <v>0</v>
      </c>
      <c r="I260" s="325">
        <f t="shared" si="102"/>
        <v>25291.759655208127</v>
      </c>
      <c r="J260" s="328">
        <f t="shared" si="103"/>
        <v>1.570756788225264</v>
      </c>
      <c r="K260" s="336">
        <f t="shared" si="123"/>
        <v>2.2532821722048393</v>
      </c>
      <c r="L260" s="337">
        <f t="shared" si="124"/>
        <v>1.110964890754379</v>
      </c>
      <c r="M260" s="325">
        <f t="shared" si="104"/>
        <v>1.0044216879308459</v>
      </c>
      <c r="N260" s="337">
        <f t="shared" si="105"/>
        <v>9.3866462599321548E-2</v>
      </c>
      <c r="O260" s="343">
        <f t="shared" si="106"/>
        <v>1.0043807912485807</v>
      </c>
      <c r="P260" s="691">
        <f t="shared" si="107"/>
        <v>9.3432949543782173E-2</v>
      </c>
      <c r="Q260" s="336">
        <f t="shared" si="122"/>
        <v>4.2071865862390752</v>
      </c>
      <c r="R260" s="692">
        <f t="shared" si="108"/>
        <v>0.15591745166614326</v>
      </c>
      <c r="S260" s="329">
        <f t="shared" si="109"/>
        <v>0.99802036166352626</v>
      </c>
      <c r="T260" s="330">
        <f t="shared" si="110"/>
        <v>9.3299027167247209E-2</v>
      </c>
      <c r="U260" s="331">
        <f t="shared" si="111"/>
        <v>-0.26527187615696385</v>
      </c>
      <c r="V260" s="332">
        <f t="shared" si="112"/>
        <v>-124.58368334224978</v>
      </c>
      <c r="W260" s="334">
        <f t="shared" si="113"/>
        <v>55.416316657750215</v>
      </c>
      <c r="Y260" s="307">
        <f t="shared" si="114"/>
        <v>16125.75</v>
      </c>
      <c r="Z260" s="307">
        <f t="shared" si="115"/>
        <v>260039813.0625</v>
      </c>
      <c r="AB260" s="333">
        <f t="shared" si="116"/>
        <v>16.665633458110673</v>
      </c>
      <c r="AC260" s="334">
        <f t="shared" si="117"/>
        <v>-31.722287360405289</v>
      </c>
      <c r="AE260" s="333">
        <f t="shared" si="118"/>
        <v>7.5521619902099832</v>
      </c>
      <c r="AF260" s="334">
        <f t="shared" si="119"/>
        <v>-89.281297721166112</v>
      </c>
      <c r="AH260">
        <f t="shared" si="120"/>
        <v>0</v>
      </c>
      <c r="AI260">
        <f t="shared" si="125"/>
        <v>0</v>
      </c>
    </row>
    <row r="261" spans="1:35" x14ac:dyDescent="0.25">
      <c r="A261" s="335">
        <v>16218</v>
      </c>
      <c r="B261" s="352">
        <f t="shared" si="121"/>
        <v>16.218</v>
      </c>
      <c r="C261" s="325">
        <f t="shared" si="96"/>
        <v>10.158921735231083</v>
      </c>
      <c r="D261" s="326">
        <f t="shared" si="97"/>
        <v>1.4722010193495696</v>
      </c>
      <c r="E261" s="326">
        <f t="shared" si="98"/>
        <v>1.0000226155572056</v>
      </c>
      <c r="F261" s="327">
        <f t="shared" si="99"/>
        <v>6.725344748693577E-3</v>
      </c>
      <c r="G261" s="326">
        <f t="shared" si="100"/>
        <v>1</v>
      </c>
      <c r="H261" s="327">
        <f t="shared" si="101"/>
        <v>0</v>
      </c>
      <c r="I261" s="325">
        <f t="shared" si="102"/>
        <v>25436.445317862945</v>
      </c>
      <c r="J261" s="328">
        <f t="shared" si="103"/>
        <v>1.5707570131255626</v>
      </c>
      <c r="K261" s="336">
        <f t="shared" si="123"/>
        <v>2.2636394337461967</v>
      </c>
      <c r="L261" s="337">
        <f t="shared" si="124"/>
        <v>1.1132295835030468</v>
      </c>
      <c r="M261" s="325">
        <f t="shared" si="104"/>
        <v>1.0044723096699648</v>
      </c>
      <c r="N261" s="337">
        <f t="shared" si="105"/>
        <v>9.4400265602597816E-2</v>
      </c>
      <c r="O261" s="343">
        <f t="shared" si="106"/>
        <v>1.0044309458120615</v>
      </c>
      <c r="P261" s="691">
        <f t="shared" si="107"/>
        <v>9.3964316306244244E-2</v>
      </c>
      <c r="Q261" s="336">
        <f t="shared" si="122"/>
        <v>4.2077638799040145</v>
      </c>
      <c r="R261" s="692">
        <f t="shared" si="108"/>
        <v>0.15679507266171522</v>
      </c>
      <c r="S261" s="329">
        <f t="shared" si="109"/>
        <v>0.99799785666049579</v>
      </c>
      <c r="T261" s="330">
        <f t="shared" si="110"/>
        <v>9.3836449283146731E-2</v>
      </c>
      <c r="U261" s="331">
        <f t="shared" si="111"/>
        <v>-0.32504828283079995</v>
      </c>
      <c r="V261" s="332">
        <f t="shared" si="112"/>
        <v>-124.56506848003649</v>
      </c>
      <c r="W261" s="334">
        <f t="shared" si="113"/>
        <v>55.434931519963513</v>
      </c>
      <c r="Y261" s="307">
        <f t="shared" si="114"/>
        <v>16218</v>
      </c>
      <c r="Z261" s="307">
        <f t="shared" si="115"/>
        <v>263023524</v>
      </c>
      <c r="AB261" s="333">
        <f t="shared" si="116"/>
        <v>16.655481646989273</v>
      </c>
      <c r="AC261" s="334">
        <f t="shared" si="117"/>
        <v>-31.623127568916495</v>
      </c>
      <c r="AE261" s="333">
        <f t="shared" si="118"/>
        <v>7.5032954305874755</v>
      </c>
      <c r="AF261" s="334">
        <f t="shared" si="119"/>
        <v>-89.342003744223192</v>
      </c>
      <c r="AH261">
        <f t="shared" si="120"/>
        <v>0</v>
      </c>
      <c r="AI261">
        <f t="shared" si="125"/>
        <v>0</v>
      </c>
    </row>
    <row r="262" spans="1:35" x14ac:dyDescent="0.25">
      <c r="A262" s="335">
        <v>16312.5</v>
      </c>
      <c r="B262" s="352">
        <f t="shared" si="121"/>
        <v>16.3125</v>
      </c>
      <c r="C262" s="325">
        <f t="shared" si="96"/>
        <v>10.217544414987032</v>
      </c>
      <c r="D262" s="326">
        <f t="shared" si="97"/>
        <v>1.4727685295562665</v>
      </c>
      <c r="E262" s="326">
        <f t="shared" si="98"/>
        <v>1.00002287987736</v>
      </c>
      <c r="F262" s="327">
        <f t="shared" si="99"/>
        <v>6.7645311925951359E-3</v>
      </c>
      <c r="G262" s="326">
        <f t="shared" si="100"/>
        <v>1</v>
      </c>
      <c r="H262" s="327">
        <f t="shared" si="101"/>
        <v>0</v>
      </c>
      <c r="I262" s="325">
        <f t="shared" si="102"/>
        <v>25584.659899120412</v>
      </c>
      <c r="J262" s="328">
        <f t="shared" si="103"/>
        <v>1.5707572408737158</v>
      </c>
      <c r="K262" s="336">
        <f t="shared" si="123"/>
        <v>2.2742612384355816</v>
      </c>
      <c r="L262" s="337">
        <f t="shared" si="124"/>
        <v>1.1155281123865406</v>
      </c>
      <c r="M262" s="325">
        <f t="shared" si="104"/>
        <v>1.0045244628319299</v>
      </c>
      <c r="N262" s="337">
        <f t="shared" si="105"/>
        <v>9.4947032246086832E-2</v>
      </c>
      <c r="O262" s="343">
        <f t="shared" si="106"/>
        <v>1.0044826176895494</v>
      </c>
      <c r="P262" s="691">
        <f t="shared" si="107"/>
        <v>9.4508588055378553E-2</v>
      </c>
      <c r="Q262" s="336">
        <f t="shared" si="122"/>
        <v>4.208358585621764</v>
      </c>
      <c r="R262" s="692">
        <f t="shared" si="108"/>
        <v>0.15769384972392664</v>
      </c>
      <c r="S262" s="329">
        <f t="shared" si="109"/>
        <v>0.99797467462448752</v>
      </c>
      <c r="T262" s="330">
        <f t="shared" si="110"/>
        <v>9.4387044731655712E-2</v>
      </c>
      <c r="U262" s="331">
        <f t="shared" si="111"/>
        <v>-0.38585689947741431</v>
      </c>
      <c r="V262" s="332">
        <f t="shared" si="112"/>
        <v>-124.54684212145857</v>
      </c>
      <c r="W262" s="334">
        <f t="shared" si="113"/>
        <v>55.453157878541433</v>
      </c>
      <c r="Y262" s="307">
        <f t="shared" si="114"/>
        <v>16312.5</v>
      </c>
      <c r="Z262" s="307">
        <f t="shared" si="115"/>
        <v>266097656.25</v>
      </c>
      <c r="AB262" s="333">
        <f t="shared" si="116"/>
        <v>16.645228077651723</v>
      </c>
      <c r="AC262" s="334">
        <f t="shared" si="117"/>
        <v>-31.522772034747138</v>
      </c>
      <c r="AE262" s="333">
        <f t="shared" si="118"/>
        <v>7.4535210948308368</v>
      </c>
      <c r="AF262" s="334">
        <f t="shared" si="119"/>
        <v>-89.403821261537146</v>
      </c>
      <c r="AH262">
        <f t="shared" si="120"/>
        <v>0</v>
      </c>
      <c r="AI262">
        <f t="shared" si="125"/>
        <v>0</v>
      </c>
    </row>
    <row r="263" spans="1:35" x14ac:dyDescent="0.25">
      <c r="A263" s="335">
        <v>16407</v>
      </c>
      <c r="B263" s="352">
        <f t="shared" si="121"/>
        <v>16.407</v>
      </c>
      <c r="C263" s="325">
        <f t="shared" si="96"/>
        <v>10.276170347939241</v>
      </c>
      <c r="D263" s="326">
        <f t="shared" si="97"/>
        <v>1.4733295646083868</v>
      </c>
      <c r="E263" s="326">
        <f t="shared" si="98"/>
        <v>1.0000231457331259</v>
      </c>
      <c r="F263" s="327">
        <f t="shared" si="99"/>
        <v>6.8037176157214659E-3</v>
      </c>
      <c r="G263" s="326">
        <f t="shared" si="100"/>
        <v>1</v>
      </c>
      <c r="H263" s="327">
        <f t="shared" si="101"/>
        <v>0</v>
      </c>
      <c r="I263" s="325">
        <f t="shared" si="102"/>
        <v>25732.874480379196</v>
      </c>
      <c r="J263" s="328">
        <f t="shared" si="103"/>
        <v>1.5707574659983301</v>
      </c>
      <c r="K263" s="336">
        <f t="shared" si="123"/>
        <v>2.2848949468321251</v>
      </c>
      <c r="L263" s="337">
        <f t="shared" si="124"/>
        <v>1.1178052588884626</v>
      </c>
      <c r="M263" s="325">
        <f t="shared" si="104"/>
        <v>1.004576916269029</v>
      </c>
      <c r="N263" s="337">
        <f t="shared" si="105"/>
        <v>9.5493741954756975E-2</v>
      </c>
      <c r="O263" s="343">
        <f t="shared" si="106"/>
        <v>1.0045345870960043</v>
      </c>
      <c r="P263" s="691">
        <f t="shared" si="107"/>
        <v>9.5052803650121392E-2</v>
      </c>
      <c r="Q263" s="336">
        <f t="shared" si="122"/>
        <v>4.2089566617823424</v>
      </c>
      <c r="R263" s="692">
        <f t="shared" si="108"/>
        <v>0.15859237314249633</v>
      </c>
      <c r="S263" s="329">
        <f t="shared" si="109"/>
        <v>0.99795136300203979</v>
      </c>
      <c r="T263" s="330">
        <f t="shared" si="110"/>
        <v>9.4937706828194843E-2</v>
      </c>
      <c r="U263" s="331">
        <f t="shared" si="111"/>
        <v>-0.44624070770479723</v>
      </c>
      <c r="V263" s="332">
        <f t="shared" si="112"/>
        <v>-124.5294589761708</v>
      </c>
      <c r="W263" s="334">
        <f t="shared" si="113"/>
        <v>55.470541023829199</v>
      </c>
      <c r="Y263" s="307">
        <f t="shared" si="114"/>
        <v>16407</v>
      </c>
      <c r="Z263" s="307">
        <f t="shared" si="115"/>
        <v>269189649</v>
      </c>
      <c r="AB263" s="333">
        <f t="shared" si="116"/>
        <v>16.635119222945502</v>
      </c>
      <c r="AC263" s="334">
        <f t="shared" si="117"/>
        <v>-31.423638208356643</v>
      </c>
      <c r="AE263" s="333">
        <f t="shared" si="118"/>
        <v>7.4040310852291293</v>
      </c>
      <c r="AF263" s="334">
        <f t="shared" si="119"/>
        <v>-89.465271599662941</v>
      </c>
      <c r="AH263">
        <f t="shared" si="120"/>
        <v>0</v>
      </c>
      <c r="AI263">
        <f t="shared" si="125"/>
        <v>0</v>
      </c>
    </row>
    <row r="264" spans="1:35" x14ac:dyDescent="0.25">
      <c r="A264" s="335">
        <v>16501.5</v>
      </c>
      <c r="B264" s="352">
        <f t="shared" si="121"/>
        <v>16.5015</v>
      </c>
      <c r="C264" s="325">
        <f t="shared" si="96"/>
        <v>10.33479947872476</v>
      </c>
      <c r="D264" s="326">
        <f t="shared" si="97"/>
        <v>1.4738842343500129</v>
      </c>
      <c r="E264" s="326">
        <f t="shared" si="98"/>
        <v>1.0000234131245023</v>
      </c>
      <c r="F264" s="327">
        <f t="shared" si="99"/>
        <v>6.8429040179522364E-3</v>
      </c>
      <c r="G264" s="326">
        <f t="shared" si="100"/>
        <v>1</v>
      </c>
      <c r="H264" s="327">
        <f t="shared" si="101"/>
        <v>0</v>
      </c>
      <c r="I264" s="325">
        <f t="shared" si="102"/>
        <v>25881.089061639268</v>
      </c>
      <c r="J264" s="328">
        <f t="shared" si="103"/>
        <v>1.5707576885444787</v>
      </c>
      <c r="K264" s="336">
        <f t="shared" si="123"/>
        <v>2.2955403935100129</v>
      </c>
      <c r="L264" s="337">
        <f t="shared" si="124"/>
        <v>1.1200612967066639</v>
      </c>
      <c r="M264" s="325">
        <f t="shared" si="104"/>
        <v>1.0046296699342288</v>
      </c>
      <c r="N264" s="337">
        <f t="shared" si="105"/>
        <v>9.6040394410738208E-2</v>
      </c>
      <c r="O264" s="343">
        <f t="shared" si="106"/>
        <v>1.0045868539852505</v>
      </c>
      <c r="P264" s="691">
        <f t="shared" si="107"/>
        <v>9.5596962776851493E-2</v>
      </c>
      <c r="Q264" s="336">
        <f t="shared" si="122"/>
        <v>4.2095581069492738</v>
      </c>
      <c r="R264" s="692">
        <f t="shared" si="108"/>
        <v>0.15949064159300924</v>
      </c>
      <c r="S264" s="329">
        <f t="shared" si="109"/>
        <v>0.99792792188214197</v>
      </c>
      <c r="T264" s="330">
        <f t="shared" si="110"/>
        <v>9.5488435958863194E-2</v>
      </c>
      <c r="U264" s="331">
        <f t="shared" si="111"/>
        <v>-0.50620570770433015</v>
      </c>
      <c r="V264" s="332">
        <f t="shared" si="112"/>
        <v>-124.51290960462816</v>
      </c>
      <c r="W264" s="334">
        <f t="shared" si="113"/>
        <v>55.487090395371837</v>
      </c>
      <c r="Y264" s="307">
        <f t="shared" si="114"/>
        <v>16501.5</v>
      </c>
      <c r="Z264" s="307">
        <f t="shared" si="115"/>
        <v>272299502.25</v>
      </c>
      <c r="AB264" s="333">
        <f t="shared" si="116"/>
        <v>16.625152238016081</v>
      </c>
      <c r="AC264" s="334">
        <f t="shared" si="117"/>
        <v>-31.325710392383154</v>
      </c>
      <c r="AE264" s="333">
        <f t="shared" si="118"/>
        <v>7.3548222413620525</v>
      </c>
      <c r="AF264" s="334">
        <f t="shared" si="119"/>
        <v>-89.526361074331604</v>
      </c>
      <c r="AH264">
        <f t="shared" si="120"/>
        <v>0</v>
      </c>
      <c r="AI264">
        <f t="shared" si="125"/>
        <v>0</v>
      </c>
    </row>
    <row r="265" spans="1:35" x14ac:dyDescent="0.25">
      <c r="A265" s="335">
        <v>16596</v>
      </c>
      <c r="B265" s="352">
        <f t="shared" si="121"/>
        <v>16.596</v>
      </c>
      <c r="C265" s="325">
        <f t="shared" si="96"/>
        <v>10.393431753226855</v>
      </c>
      <c r="D265" s="326">
        <f t="shared" si="97"/>
        <v>1.4744326461624508</v>
      </c>
      <c r="E265" s="326">
        <f t="shared" si="98"/>
        <v>1.0000236820514881</v>
      </c>
      <c r="F265" s="327">
        <f t="shared" si="99"/>
        <v>6.8820903991671191E-3</v>
      </c>
      <c r="G265" s="326">
        <f t="shared" si="100"/>
        <v>1</v>
      </c>
      <c r="H265" s="327">
        <f t="shared" si="101"/>
        <v>0</v>
      </c>
      <c r="I265" s="325">
        <f t="shared" si="102"/>
        <v>26029.303642900606</v>
      </c>
      <c r="J265" s="328">
        <f t="shared" si="103"/>
        <v>1.5707579085562082</v>
      </c>
      <c r="K265" s="336">
        <f t="shared" si="123"/>
        <v>2.3061974159169294</v>
      </c>
      <c r="L265" s="337">
        <f t="shared" si="124"/>
        <v>1.122296495347805</v>
      </c>
      <c r="M265" s="325">
        <f t="shared" si="104"/>
        <v>1.0046827237802358</v>
      </c>
      <c r="N265" s="337">
        <f t="shared" si="105"/>
        <v>9.6586989296363876E-2</v>
      </c>
      <c r="O265" s="343">
        <f t="shared" si="106"/>
        <v>1.0046394183108585</v>
      </c>
      <c r="P265" s="691">
        <f t="shared" si="107"/>
        <v>9.6141065122146471E-2</v>
      </c>
      <c r="Q265" s="336">
        <f t="shared" si="122"/>
        <v>4.2101629196788135</v>
      </c>
      <c r="R265" s="692">
        <f t="shared" si="108"/>
        <v>0.16038865375343705</v>
      </c>
      <c r="S265" s="329">
        <f t="shared" si="109"/>
        <v>0.99790435135430799</v>
      </c>
      <c r="T265" s="330">
        <f t="shared" si="110"/>
        <v>9.6039232509757572E-2</v>
      </c>
      <c r="U265" s="331">
        <f t="shared" si="111"/>
        <v>-0.56575778126791743</v>
      </c>
      <c r="V265" s="332">
        <f t="shared" si="112"/>
        <v>-124.49718466639453</v>
      </c>
      <c r="W265" s="334">
        <f t="shared" si="113"/>
        <v>55.502815333605469</v>
      </c>
      <c r="Y265" s="307">
        <f t="shared" si="114"/>
        <v>16596</v>
      </c>
      <c r="Z265" s="307">
        <f t="shared" si="115"/>
        <v>275427216</v>
      </c>
      <c r="AB265" s="333">
        <f t="shared" si="116"/>
        <v>16.615324344331821</v>
      </c>
      <c r="AC265" s="334">
        <f t="shared" si="117"/>
        <v>-31.228973129555182</v>
      </c>
      <c r="AE265" s="333">
        <f t="shared" si="118"/>
        <v>7.3058914548618823</v>
      </c>
      <c r="AF265" s="334">
        <f t="shared" si="119"/>
        <v>-89.587095860167423</v>
      </c>
      <c r="AH265">
        <f t="shared" si="120"/>
        <v>0</v>
      </c>
      <c r="AI265">
        <f t="shared" si="125"/>
        <v>0</v>
      </c>
    </row>
    <row r="266" spans="1:35" x14ac:dyDescent="0.25">
      <c r="A266" s="335">
        <v>16692.5</v>
      </c>
      <c r="B266" s="352">
        <f t="shared" si="121"/>
        <v>16.692499999999999</v>
      </c>
      <c r="C266" s="325">
        <f t="shared" si="96"/>
        <v>10.453308111673239</v>
      </c>
      <c r="D266" s="326">
        <f t="shared" si="97"/>
        <v>1.4749863156738137</v>
      </c>
      <c r="E266" s="326">
        <f t="shared" si="98"/>
        <v>1.0000239582547514</v>
      </c>
      <c r="F266" s="327">
        <f t="shared" si="99"/>
        <v>6.9221060999705535E-3</v>
      </c>
      <c r="G266" s="326">
        <f t="shared" si="100"/>
        <v>1</v>
      </c>
      <c r="H266" s="327">
        <f t="shared" si="101"/>
        <v>0</v>
      </c>
      <c r="I266" s="325">
        <f t="shared" si="102"/>
        <v>26180.65504069786</v>
      </c>
      <c r="J266" s="328">
        <f t="shared" si="103"/>
        <v>1.5707581306535592</v>
      </c>
      <c r="K266" s="336">
        <f t="shared" si="123"/>
        <v>2.3170917635854589</v>
      </c>
      <c r="L266" s="337">
        <f t="shared" si="124"/>
        <v>1.1245577701526599</v>
      </c>
      <c r="M266" s="325">
        <f t="shared" si="104"/>
        <v>1.0047372101871279</v>
      </c>
      <c r="N266" s="337">
        <f t="shared" si="105"/>
        <v>9.7145092586916434E-2</v>
      </c>
      <c r="O266" s="343">
        <f t="shared" si="106"/>
        <v>1.0046934020058464</v>
      </c>
      <c r="P266" s="691">
        <f t="shared" si="107"/>
        <v>9.6696623938740192E-2</v>
      </c>
      <c r="Q266" s="336">
        <f t="shared" si="122"/>
        <v>4.2107840063933262</v>
      </c>
      <c r="R266" s="692">
        <f t="shared" si="108"/>
        <v>0.16130540560714343</v>
      </c>
      <c r="S266" s="329">
        <f t="shared" si="109"/>
        <v>0.99788014852779283</v>
      </c>
      <c r="T266" s="330">
        <f t="shared" si="110"/>
        <v>9.6601756107410799E-2</v>
      </c>
      <c r="U266" s="331">
        <f t="shared" si="111"/>
        <v>-0.62615008050151344</v>
      </c>
      <c r="V266" s="332">
        <f t="shared" si="112"/>
        <v>-124.48196811217555</v>
      </c>
      <c r="W266" s="334">
        <f t="shared" si="113"/>
        <v>55.518031887824449</v>
      </c>
      <c r="Y266" s="307">
        <f t="shared" si="114"/>
        <v>16692.5</v>
      </c>
      <c r="Z266" s="307">
        <f t="shared" si="115"/>
        <v>278639556.25</v>
      </c>
      <c r="AB266" s="333">
        <f t="shared" si="116"/>
        <v>16.605429170711133</v>
      </c>
      <c r="AC266" s="334">
        <f t="shared" si="117"/>
        <v>-31.131401315128112</v>
      </c>
      <c r="AE266" s="333">
        <f t="shared" si="118"/>
        <v>7.2562088658485404</v>
      </c>
      <c r="AF266" s="334">
        <f t="shared" si="119"/>
        <v>-89.648756283735793</v>
      </c>
      <c r="AH266">
        <f t="shared" si="120"/>
        <v>0</v>
      </c>
      <c r="AI266">
        <f t="shared" si="125"/>
        <v>0</v>
      </c>
    </row>
    <row r="267" spans="1:35" x14ac:dyDescent="0.25">
      <c r="A267" s="335">
        <v>16789</v>
      </c>
      <c r="B267" s="352">
        <f t="shared" si="121"/>
        <v>16.789000000000001</v>
      </c>
      <c r="C267" s="325">
        <f t="shared" si="96"/>
        <v>10.513187638078803</v>
      </c>
      <c r="D267" s="326">
        <f t="shared" si="97"/>
        <v>1.4755336783264774</v>
      </c>
      <c r="E267" s="326">
        <f t="shared" si="98"/>
        <v>1.0000242360593088</v>
      </c>
      <c r="F267" s="327">
        <f t="shared" si="99"/>
        <v>6.9621217786055151E-3</v>
      </c>
      <c r="G267" s="326">
        <f t="shared" si="100"/>
        <v>1</v>
      </c>
      <c r="H267" s="327">
        <f t="shared" si="101"/>
        <v>0</v>
      </c>
      <c r="I267" s="325">
        <f t="shared" si="102"/>
        <v>26332.006438496399</v>
      </c>
      <c r="J267" s="328">
        <f t="shared" si="103"/>
        <v>1.5707583501977629</v>
      </c>
      <c r="K267" s="336">
        <f t="shared" si="123"/>
        <v>2.3279978484602726</v>
      </c>
      <c r="L267" s="337">
        <f t="shared" si="124"/>
        <v>1.1267978693143648</v>
      </c>
      <c r="M267" s="325">
        <f t="shared" si="104"/>
        <v>1.0047920095148477</v>
      </c>
      <c r="N267" s="337">
        <f t="shared" si="105"/>
        <v>9.7703135175618377E-2</v>
      </c>
      <c r="O267" s="343">
        <f t="shared" si="106"/>
        <v>1.0047476957616535</v>
      </c>
      <c r="P267" s="691">
        <f t="shared" si="107"/>
        <v>9.7252122885081019E-2</v>
      </c>
      <c r="Q267" s="336">
        <f t="shared" si="122"/>
        <v>4.211408601655207</v>
      </c>
      <c r="R267" s="692">
        <f t="shared" si="108"/>
        <v>0.16222188742902763</v>
      </c>
      <c r="S267" s="329">
        <f t="shared" si="109"/>
        <v>0.99785581094812648</v>
      </c>
      <c r="T267" s="330">
        <f t="shared" si="110"/>
        <v>9.7164350822992948E-2</v>
      </c>
      <c r="U267" s="331">
        <f t="shared" si="111"/>
        <v>-0.68612382155511409</v>
      </c>
      <c r="V267" s="332">
        <f t="shared" si="112"/>
        <v>-124.46759188696502</v>
      </c>
      <c r="W267" s="334">
        <f t="shared" si="113"/>
        <v>55.532408113034975</v>
      </c>
      <c r="Y267" s="307">
        <f t="shared" si="114"/>
        <v>16789</v>
      </c>
      <c r="Z267" s="307">
        <f t="shared" si="115"/>
        <v>281870521</v>
      </c>
      <c r="AB267" s="333">
        <f t="shared" si="116"/>
        <v>16.59567338580387</v>
      </c>
      <c r="AC267" s="334">
        <f t="shared" si="117"/>
        <v>-31.035039151438987</v>
      </c>
      <c r="AE267" s="333">
        <f t="shared" si="118"/>
        <v>7.2068098382448085</v>
      </c>
      <c r="AF267" s="334">
        <f t="shared" si="119"/>
        <v>-89.710059426945634</v>
      </c>
      <c r="AH267">
        <f t="shared" si="120"/>
        <v>0</v>
      </c>
      <c r="AI267">
        <f t="shared" si="125"/>
        <v>0</v>
      </c>
    </row>
    <row r="268" spans="1:35" x14ac:dyDescent="0.25">
      <c r="A268" s="335">
        <v>16885.5</v>
      </c>
      <c r="B268" s="352">
        <f t="shared" si="121"/>
        <v>16.8855</v>
      </c>
      <c r="C268" s="325">
        <f t="shared" si="96"/>
        <v>10.573070278619285</v>
      </c>
      <c r="D268" s="326">
        <f t="shared" si="97"/>
        <v>1.4760748409500015</v>
      </c>
      <c r="E268" s="326">
        <f t="shared" si="98"/>
        <v>1.0000245154651586</v>
      </c>
      <c r="F268" s="327">
        <f t="shared" si="99"/>
        <v>7.0021374349438703E-3</v>
      </c>
      <c r="G268" s="326">
        <f t="shared" si="100"/>
        <v>1</v>
      </c>
      <c r="H268" s="327">
        <f t="shared" si="101"/>
        <v>0</v>
      </c>
      <c r="I268" s="325">
        <f t="shared" si="102"/>
        <v>26483.357836296185</v>
      </c>
      <c r="J268" s="328">
        <f t="shared" si="103"/>
        <v>1.5707585672325926</v>
      </c>
      <c r="K268" s="336">
        <f t="shared" si="123"/>
        <v>2.3389155063537848</v>
      </c>
      <c r="L268" s="337">
        <f t="shared" si="124"/>
        <v>1.1290170667255019</v>
      </c>
      <c r="M268" s="325">
        <f t="shared" si="104"/>
        <v>1.0048471217122001</v>
      </c>
      <c r="N268" s="337">
        <f t="shared" si="105"/>
        <v>9.8261116724867661E-2</v>
      </c>
      <c r="O268" s="343">
        <f t="shared" si="106"/>
        <v>1.0048022995280175</v>
      </c>
      <c r="P268" s="691">
        <f t="shared" si="107"/>
        <v>9.7807561628071346E-2</v>
      </c>
      <c r="Q268" s="336">
        <f t="shared" si="122"/>
        <v>4.2120367039037339</v>
      </c>
      <c r="R268" s="692">
        <f t="shared" si="108"/>
        <v>0.16313809781910646</v>
      </c>
      <c r="S268" s="329">
        <f t="shared" si="109"/>
        <v>0.99783133871232166</v>
      </c>
      <c r="T268" s="330">
        <f t="shared" si="110"/>
        <v>9.772701706762936E-2</v>
      </c>
      <c r="U268" s="331">
        <f t="shared" si="111"/>
        <v>-0.74568490401551957</v>
      </c>
      <c r="V268" s="332">
        <f t="shared" si="112"/>
        <v>-124.45404636435676</v>
      </c>
      <c r="W268" s="334">
        <f t="shared" si="113"/>
        <v>55.545953635643244</v>
      </c>
      <c r="Y268" s="307">
        <f t="shared" si="114"/>
        <v>16885.5</v>
      </c>
      <c r="Z268" s="307">
        <f t="shared" si="115"/>
        <v>285120110.25</v>
      </c>
      <c r="AB268" s="333">
        <f t="shared" si="116"/>
        <v>16.586054233591881</v>
      </c>
      <c r="AC268" s="334">
        <f t="shared" si="117"/>
        <v>-30.939870928763625</v>
      </c>
      <c r="AE268" s="333">
        <f t="shared" si="118"/>
        <v>7.1576912229664273</v>
      </c>
      <c r="AF268" s="334">
        <f t="shared" si="119"/>
        <v>-89.771011434242965</v>
      </c>
      <c r="AH268">
        <f t="shared" si="120"/>
        <v>0</v>
      </c>
      <c r="AI268">
        <f t="shared" si="125"/>
        <v>0</v>
      </c>
    </row>
    <row r="269" spans="1:35" x14ac:dyDescent="0.25">
      <c r="A269" s="335">
        <v>16982</v>
      </c>
      <c r="B269" s="352">
        <f t="shared" si="121"/>
        <v>16.981999999999999</v>
      </c>
      <c r="C269" s="325">
        <f t="shared" ref="C269:C332" si="126">SQRT(1+(A269/pole1)^2)</f>
        <v>10.632955980680169</v>
      </c>
      <c r="D269" s="326">
        <f t="shared" ref="D269:D332" si="127">ATAN(A269/pole1)</f>
        <v>1.476609907981967</v>
      </c>
      <c r="E269" s="326">
        <f t="shared" ref="E269:E332" si="128">SQRT(1+(A269/Zero1)^2)</f>
        <v>1.0000247964722992</v>
      </c>
      <c r="F269" s="327">
        <f t="shared" ref="F269:F332" si="129">ATAN(A269/Zero1)</f>
        <v>7.0421530688574872E-3</v>
      </c>
      <c r="G269" s="326">
        <f t="shared" ref="G269:G332" si="130">IF(VIN_nom&gt;Vout, 1, SQRT(1+(A269/z_RHP)^2))</f>
        <v>1</v>
      </c>
      <c r="H269" s="327">
        <f t="shared" ref="H269:H332" si="131">IF(VIN_nom&gt;Vout, 0, -ATAN(A269/z_RHP))</f>
        <v>0</v>
      </c>
      <c r="I269" s="325">
        <f t="shared" ref="I269:I332" si="132">SQRT(1+(A269/Pole2)^2)</f>
        <v>26634.709234097205</v>
      </c>
      <c r="J269" s="328">
        <f t="shared" ref="J269:J332" si="133">ATAN(A269/Pole2)</f>
        <v>1.5707587818008273</v>
      </c>
      <c r="K269" s="336">
        <f t="shared" si="123"/>
        <v>2.3498445759571291</v>
      </c>
      <c r="L269" s="337">
        <f t="shared" si="124"/>
        <v>1.1312156320148039</v>
      </c>
      <c r="M269" s="325">
        <f t="shared" ref="M269:M332" si="134">SQRT(1+(A269/pole4)^2)</f>
        <v>1.0049025467277086</v>
      </c>
      <c r="N269" s="337">
        <f t="shared" ref="N269:N332" si="135">ATAN(A269/pole4)</f>
        <v>9.8819036897288007E-2</v>
      </c>
      <c r="O269" s="343">
        <f t="shared" ref="O269:O332" si="136">IF(VOUT_setting=1,1,SQRT(1+(A269*zterm1)^2))</f>
        <v>1.0048572132544009</v>
      </c>
      <c r="P269" s="691">
        <f t="shared" ref="P269:P332" si="137">IF(VOUT_setting=1,0,ATAN(((A269*zterm1))))</f>
        <v>9.8362939834834268E-2</v>
      </c>
      <c r="Q269" s="336">
        <f t="shared" si="122"/>
        <v>4.2126683115703578</v>
      </c>
      <c r="R269" s="692">
        <f t="shared" ref="R269:R332" si="138">IF(VOUT_setting=1,0,ATAN(A269*$Q$4/(1+Afbr-$Q$5*(A269)^2)))</f>
        <v>0.16405403538003677</v>
      </c>
      <c r="S269" s="329">
        <f t="shared" ref="S269:S332" si="139">SQRT((1-(Z269/pterm2))^2+(A269/pterm1)^2)</f>
        <v>0.99780673191796188</v>
      </c>
      <c r="T269" s="330">
        <f t="shared" ref="T269:T332" si="140">IF((ATAN((A269/pterm1)/(1-A269^2/pterm2))&gt;0),ATAN((A269/pterm1)/(1-A269^2/pterm2)),PI()+ATAN((A269/pterm1)/(1-A269^2/pterm2)))</f>
        <v>9.8289755252442546E-2</v>
      </c>
      <c r="U269" s="331">
        <f t="shared" ref="U269:U332" si="141">20*LOG10(((E269*K269*G269*O269)/(C269*I269*S269*M269*Q269))*Adc)</f>
        <v>-0.80483911098837657</v>
      </c>
      <c r="V269" s="332">
        <f t="shared" ref="V269:V332" si="142">((F269+L269+H269+P269)-(D269+J269+T269+N269+R269))*radconv</f>
        <v>-124.44132202528925</v>
      </c>
      <c r="W269" s="334">
        <f t="shared" ref="W269:W332" si="143">IF(V269&gt;0,V269,V269+180)</f>
        <v>55.558677974710747</v>
      </c>
      <c r="Y269" s="307">
        <f t="shared" ref="Y269:Y332" si="144">IF(U269&lt;0,A269,1000000000)</f>
        <v>16982</v>
      </c>
      <c r="Z269" s="307">
        <f t="shared" ref="Z269:Z332" si="145">A269^2</f>
        <v>288388324</v>
      </c>
      <c r="AB269" s="333">
        <f t="shared" ref="AB269:AB332" si="146">20*LOG10((K269/(I269*M269))*AEA)</f>
        <v>16.576569022660877</v>
      </c>
      <c r="AC269" s="334">
        <f t="shared" ref="AC269:AC332" si="147">(L269-(J269+N269))*radconv</f>
        <v>-30.845881181634436</v>
      </c>
      <c r="AE269" s="333">
        <f t="shared" ref="AE269:AE332" si="148">20*LOG10((E269*G269/(C269*S269))*Acs*Am)</f>
        <v>7.1088499227807391</v>
      </c>
      <c r="AF269" s="334">
        <f t="shared" ref="AF269:AF332" si="149">(F269+H269-(D269+T269))*radconv</f>
        <v>-89.83161831302327</v>
      </c>
      <c r="AH269">
        <f t="shared" ref="AH269:AH332" si="150">SUM((U270&lt;0)*(U269&gt;0))*A269</f>
        <v>0</v>
      </c>
      <c r="AI269">
        <f t="shared" si="125"/>
        <v>0</v>
      </c>
    </row>
    <row r="270" spans="1:35" x14ac:dyDescent="0.25">
      <c r="A270" s="335">
        <v>17081</v>
      </c>
      <c r="B270" s="352">
        <f t="shared" ref="B270:B333" si="151">A270/1000</f>
        <v>17.081</v>
      </c>
      <c r="C270" s="325">
        <f t="shared" si="126"/>
        <v>10.694396253409932</v>
      </c>
      <c r="D270" s="326">
        <f t="shared" si="127"/>
        <v>1.4771526093569556</v>
      </c>
      <c r="E270" s="326">
        <f t="shared" si="128"/>
        <v>1.0000250864234712</v>
      </c>
      <c r="F270" s="327">
        <f t="shared" si="129"/>
        <v>7.0832053537868318E-3</v>
      </c>
      <c r="G270" s="326">
        <f t="shared" si="130"/>
        <v>1</v>
      </c>
      <c r="H270" s="327">
        <f t="shared" si="131"/>
        <v>0</v>
      </c>
      <c r="I270" s="325">
        <f t="shared" si="132"/>
        <v>26789.981652567905</v>
      </c>
      <c r="J270" s="328">
        <f t="shared" si="133"/>
        <v>1.5707589994083684</v>
      </c>
      <c r="K270" s="336">
        <f t="shared" si="123"/>
        <v>2.3610684749738948</v>
      </c>
      <c r="L270" s="337">
        <f t="shared" si="124"/>
        <v>1.1334499923364381</v>
      </c>
      <c r="M270" s="325">
        <f t="shared" si="134"/>
        <v>1.0049597326494732</v>
      </c>
      <c r="N270" s="337">
        <f t="shared" si="135"/>
        <v>9.9391346824261928E-2</v>
      </c>
      <c r="O270" s="343">
        <f t="shared" si="136"/>
        <v>1.0049138716720338</v>
      </c>
      <c r="P270" s="691">
        <f t="shared" si="137"/>
        <v>9.8932642820378322E-2</v>
      </c>
      <c r="Q270" s="336">
        <f t="shared" si="122"/>
        <v>4.2133199232929082</v>
      </c>
      <c r="R270" s="692">
        <f t="shared" si="138"/>
        <v>0.16499341690859401</v>
      </c>
      <c r="S270" s="329">
        <f t="shared" si="139"/>
        <v>0.99778134791210027</v>
      </c>
      <c r="T270" s="330">
        <f t="shared" si="140"/>
        <v>9.8867147337551003E-2</v>
      </c>
      <c r="U270" s="331">
        <f t="shared" si="141"/>
        <v>-0.86510892896312253</v>
      </c>
      <c r="V270" s="332">
        <f t="shared" si="142"/>
        <v>-124.42911154586605</v>
      </c>
      <c r="W270" s="334">
        <f t="shared" si="143"/>
        <v>55.57088845413395</v>
      </c>
      <c r="Y270" s="307">
        <f t="shared" si="144"/>
        <v>17081</v>
      </c>
      <c r="Z270" s="307">
        <f t="shared" si="145"/>
        <v>291760561</v>
      </c>
      <c r="AB270" s="333">
        <f t="shared" si="146"/>
        <v>16.566974517311884</v>
      </c>
      <c r="AC270" s="334">
        <f t="shared" si="147"/>
        <v>-30.750665176567242</v>
      </c>
      <c r="AE270" s="333">
        <f t="shared" si="148"/>
        <v>7.0590282956716575</v>
      </c>
      <c r="AF270" s="334">
        <f t="shared" si="149"/>
        <v>-89.893442818351872</v>
      </c>
      <c r="AH270">
        <f t="shared" si="150"/>
        <v>0</v>
      </c>
      <c r="AI270">
        <f t="shared" si="125"/>
        <v>0</v>
      </c>
    </row>
    <row r="271" spans="1:35" x14ac:dyDescent="0.25">
      <c r="A271" s="335">
        <v>17180</v>
      </c>
      <c r="B271" s="352">
        <f t="shared" si="151"/>
        <v>17.18</v>
      </c>
      <c r="C271" s="325">
        <f t="shared" si="126"/>
        <v>10.75583963991927</v>
      </c>
      <c r="D271" s="326">
        <f t="shared" si="127"/>
        <v>1.4776891104593941</v>
      </c>
      <c r="E271" s="326">
        <f t="shared" si="128"/>
        <v>1.0000253780599746</v>
      </c>
      <c r="F271" s="327">
        <f t="shared" si="129"/>
        <v>7.1242576148412787E-3</v>
      </c>
      <c r="G271" s="326">
        <f t="shared" si="130"/>
        <v>1</v>
      </c>
      <c r="H271" s="327">
        <f t="shared" si="131"/>
        <v>0</v>
      </c>
      <c r="I271" s="325">
        <f t="shared" si="132"/>
        <v>26945.254071039861</v>
      </c>
      <c r="J271" s="328">
        <f t="shared" si="133"/>
        <v>1.5707592145079761</v>
      </c>
      <c r="K271" s="336">
        <f t="shared" si="123"/>
        <v>2.3723040497377537</v>
      </c>
      <c r="L271" s="337">
        <f t="shared" si="124"/>
        <v>1.1356631991135284</v>
      </c>
      <c r="M271" s="325">
        <f t="shared" si="134"/>
        <v>1.0050172476968726</v>
      </c>
      <c r="N271" s="337">
        <f t="shared" si="135"/>
        <v>9.9963591434435964E-2</v>
      </c>
      <c r="O271" s="343">
        <f t="shared" si="136"/>
        <v>1.0049708562091741</v>
      </c>
      <c r="P271" s="691">
        <f t="shared" si="137"/>
        <v>9.9502281383419738E-2</v>
      </c>
      <c r="Q271" s="336">
        <f t="shared" ref="Q271:Q334" si="152">IF(VOUT_setting=1,1,SQRT((1+Afbr-$Q$5*(A271)^2)^2+(A271*$Q$4)^2))</f>
        <v>4.213975221044401</v>
      </c>
      <c r="R271" s="692">
        <f t="shared" si="138"/>
        <v>0.16593250831777911</v>
      </c>
      <c r="S271" s="329">
        <f t="shared" si="139"/>
        <v>0.99775582249534467</v>
      </c>
      <c r="T271" s="330">
        <f t="shared" si="140"/>
        <v>9.944461601519021E-2</v>
      </c>
      <c r="U271" s="331">
        <f t="shared" si="141"/>
        <v>-0.9249624837827668</v>
      </c>
      <c r="V271" s="332">
        <f t="shared" si="142"/>
        <v>-124.4177453980666</v>
      </c>
      <c r="W271" s="334">
        <f t="shared" si="143"/>
        <v>55.5822546019334</v>
      </c>
      <c r="Y271" s="307">
        <f t="shared" si="144"/>
        <v>17180</v>
      </c>
      <c r="Z271" s="307">
        <f t="shared" si="145"/>
        <v>295152400</v>
      </c>
      <c r="AB271" s="333">
        <f t="shared" si="146"/>
        <v>16.557515445517232</v>
      </c>
      <c r="AC271" s="334">
        <f t="shared" si="147"/>
        <v>-30.656657294254565</v>
      </c>
      <c r="AE271" s="333">
        <f t="shared" si="148"/>
        <v>7.0094920970805781</v>
      </c>
      <c r="AF271" s="334">
        <f t="shared" si="149"/>
        <v>-89.954916464027789</v>
      </c>
      <c r="AH271">
        <f t="shared" si="150"/>
        <v>0</v>
      </c>
      <c r="AI271">
        <f t="shared" si="125"/>
        <v>0</v>
      </c>
    </row>
    <row r="272" spans="1:35" x14ac:dyDescent="0.25">
      <c r="A272" s="335">
        <v>17279</v>
      </c>
      <c r="B272" s="352">
        <f t="shared" si="151"/>
        <v>17.279</v>
      </c>
      <c r="C272" s="325">
        <f t="shared" si="126"/>
        <v>10.817286087148338</v>
      </c>
      <c r="D272" s="326">
        <f t="shared" si="127"/>
        <v>1.4782195166377488</v>
      </c>
      <c r="E272" s="326">
        <f t="shared" si="128"/>
        <v>1.0000256713818079</v>
      </c>
      <c r="F272" s="327">
        <f t="shared" si="129"/>
        <v>7.1653098518824803E-3</v>
      </c>
      <c r="G272" s="326">
        <f t="shared" si="130"/>
        <v>1</v>
      </c>
      <c r="H272" s="327">
        <f t="shared" si="131"/>
        <v>0</v>
      </c>
      <c r="I272" s="325">
        <f t="shared" si="132"/>
        <v>27100.526489513046</v>
      </c>
      <c r="J272" s="328">
        <f t="shared" si="133"/>
        <v>1.5707594271427583</v>
      </c>
      <c r="K272" s="336">
        <f t="shared" si="123"/>
        <v>2.383551135137429</v>
      </c>
      <c r="L272" s="337">
        <f t="shared" si="124"/>
        <v>1.1378555299567208</v>
      </c>
      <c r="M272" s="325">
        <f t="shared" si="134"/>
        <v>1.0050750918134042</v>
      </c>
      <c r="N272" s="337">
        <f t="shared" si="135"/>
        <v>0.10053577036427673</v>
      </c>
      <c r="O272" s="343">
        <f t="shared" si="136"/>
        <v>1.0050281668103496</v>
      </c>
      <c r="P272" s="691">
        <f t="shared" si="137"/>
        <v>0.10007185516526641</v>
      </c>
      <c r="Q272" s="336">
        <f t="shared" si="152"/>
        <v>4.2146342031056276</v>
      </c>
      <c r="R272" s="692">
        <f t="shared" si="138"/>
        <v>0.16687130810754652</v>
      </c>
      <c r="S272" s="329">
        <f t="shared" si="139"/>
        <v>0.99773015577493596</v>
      </c>
      <c r="T272" s="330">
        <f t="shared" si="140"/>
        <v>0.10002216172926003</v>
      </c>
      <c r="U272" s="331">
        <f t="shared" si="141"/>
        <v>-0.98440565626811494</v>
      </c>
      <c r="V272" s="332">
        <f t="shared" si="142"/>
        <v>-124.40721365368283</v>
      </c>
      <c r="W272" s="334">
        <f t="shared" si="143"/>
        <v>55.592786346317169</v>
      </c>
      <c r="Y272" s="307">
        <f t="shared" si="144"/>
        <v>17279</v>
      </c>
      <c r="Z272" s="307">
        <f t="shared" si="145"/>
        <v>298563841</v>
      </c>
      <c r="AB272" s="333">
        <f t="shared" si="146"/>
        <v>16.54818910179582</v>
      </c>
      <c r="AC272" s="334">
        <f t="shared" si="147"/>
        <v>-30.563841610419011</v>
      </c>
      <c r="AE272" s="333">
        <f t="shared" si="148"/>
        <v>6.9602381456007958</v>
      </c>
      <c r="AF272" s="334">
        <f t="shared" si="149"/>
        <v>-90.016045311515072</v>
      </c>
      <c r="AH272">
        <f t="shared" si="150"/>
        <v>0</v>
      </c>
      <c r="AI272">
        <f t="shared" si="125"/>
        <v>0</v>
      </c>
    </row>
    <row r="273" spans="1:35" x14ac:dyDescent="0.25">
      <c r="A273" s="335">
        <v>17378</v>
      </c>
      <c r="B273" s="352">
        <f t="shared" si="151"/>
        <v>17.378</v>
      </c>
      <c r="C273" s="325">
        <f t="shared" si="126"/>
        <v>10.878735543233471</v>
      </c>
      <c r="D273" s="326">
        <f t="shared" si="127"/>
        <v>1.4787439308741019</v>
      </c>
      <c r="E273" s="326">
        <f t="shared" si="128"/>
        <v>1.0000259663889697</v>
      </c>
      <c r="F273" s="327">
        <f t="shared" si="129"/>
        <v>7.2063620647720879E-3</v>
      </c>
      <c r="G273" s="326">
        <f t="shared" si="130"/>
        <v>1</v>
      </c>
      <c r="H273" s="327">
        <f t="shared" si="131"/>
        <v>0</v>
      </c>
      <c r="I273" s="325">
        <f t="shared" si="132"/>
        <v>27255.798907987446</v>
      </c>
      <c r="J273" s="328">
        <f t="shared" si="133"/>
        <v>1.5707596373548403</v>
      </c>
      <c r="K273" s="336">
        <f t="shared" si="123"/>
        <v>2.3948095689958082</v>
      </c>
      <c r="L273" s="337">
        <f t="shared" si="124"/>
        <v>1.1400272580669917</v>
      </c>
      <c r="M273" s="325">
        <f t="shared" si="134"/>
        <v>1.005133264942256</v>
      </c>
      <c r="N273" s="337">
        <f t="shared" si="135"/>
        <v>0.10110788325050628</v>
      </c>
      <c r="O273" s="343">
        <f t="shared" si="136"/>
        <v>1.0050858034197827</v>
      </c>
      <c r="P273" s="691">
        <f t="shared" si="137"/>
        <v>0.10064136380747594</v>
      </c>
      <c r="Q273" s="336">
        <f t="shared" si="152"/>
        <v>4.2152968677487941</v>
      </c>
      <c r="R273" s="692">
        <f t="shared" si="138"/>
        <v>0.16780981478082513</v>
      </c>
      <c r="S273" s="329">
        <f t="shared" si="139"/>
        <v>0.99770434785874895</v>
      </c>
      <c r="T273" s="330">
        <f t="shared" si="140"/>
        <v>0.10059978492365673</v>
      </c>
      <c r="U273" s="331">
        <f t="shared" si="141"/>
        <v>-1.043444210561187</v>
      </c>
      <c r="V273" s="332">
        <f t="shared" si="142"/>
        <v>-124.39750650169249</v>
      </c>
      <c r="W273" s="334">
        <f t="shared" si="143"/>
        <v>55.60249349830751</v>
      </c>
      <c r="Y273" s="307">
        <f t="shared" si="144"/>
        <v>17378</v>
      </c>
      <c r="Z273" s="307">
        <f t="shared" si="145"/>
        <v>301994884</v>
      </c>
      <c r="AB273" s="333">
        <f t="shared" si="146"/>
        <v>16.538992844711622</v>
      </c>
      <c r="AC273" s="334">
        <f t="shared" si="147"/>
        <v>-30.472202453396967</v>
      </c>
      <c r="AE273" s="333">
        <f t="shared" si="148"/>
        <v>6.9112633124312381</v>
      </c>
      <c r="AF273" s="334">
        <f t="shared" si="149"/>
        <v>-90.076835286693694</v>
      </c>
      <c r="AH273">
        <f t="shared" si="150"/>
        <v>0</v>
      </c>
      <c r="AI273">
        <f t="shared" si="125"/>
        <v>0</v>
      </c>
    </row>
    <row r="274" spans="1:35" x14ac:dyDescent="0.25">
      <c r="A274" s="335">
        <v>17479.25</v>
      </c>
      <c r="B274" s="352">
        <f t="shared" si="151"/>
        <v>17.47925</v>
      </c>
      <c r="C274" s="325">
        <f t="shared" si="126"/>
        <v>10.941584637240757</v>
      </c>
      <c r="D274" s="326">
        <f t="shared" si="127"/>
        <v>1.4792741707711037</v>
      </c>
      <c r="E274" s="326">
        <f t="shared" si="128"/>
        <v>1.0000262698440561</v>
      </c>
      <c r="F274" s="327">
        <f t="shared" si="129"/>
        <v>7.2483472573747296E-3</v>
      </c>
      <c r="G274" s="326">
        <f t="shared" si="130"/>
        <v>1</v>
      </c>
      <c r="H274" s="327">
        <f t="shared" si="131"/>
        <v>0</v>
      </c>
      <c r="I274" s="325">
        <f t="shared" si="132"/>
        <v>27414.600245064768</v>
      </c>
      <c r="J274" s="328">
        <f t="shared" si="133"/>
        <v>1.5707598498814532</v>
      </c>
      <c r="K274" s="336">
        <f t="shared" si="123"/>
        <v>2.4063354486125057</v>
      </c>
      <c r="L274" s="337">
        <f t="shared" si="124"/>
        <v>1.1422273133990739</v>
      </c>
      <c r="M274" s="325">
        <f t="shared" si="134"/>
        <v>1.0051931004417596</v>
      </c>
      <c r="N274" s="337">
        <f t="shared" si="135"/>
        <v>0.10169293001184361</v>
      </c>
      <c r="O274" s="343">
        <f t="shared" si="136"/>
        <v>1.0051450871000802</v>
      </c>
      <c r="P274" s="691">
        <f t="shared" si="137"/>
        <v>0.10122374807748741</v>
      </c>
      <c r="Q274" s="336">
        <f t="shared" si="152"/>
        <v>4.2159784002179537</v>
      </c>
      <c r="R274" s="692">
        <f t="shared" si="138"/>
        <v>0.16876934640933108</v>
      </c>
      <c r="S274" s="329">
        <f t="shared" si="139"/>
        <v>0.99767780746636492</v>
      </c>
      <c r="T274" s="330">
        <f t="shared" si="140"/>
        <v>0.10119061652225637</v>
      </c>
      <c r="U274" s="331">
        <f t="shared" si="141"/>
        <v>-1.1034119217526162</v>
      </c>
      <c r="V274" s="332">
        <f t="shared" si="142"/>
        <v>-124.38842154636735</v>
      </c>
      <c r="W274" s="334">
        <f t="shared" si="143"/>
        <v>55.611578453632646</v>
      </c>
      <c r="Y274" s="307">
        <f t="shared" si="144"/>
        <v>17479.25</v>
      </c>
      <c r="Z274" s="307">
        <f t="shared" si="145"/>
        <v>305524180.5625</v>
      </c>
      <c r="AB274" s="333">
        <f t="shared" si="146"/>
        <v>16.52971944919932</v>
      </c>
      <c r="AC274" s="334">
        <f t="shared" si="147"/>
        <v>-30.379681455188063</v>
      </c>
      <c r="AE274" s="333">
        <f t="shared" si="148"/>
        <v>6.8614609138081697</v>
      </c>
      <c r="AF274" s="334">
        <f t="shared" si="149"/>
        <v>-90.138662377656544</v>
      </c>
      <c r="AH274">
        <f t="shared" si="150"/>
        <v>0</v>
      </c>
      <c r="AI274">
        <f t="shared" si="125"/>
        <v>0</v>
      </c>
    </row>
    <row r="275" spans="1:35" x14ac:dyDescent="0.25">
      <c r="A275" s="335">
        <v>17580.5</v>
      </c>
      <c r="B275" s="352">
        <f t="shared" si="151"/>
        <v>17.580500000000001</v>
      </c>
      <c r="C275" s="325">
        <f t="shared" si="126"/>
        <v>11.004436772382897</v>
      </c>
      <c r="D275" s="326">
        <f t="shared" si="127"/>
        <v>1.4797983538553563</v>
      </c>
      <c r="E275" s="326">
        <f t="shared" si="128"/>
        <v>1.0000265750619441</v>
      </c>
      <c r="F275" s="327">
        <f t="shared" si="129"/>
        <v>7.2903324244227982E-3</v>
      </c>
      <c r="G275" s="326">
        <f t="shared" si="130"/>
        <v>1</v>
      </c>
      <c r="H275" s="327">
        <f t="shared" si="131"/>
        <v>0</v>
      </c>
      <c r="I275" s="325">
        <f t="shared" si="132"/>
        <v>27573.401582143313</v>
      </c>
      <c r="J275" s="328">
        <f t="shared" si="133"/>
        <v>1.5707600599600906</v>
      </c>
      <c r="K275" s="336">
        <f t="shared" si="123"/>
        <v>2.4178728644022103</v>
      </c>
      <c r="L275" s="337">
        <f t="shared" si="124"/>
        <v>1.1444063830923004</v>
      </c>
      <c r="M275" s="325">
        <f t="shared" si="134"/>
        <v>1.0052532799574418</v>
      </c>
      <c r="N275" s="337">
        <f t="shared" si="135"/>
        <v>0.10227790692570533</v>
      </c>
      <c r="O275" s="343">
        <f t="shared" si="136"/>
        <v>1.0052047116566027</v>
      </c>
      <c r="P275" s="691">
        <f t="shared" si="137"/>
        <v>0.10180606345576594</v>
      </c>
      <c r="Q275" s="336">
        <f t="shared" si="152"/>
        <v>4.2166637808783776</v>
      </c>
      <c r="R275" s="692">
        <f t="shared" si="138"/>
        <v>0.16972856828866997</v>
      </c>
      <c r="S275" s="329">
        <f t="shared" si="139"/>
        <v>0.9976511196175416</v>
      </c>
      <c r="T275" s="330">
        <f t="shared" si="140"/>
        <v>0.10178153010218235</v>
      </c>
      <c r="U275" s="331">
        <f t="shared" si="141"/>
        <v>-1.1629682481177612</v>
      </c>
      <c r="V275" s="332">
        <f t="shared" si="142"/>
        <v>-124.38017870608168</v>
      </c>
      <c r="W275" s="334">
        <f t="shared" si="143"/>
        <v>55.619821293918321</v>
      </c>
      <c r="Y275" s="307">
        <f t="shared" si="144"/>
        <v>17580.5</v>
      </c>
      <c r="Z275" s="307">
        <f t="shared" si="145"/>
        <v>309073980.25</v>
      </c>
      <c r="AB275" s="333">
        <f t="shared" si="146"/>
        <v>16.520576729568536</v>
      </c>
      <c r="AC275" s="334">
        <f t="shared" si="147"/>
        <v>-30.28835870329312</v>
      </c>
      <c r="AE275" s="333">
        <f t="shared" si="148"/>
        <v>6.8119440087583154</v>
      </c>
      <c r="AF275" s="334">
        <f t="shared" si="149"/>
        <v>-90.200147137459339</v>
      </c>
      <c r="AH275">
        <f t="shared" si="150"/>
        <v>0</v>
      </c>
      <c r="AI275">
        <f t="shared" si="125"/>
        <v>0</v>
      </c>
    </row>
    <row r="276" spans="1:35" x14ac:dyDescent="0.25">
      <c r="A276" s="335">
        <v>17681.75</v>
      </c>
      <c r="B276" s="352">
        <f t="shared" si="151"/>
        <v>17.681750000000001</v>
      </c>
      <c r="C276" s="325">
        <f t="shared" si="126"/>
        <v>11.067291896847266</v>
      </c>
      <c r="D276" s="326">
        <f t="shared" si="127"/>
        <v>1.4803165830327636</v>
      </c>
      <c r="E276" s="326">
        <f t="shared" si="128"/>
        <v>1.0000268820426323</v>
      </c>
      <c r="F276" s="327">
        <f t="shared" si="129"/>
        <v>7.3323175657682982E-3</v>
      </c>
      <c r="G276" s="326">
        <f t="shared" si="130"/>
        <v>1</v>
      </c>
      <c r="H276" s="327">
        <f t="shared" si="131"/>
        <v>0</v>
      </c>
      <c r="I276" s="325">
        <f t="shared" si="132"/>
        <v>27732.202919223058</v>
      </c>
      <c r="J276" s="328">
        <f t="shared" si="133"/>
        <v>1.5707602676328052</v>
      </c>
      <c r="K276" s="336">
        <f t="shared" si="123"/>
        <v>2.4294216520077554</v>
      </c>
      <c r="L276" s="337">
        <f t="shared" si="124"/>
        <v>1.1465647455836288</v>
      </c>
      <c r="M276" s="325">
        <f t="shared" si="134"/>
        <v>1.0053138034275231</v>
      </c>
      <c r="N276" s="337">
        <f t="shared" si="135"/>
        <v>0.10286281360431522</v>
      </c>
      <c r="O276" s="343">
        <f t="shared" si="136"/>
        <v>1.0052646770286955</v>
      </c>
      <c r="P276" s="691">
        <f t="shared" si="137"/>
        <v>0.10238830955968918</v>
      </c>
      <c r="Q276" s="336">
        <f t="shared" si="152"/>
        <v>4.2173530078540349</v>
      </c>
      <c r="R276" s="692">
        <f t="shared" si="138"/>
        <v>0.17068747882709534</v>
      </c>
      <c r="S276" s="329">
        <f t="shared" si="139"/>
        <v>0.99762428442973472</v>
      </c>
      <c r="T276" s="330">
        <f t="shared" si="140"/>
        <v>0.10237252613827717</v>
      </c>
      <c r="U276" s="331">
        <f t="shared" si="141"/>
        <v>-1.2221189957431571</v>
      </c>
      <c r="V276" s="332">
        <f t="shared" si="142"/>
        <v>-124.37276786177564</v>
      </c>
      <c r="W276" s="334">
        <f t="shared" si="143"/>
        <v>55.627232138224358</v>
      </c>
      <c r="Y276" s="307">
        <f t="shared" si="144"/>
        <v>17681.75</v>
      </c>
      <c r="Z276" s="307">
        <f t="shared" si="145"/>
        <v>312644283.0625</v>
      </c>
      <c r="AB276" s="333">
        <f t="shared" si="146"/>
        <v>16.511562056747319</v>
      </c>
      <c r="AC276" s="334">
        <f t="shared" si="147"/>
        <v>-30.198218224641089</v>
      </c>
      <c r="AE276" s="333">
        <f t="shared" si="148"/>
        <v>6.7627094136565944</v>
      </c>
      <c r="AF276" s="334">
        <f t="shared" si="149"/>
        <v>-90.261295489391031</v>
      </c>
      <c r="AH276">
        <f t="shared" si="150"/>
        <v>0</v>
      </c>
      <c r="AI276">
        <f t="shared" si="125"/>
        <v>0</v>
      </c>
    </row>
    <row r="277" spans="1:35" x14ac:dyDescent="0.25">
      <c r="A277" s="335">
        <v>17783</v>
      </c>
      <c r="B277" s="352">
        <f t="shared" si="151"/>
        <v>17.783000000000001</v>
      </c>
      <c r="C277" s="325">
        <f t="shared" si="126"/>
        <v>11.130149959989204</v>
      </c>
      <c r="D277" s="326">
        <f t="shared" si="127"/>
        <v>1.4808289588975225</v>
      </c>
      <c r="E277" s="326">
        <f t="shared" si="128"/>
        <v>1.0000271907861189</v>
      </c>
      <c r="F277" s="327">
        <f t="shared" si="129"/>
        <v>7.3743026812632352E-3</v>
      </c>
      <c r="G277" s="326">
        <f t="shared" si="130"/>
        <v>1</v>
      </c>
      <c r="H277" s="327">
        <f t="shared" si="131"/>
        <v>0</v>
      </c>
      <c r="I277" s="325">
        <f t="shared" si="132"/>
        <v>27891.00425630399</v>
      </c>
      <c r="J277" s="328">
        <f t="shared" si="133"/>
        <v>1.5707604729406923</v>
      </c>
      <c r="K277" s="336">
        <f t="shared" si="123"/>
        <v>2.4409816500219277</v>
      </c>
      <c r="L277" s="337">
        <f t="shared" si="124"/>
        <v>1.1487026748150611</v>
      </c>
      <c r="M277" s="325">
        <f t="shared" si="134"/>
        <v>1.005374670789885</v>
      </c>
      <c r="N277" s="337">
        <f t="shared" si="135"/>
        <v>0.10344764966018237</v>
      </c>
      <c r="O277" s="343">
        <f t="shared" si="136"/>
        <v>1.0053249831553719</v>
      </c>
      <c r="P277" s="691">
        <f t="shared" si="137"/>
        <v>0.10297048600691368</v>
      </c>
      <c r="Q277" s="336">
        <f t="shared" si="152"/>
        <v>4.2180460792596017</v>
      </c>
      <c r="R277" s="692">
        <f t="shared" si="138"/>
        <v>0.1716460764361693</v>
      </c>
      <c r="S277" s="329">
        <f t="shared" si="139"/>
        <v>0.99759730202109398</v>
      </c>
      <c r="T277" s="330">
        <f t="shared" si="140"/>
        <v>0.10296360510537887</v>
      </c>
      <c r="U277" s="331">
        <f t="shared" si="141"/>
        <v>-1.2808698553443949</v>
      </c>
      <c r="V277" s="332">
        <f t="shared" si="142"/>
        <v>-124.3661790196152</v>
      </c>
      <c r="W277" s="334">
        <f t="shared" si="143"/>
        <v>55.633820980384797</v>
      </c>
      <c r="Y277" s="307">
        <f t="shared" si="144"/>
        <v>17783</v>
      </c>
      <c r="Z277" s="307">
        <f t="shared" si="145"/>
        <v>316235089</v>
      </c>
      <c r="AB277" s="333">
        <f t="shared" si="146"/>
        <v>16.502672864307268</v>
      </c>
      <c r="AC277" s="334">
        <f t="shared" si="147"/>
        <v>-30.109244303664401</v>
      </c>
      <c r="AE277" s="333">
        <f t="shared" si="148"/>
        <v>6.713753997575119</v>
      </c>
      <c r="AF277" s="334">
        <f t="shared" si="149"/>
        <v>-90.322113224289225</v>
      </c>
      <c r="AH277">
        <f t="shared" si="150"/>
        <v>0</v>
      </c>
      <c r="AI277">
        <f t="shared" si="125"/>
        <v>0</v>
      </c>
    </row>
    <row r="278" spans="1:35" x14ac:dyDescent="0.25">
      <c r="A278" s="335">
        <v>17886.5</v>
      </c>
      <c r="B278" s="352">
        <f t="shared" si="151"/>
        <v>17.886500000000002</v>
      </c>
      <c r="C278" s="325">
        <f t="shared" si="126"/>
        <v>11.194407854793305</v>
      </c>
      <c r="D278" s="326">
        <f t="shared" si="127"/>
        <v>1.481346773413905</v>
      </c>
      <c r="E278" s="326">
        <f t="shared" si="128"/>
        <v>1.0000275082125636</v>
      </c>
      <c r="F278" s="327">
        <f t="shared" si="129"/>
        <v>7.417220772451996E-3</v>
      </c>
      <c r="G278" s="326">
        <f t="shared" si="130"/>
        <v>1</v>
      </c>
      <c r="H278" s="327">
        <f t="shared" si="131"/>
        <v>0</v>
      </c>
      <c r="I278" s="325">
        <f t="shared" si="132"/>
        <v>28053.33451198792</v>
      </c>
      <c r="J278" s="328">
        <f t="shared" si="133"/>
        <v>1.5707606804085541</v>
      </c>
      <c r="K278" s="336">
        <f t="shared" si="123"/>
        <v>2.452809958698154</v>
      </c>
      <c r="L278" s="337">
        <f t="shared" si="124"/>
        <v>1.1508672747872144</v>
      </c>
      <c r="M278" s="325">
        <f t="shared" si="134"/>
        <v>1.0054372461355343</v>
      </c>
      <c r="N278" s="337">
        <f t="shared" si="135"/>
        <v>0.1040454086754054</v>
      </c>
      <c r="O278" s="343">
        <f t="shared" si="136"/>
        <v>1.0053869815515546</v>
      </c>
      <c r="P278" s="691">
        <f t="shared" si="137"/>
        <v>0.10356552731491669</v>
      </c>
      <c r="Q278" s="336">
        <f t="shared" si="152"/>
        <v>4.2187585238059917</v>
      </c>
      <c r="R278" s="692">
        <f t="shared" si="138"/>
        <v>0.17262565112627659</v>
      </c>
      <c r="S278" s="329">
        <f t="shared" si="139"/>
        <v>0.99756956796257534</v>
      </c>
      <c r="T278" s="330">
        <f t="shared" si="140"/>
        <v>0.10356790537090275</v>
      </c>
      <c r="U278" s="331">
        <f t="shared" si="141"/>
        <v>-1.3405187808534591</v>
      </c>
      <c r="V278" s="332">
        <f t="shared" si="142"/>
        <v>-124.36028308816</v>
      </c>
      <c r="W278" s="334">
        <f t="shared" si="143"/>
        <v>55.639716911839997</v>
      </c>
      <c r="Y278" s="307">
        <f t="shared" si="144"/>
        <v>17886.5</v>
      </c>
      <c r="Z278" s="307">
        <f t="shared" si="145"/>
        <v>319926882.25</v>
      </c>
      <c r="AB278" s="333">
        <f t="shared" si="146"/>
        <v>16.493713219808704</v>
      </c>
      <c r="AC278" s="334">
        <f t="shared" si="147"/>
        <v>-30.019482816594351</v>
      </c>
      <c r="AE278" s="333">
        <f t="shared" si="148"/>
        <v>6.6639960312124487</v>
      </c>
      <c r="AF278" s="334">
        <f t="shared" si="149"/>
        <v>-90.383946640002478</v>
      </c>
      <c r="AH278">
        <f t="shared" si="150"/>
        <v>0</v>
      </c>
      <c r="AI278">
        <f t="shared" si="125"/>
        <v>0</v>
      </c>
    </row>
    <row r="279" spans="1:35" x14ac:dyDescent="0.25">
      <c r="A279" s="335">
        <v>17990</v>
      </c>
      <c r="B279" s="352">
        <f t="shared" si="151"/>
        <v>17.989999999999998</v>
      </c>
      <c r="C279" s="325">
        <f t="shared" si="126"/>
        <v>11.258668716911988</v>
      </c>
      <c r="D279" s="326">
        <f t="shared" si="127"/>
        <v>1.4818586770286095</v>
      </c>
      <c r="E279" s="326">
        <f t="shared" si="128"/>
        <v>1.0000278274810206</v>
      </c>
      <c r="F279" s="327">
        <f t="shared" si="129"/>
        <v>7.4601388363157882E-3</v>
      </c>
      <c r="G279" s="326">
        <f t="shared" si="130"/>
        <v>1</v>
      </c>
      <c r="H279" s="327">
        <f t="shared" si="131"/>
        <v>0</v>
      </c>
      <c r="I279" s="325">
        <f t="shared" si="132"/>
        <v>28215.664767673043</v>
      </c>
      <c r="J279" s="328">
        <f t="shared" si="133"/>
        <v>1.570760885489209</v>
      </c>
      <c r="K279" s="336">
        <f t="shared" ref="K279:K342" si="153">SQRT(1+(A279/Zero2)^2)</f>
        <v>2.4646496496566832</v>
      </c>
      <c r="L279" s="337">
        <f t="shared" ref="L279:L342" si="154">ATAN(A279/Zero2)</f>
        <v>1.1530110881010192</v>
      </c>
      <c r="M279" s="325">
        <f t="shared" si="134"/>
        <v>1.0055001806950479</v>
      </c>
      <c r="N279" s="337">
        <f t="shared" si="135"/>
        <v>0.10464309307633429</v>
      </c>
      <c r="O279" s="343">
        <f t="shared" si="136"/>
        <v>1.0054493358853116</v>
      </c>
      <c r="P279" s="691">
        <f t="shared" si="137"/>
        <v>0.10416049502893822</v>
      </c>
      <c r="Q279" s="336">
        <f t="shared" si="152"/>
        <v>4.2194749815308246</v>
      </c>
      <c r="R279" s="692">
        <f t="shared" si="138"/>
        <v>0.17360489547864039</v>
      </c>
      <c r="S279" s="329">
        <f t="shared" si="139"/>
        <v>0.99754168031925516</v>
      </c>
      <c r="T279" s="330">
        <f t="shared" si="140"/>
        <v>0.10417229329757371</v>
      </c>
      <c r="U279" s="331">
        <f t="shared" si="141"/>
        <v>-1.3997615165222133</v>
      </c>
      <c r="V279" s="332">
        <f t="shared" si="142"/>
        <v>-124.35522537676447</v>
      </c>
      <c r="W279" s="334">
        <f t="shared" si="143"/>
        <v>55.644774623235534</v>
      </c>
      <c r="Y279" s="307">
        <f t="shared" si="144"/>
        <v>17990</v>
      </c>
      <c r="Z279" s="307">
        <f t="shared" si="145"/>
        <v>323640100</v>
      </c>
      <c r="AB279" s="333">
        <f t="shared" si="146"/>
        <v>16.484879464342782</v>
      </c>
      <c r="AC279" s="334">
        <f t="shared" si="147"/>
        <v>-29.930907905458184</v>
      </c>
      <c r="AE279" s="333">
        <f t="shared" si="148"/>
        <v>6.6145233373236634</v>
      </c>
      <c r="AF279" s="334">
        <f t="shared" si="149"/>
        <v>-90.445446410175464</v>
      </c>
      <c r="AH279">
        <f t="shared" si="150"/>
        <v>0</v>
      </c>
      <c r="AI279">
        <f t="shared" si="125"/>
        <v>0</v>
      </c>
    </row>
    <row r="280" spans="1:35" x14ac:dyDescent="0.25">
      <c r="A280" s="335">
        <v>18093.5</v>
      </c>
      <c r="B280" s="352">
        <f t="shared" si="151"/>
        <v>18.093499999999999</v>
      </c>
      <c r="C280" s="325">
        <f t="shared" si="126"/>
        <v>11.322932495824197</v>
      </c>
      <c r="D280" s="326">
        <f t="shared" si="127"/>
        <v>1.4823647701137541</v>
      </c>
      <c r="E280" s="326">
        <f t="shared" si="128"/>
        <v>1.0000281485914877</v>
      </c>
      <c r="F280" s="327">
        <f t="shared" si="129"/>
        <v>7.5030568726965298E-3</v>
      </c>
      <c r="G280" s="326">
        <f t="shared" si="130"/>
        <v>1</v>
      </c>
      <c r="H280" s="327">
        <f t="shared" si="131"/>
        <v>0</v>
      </c>
      <c r="I280" s="325">
        <f t="shared" si="132"/>
        <v>28377.995023359341</v>
      </c>
      <c r="J280" s="328">
        <f t="shared" si="133"/>
        <v>1.5707610882236238</v>
      </c>
      <c r="K280" s="336">
        <f t="shared" si="153"/>
        <v>2.4765005596477643</v>
      </c>
      <c r="L280" s="337">
        <f t="shared" si="154"/>
        <v>1.155134393322377</v>
      </c>
      <c r="M280" s="325">
        <f t="shared" si="134"/>
        <v>1.0055634744009796</v>
      </c>
      <c r="N280" s="337">
        <f t="shared" si="135"/>
        <v>0.10524070245000125</v>
      </c>
      <c r="O280" s="343">
        <f t="shared" si="136"/>
        <v>1.0055120460904252</v>
      </c>
      <c r="P280" s="691">
        <f t="shared" si="137"/>
        <v>0.1047553887414877</v>
      </c>
      <c r="Q280" s="336">
        <f t="shared" si="152"/>
        <v>4.2201954503903067</v>
      </c>
      <c r="R280" s="692">
        <f t="shared" si="138"/>
        <v>0.17458380780736463</v>
      </c>
      <c r="S280" s="329">
        <f t="shared" si="139"/>
        <v>0.9975136392195868</v>
      </c>
      <c r="T280" s="330">
        <f t="shared" si="140"/>
        <v>0.10477676939257896</v>
      </c>
      <c r="U280" s="331">
        <f t="shared" si="141"/>
        <v>-1.4586037855898422</v>
      </c>
      <c r="V280" s="332">
        <f t="shared" si="142"/>
        <v>-124.35099561018423</v>
      </c>
      <c r="W280" s="334">
        <f t="shared" si="143"/>
        <v>55.649004389815772</v>
      </c>
      <c r="Y280" s="307">
        <f t="shared" si="144"/>
        <v>18093.5</v>
      </c>
      <c r="Z280" s="307">
        <f t="shared" si="145"/>
        <v>327374742.25</v>
      </c>
      <c r="AB280" s="333">
        <f t="shared" si="146"/>
        <v>16.476169048429398</v>
      </c>
      <c r="AC280" s="334">
        <f t="shared" si="147"/>
        <v>-29.843503588291323</v>
      </c>
      <c r="AE280" s="333">
        <f t="shared" si="148"/>
        <v>6.5653327349593269</v>
      </c>
      <c r="AF280" s="334">
        <f t="shared" si="149"/>
        <v>-90.506618314775636</v>
      </c>
      <c r="AH280">
        <f t="shared" si="150"/>
        <v>0</v>
      </c>
      <c r="AI280">
        <f t="shared" si="125"/>
        <v>0</v>
      </c>
    </row>
    <row r="281" spans="1:35" x14ac:dyDescent="0.25">
      <c r="A281" s="335">
        <v>18197</v>
      </c>
      <c r="B281" s="352">
        <f t="shared" si="151"/>
        <v>18.196999999999999</v>
      </c>
      <c r="C281" s="325">
        <f t="shared" si="126"/>
        <v>11.387199142147065</v>
      </c>
      <c r="D281" s="326">
        <f t="shared" si="127"/>
        <v>1.4828651507876123</v>
      </c>
      <c r="E281" s="326">
        <f t="shared" si="128"/>
        <v>1.0000284715439633</v>
      </c>
      <c r="F281" s="327">
        <f t="shared" si="129"/>
        <v>7.5459748814361424E-3</v>
      </c>
      <c r="G281" s="326">
        <f t="shared" si="130"/>
        <v>1</v>
      </c>
      <c r="H281" s="327">
        <f t="shared" si="131"/>
        <v>0</v>
      </c>
      <c r="I281" s="325">
        <f t="shared" si="132"/>
        <v>28540.325279046792</v>
      </c>
      <c r="J281" s="328">
        <f t="shared" si="133"/>
        <v>1.5707612886518332</v>
      </c>
      <c r="K281" s="336">
        <f t="shared" si="153"/>
        <v>2.4883625283783464</v>
      </c>
      <c r="L281" s="337">
        <f t="shared" si="154"/>
        <v>1.1572374644527548</v>
      </c>
      <c r="M281" s="325">
        <f t="shared" si="134"/>
        <v>1.0056271271855162</v>
      </c>
      <c r="N281" s="337">
        <f t="shared" si="135"/>
        <v>0.10583823638375649</v>
      </c>
      <c r="O281" s="343">
        <f t="shared" si="136"/>
        <v>1.0055751121003162</v>
      </c>
      <c r="P281" s="691">
        <f t="shared" si="137"/>
        <v>0.10535020804538542</v>
      </c>
      <c r="Q281" s="336">
        <f t="shared" si="152"/>
        <v>4.2209199283305994</v>
      </c>
      <c r="R281" s="692">
        <f t="shared" si="138"/>
        <v>0.17556238643022545</v>
      </c>
      <c r="S281" s="329">
        <f t="shared" si="139"/>
        <v>0.997485444792783</v>
      </c>
      <c r="T281" s="330">
        <f t="shared" si="140"/>
        <v>0.10538133416310017</v>
      </c>
      <c r="U281" s="331">
        <f t="shared" si="141"/>
        <v>-1.5170511974820202</v>
      </c>
      <c r="V281" s="332">
        <f t="shared" si="142"/>
        <v>-124.34758364571903</v>
      </c>
      <c r="W281" s="334">
        <f t="shared" si="143"/>
        <v>55.652416354280973</v>
      </c>
      <c r="Y281" s="307">
        <f t="shared" si="144"/>
        <v>18197</v>
      </c>
      <c r="Z281" s="307">
        <f t="shared" si="145"/>
        <v>331130809</v>
      </c>
      <c r="AB281" s="333">
        <f t="shared" si="146"/>
        <v>16.467579483690923</v>
      </c>
      <c r="AC281" s="334">
        <f t="shared" si="147"/>
        <v>-29.757254144616827</v>
      </c>
      <c r="AE281" s="333">
        <f t="shared" si="148"/>
        <v>6.5164210958486048</v>
      </c>
      <c r="AF281" s="334">
        <f t="shared" si="149"/>
        <v>-90.567468004634435</v>
      </c>
      <c r="AH281">
        <f t="shared" si="150"/>
        <v>0</v>
      </c>
      <c r="AI281">
        <f t="shared" si="125"/>
        <v>0</v>
      </c>
    </row>
    <row r="282" spans="1:35" x14ac:dyDescent="0.25">
      <c r="A282" s="335">
        <v>18303</v>
      </c>
      <c r="B282" s="352">
        <f t="shared" si="151"/>
        <v>18.303000000000001</v>
      </c>
      <c r="C282" s="325">
        <f t="shared" si="126"/>
        <v>11.453021044625226</v>
      </c>
      <c r="D282" s="326">
        <f t="shared" si="127"/>
        <v>1.483371797119865</v>
      </c>
      <c r="E282" s="326">
        <f t="shared" si="128"/>
        <v>1.0000288042065069</v>
      </c>
      <c r="F282" s="327">
        <f t="shared" si="129"/>
        <v>7.5899295282376676E-3</v>
      </c>
      <c r="G282" s="326">
        <f t="shared" si="130"/>
        <v>1</v>
      </c>
      <c r="H282" s="327">
        <f t="shared" si="131"/>
        <v>0</v>
      </c>
      <c r="I282" s="325">
        <f t="shared" si="132"/>
        <v>28706.57655540419</v>
      </c>
      <c r="J282" s="328">
        <f t="shared" si="133"/>
        <v>1.5707614915717458</v>
      </c>
      <c r="K282" s="336">
        <f t="shared" si="153"/>
        <v>2.5005223162935883</v>
      </c>
      <c r="L282" s="337">
        <f t="shared" si="154"/>
        <v>1.1593706428751562</v>
      </c>
      <c r="M282" s="325">
        <f t="shared" si="134"/>
        <v>1.0056926895991336</v>
      </c>
      <c r="N282" s="337">
        <f t="shared" si="135"/>
        <v>0.10645012487823907</v>
      </c>
      <c r="O282" s="343">
        <f t="shared" si="136"/>
        <v>1.0056400701738848</v>
      </c>
      <c r="P282" s="691">
        <f t="shared" si="137"/>
        <v>0.10595931741387424</v>
      </c>
      <c r="Q282" s="336">
        <f t="shared" si="152"/>
        <v>4.221666059088431</v>
      </c>
      <c r="R282" s="692">
        <f t="shared" si="138"/>
        <v>0.17656425457005617</v>
      </c>
      <c r="S282" s="329">
        <f t="shared" si="139"/>
        <v>0.99745641054978984</v>
      </c>
      <c r="T282" s="330">
        <f t="shared" si="140"/>
        <v>0.10600059439160026</v>
      </c>
      <c r="U282" s="331">
        <f t="shared" si="141"/>
        <v>-1.5765068483119913</v>
      </c>
      <c r="V282" s="332">
        <f t="shared" si="142"/>
        <v>-124.3449264781552</v>
      </c>
      <c r="W282" s="334">
        <f t="shared" si="143"/>
        <v>55.655073521844798</v>
      </c>
      <c r="Y282" s="307">
        <f t="shared" si="144"/>
        <v>18303</v>
      </c>
      <c r="Z282" s="307">
        <f t="shared" si="145"/>
        <v>334999809</v>
      </c>
      <c r="AB282" s="333">
        <f t="shared" si="146"/>
        <v>16.458905169042019</v>
      </c>
      <c r="AC282" s="334">
        <f t="shared" si="147"/>
        <v>-29.670102278686301</v>
      </c>
      <c r="AE282" s="333">
        <f t="shared" si="148"/>
        <v>6.4666139537062994</v>
      </c>
      <c r="AF282" s="334">
        <f t="shared" si="149"/>
        <v>-90.629459283010789</v>
      </c>
      <c r="AH282">
        <f t="shared" si="150"/>
        <v>0</v>
      </c>
      <c r="AI282">
        <f t="shared" ref="AI282:AI345" si="155">IF(AH282&gt;0,W282,0)</f>
        <v>0</v>
      </c>
    </row>
    <row r="283" spans="1:35" x14ac:dyDescent="0.25">
      <c r="A283" s="335">
        <v>18409</v>
      </c>
      <c r="B283" s="352">
        <f t="shared" si="151"/>
        <v>18.408999999999999</v>
      </c>
      <c r="C283" s="325">
        <f t="shared" si="126"/>
        <v>11.518845853386107</v>
      </c>
      <c r="D283" s="326">
        <f t="shared" si="127"/>
        <v>1.4838726530864976</v>
      </c>
      <c r="E283" s="326">
        <f t="shared" si="128"/>
        <v>1.0000291388011155</v>
      </c>
      <c r="F283" s="327">
        <f t="shared" si="129"/>
        <v>7.6338841457109941E-3</v>
      </c>
      <c r="G283" s="326">
        <f t="shared" si="130"/>
        <v>1</v>
      </c>
      <c r="H283" s="327">
        <f t="shared" si="131"/>
        <v>0</v>
      </c>
      <c r="I283" s="325">
        <f t="shared" si="132"/>
        <v>28872.827831762763</v>
      </c>
      <c r="J283" s="328">
        <f t="shared" si="133"/>
        <v>1.5707616921548113</v>
      </c>
      <c r="K283" s="336">
        <f t="shared" si="153"/>
        <v>2.5126933725520497</v>
      </c>
      <c r="L283" s="337">
        <f t="shared" si="154"/>
        <v>1.1614831653313571</v>
      </c>
      <c r="M283" s="325">
        <f t="shared" si="134"/>
        <v>1.0057586285024935</v>
      </c>
      <c r="N283" s="337">
        <f t="shared" si="135"/>
        <v>0.10706193336927884</v>
      </c>
      <c r="O283" s="343">
        <f t="shared" si="136"/>
        <v>1.0057054013059437</v>
      </c>
      <c r="P283" s="691">
        <f t="shared" si="137"/>
        <v>0.10656834787219167</v>
      </c>
      <c r="Q283" s="336">
        <f t="shared" si="152"/>
        <v>4.222416390548843</v>
      </c>
      <c r="R283" s="692">
        <f t="shared" si="138"/>
        <v>0.17756576912857125</v>
      </c>
      <c r="S283" s="329">
        <f t="shared" si="139"/>
        <v>0.99742721575987048</v>
      </c>
      <c r="T283" s="330">
        <f t="shared" si="140"/>
        <v>0.10661994870798457</v>
      </c>
      <c r="U283" s="331">
        <f t="shared" si="141"/>
        <v>-1.6355598922003218</v>
      </c>
      <c r="V283" s="332">
        <f t="shared" si="142"/>
        <v>-124.34310598403616</v>
      </c>
      <c r="W283" s="334">
        <f t="shared" si="143"/>
        <v>55.656894015963843</v>
      </c>
      <c r="Y283" s="307">
        <f t="shared" si="144"/>
        <v>18409</v>
      </c>
      <c r="Z283" s="307">
        <f t="shared" si="145"/>
        <v>338891281</v>
      </c>
      <c r="AB283" s="333">
        <f t="shared" si="146"/>
        <v>16.450352520301475</v>
      </c>
      <c r="AC283" s="334">
        <f t="shared" si="147"/>
        <v>-29.584129194691087</v>
      </c>
      <c r="AE283" s="333">
        <f t="shared" si="148"/>
        <v>6.4170929367850214</v>
      </c>
      <c r="AF283" s="334">
        <f t="shared" si="149"/>
        <v>-90.691124190393936</v>
      </c>
      <c r="AH283">
        <f t="shared" si="150"/>
        <v>0</v>
      </c>
      <c r="AI283">
        <f t="shared" si="155"/>
        <v>0</v>
      </c>
    </row>
    <row r="284" spans="1:35" x14ac:dyDescent="0.25">
      <c r="A284" s="335">
        <v>18515</v>
      </c>
      <c r="B284" s="352">
        <f t="shared" si="151"/>
        <v>18.515000000000001</v>
      </c>
      <c r="C284" s="325">
        <f t="shared" si="126"/>
        <v>11.584673518888689</v>
      </c>
      <c r="D284" s="326">
        <f t="shared" si="127"/>
        <v>1.4843678171419541</v>
      </c>
      <c r="E284" s="326">
        <f t="shared" si="128"/>
        <v>1.0000294753277879</v>
      </c>
      <c r="F284" s="327">
        <f t="shared" si="129"/>
        <v>7.6778387336863116E-3</v>
      </c>
      <c r="G284" s="326">
        <f t="shared" si="130"/>
        <v>1</v>
      </c>
      <c r="H284" s="327">
        <f t="shared" si="131"/>
        <v>0</v>
      </c>
      <c r="I284" s="325">
        <f t="shared" si="132"/>
        <v>29039.079108122485</v>
      </c>
      <c r="J284" s="328">
        <f t="shared" si="133"/>
        <v>1.5707618904411653</v>
      </c>
      <c r="K284" s="336">
        <f t="shared" si="153"/>
        <v>2.5248755341980127</v>
      </c>
      <c r="L284" s="337">
        <f t="shared" si="154"/>
        <v>1.163575311814788</v>
      </c>
      <c r="M284" s="325">
        <f t="shared" si="134"/>
        <v>1.005824943821551</v>
      </c>
      <c r="N284" s="337">
        <f t="shared" si="135"/>
        <v>0.10767366141464382</v>
      </c>
      <c r="O284" s="343">
        <f t="shared" si="136"/>
        <v>1.0057711054237959</v>
      </c>
      <c r="P284" s="691">
        <f t="shared" si="137"/>
        <v>0.10717729898395824</v>
      </c>
      <c r="Q284" s="336">
        <f t="shared" si="152"/>
        <v>4.2231709204729748</v>
      </c>
      <c r="R284" s="692">
        <f t="shared" si="138"/>
        <v>0.17856692831075155</v>
      </c>
      <c r="S284" s="329">
        <f t="shared" si="139"/>
        <v>0.99739786056430635</v>
      </c>
      <c r="T284" s="330">
        <f t="shared" si="140"/>
        <v>0.10723939765706296</v>
      </c>
      <c r="U284" s="331">
        <f t="shared" si="141"/>
        <v>-1.6942160021340966</v>
      </c>
      <c r="V284" s="332">
        <f t="shared" si="142"/>
        <v>-124.34211169228641</v>
      </c>
      <c r="W284" s="334">
        <f t="shared" si="143"/>
        <v>55.657888307713591</v>
      </c>
      <c r="Y284" s="307">
        <f t="shared" si="144"/>
        <v>18515</v>
      </c>
      <c r="Z284" s="307">
        <f t="shared" si="145"/>
        <v>342805225</v>
      </c>
      <c r="AB284" s="333">
        <f t="shared" si="146"/>
        <v>16.441919052701092</v>
      </c>
      <c r="AC284" s="334">
        <f t="shared" si="147"/>
        <v>-29.499318827150869</v>
      </c>
      <c r="AE284" s="333">
        <f t="shared" si="148"/>
        <v>6.3678548490021818</v>
      </c>
      <c r="AF284" s="334">
        <f t="shared" si="149"/>
        <v>-90.752468399033049</v>
      </c>
      <c r="AH284">
        <f t="shared" si="150"/>
        <v>0</v>
      </c>
      <c r="AI284">
        <f t="shared" si="155"/>
        <v>0</v>
      </c>
    </row>
    <row r="285" spans="1:35" x14ac:dyDescent="0.25">
      <c r="A285" s="335">
        <v>18621</v>
      </c>
      <c r="B285" s="352">
        <f t="shared" si="151"/>
        <v>18.620999999999999</v>
      </c>
      <c r="C285" s="325">
        <f t="shared" si="126"/>
        <v>11.650503992709496</v>
      </c>
      <c r="D285" s="326">
        <f t="shared" si="127"/>
        <v>1.484857385526744</v>
      </c>
      <c r="E285" s="326">
        <f t="shared" si="128"/>
        <v>1.0000298137865216</v>
      </c>
      <c r="F285" s="327">
        <f t="shared" si="129"/>
        <v>7.7217932919938078E-3</v>
      </c>
      <c r="G285" s="326">
        <f t="shared" si="130"/>
        <v>1</v>
      </c>
      <c r="H285" s="327">
        <f t="shared" si="131"/>
        <v>0</v>
      </c>
      <c r="I285" s="325">
        <f t="shared" si="132"/>
        <v>29205.330384483332</v>
      </c>
      <c r="J285" s="328">
        <f t="shared" si="133"/>
        <v>1.5707620864700302</v>
      </c>
      <c r="K285" s="336">
        <f t="shared" si="153"/>
        <v>2.5370686412583265</v>
      </c>
      <c r="L285" s="337">
        <f t="shared" si="154"/>
        <v>1.1656473576571826</v>
      </c>
      <c r="M285" s="325">
        <f t="shared" si="134"/>
        <v>1.0058916354818586</v>
      </c>
      <c r="N285" s="337">
        <f t="shared" si="135"/>
        <v>0.10828530857245909</v>
      </c>
      <c r="O285" s="343">
        <f t="shared" si="136"/>
        <v>1.0058371824543482</v>
      </c>
      <c r="P285" s="691">
        <f t="shared" si="137"/>
        <v>0.10778617031314355</v>
      </c>
      <c r="Q285" s="336">
        <f t="shared" si="152"/>
        <v>4.2239296466110421</v>
      </c>
      <c r="R285" s="692">
        <f t="shared" si="138"/>
        <v>0.17956773032568271</v>
      </c>
      <c r="S285" s="329">
        <f t="shared" si="139"/>
        <v>0.99736834510521566</v>
      </c>
      <c r="T285" s="330">
        <f t="shared" si="140"/>
        <v>0.10785894178363858</v>
      </c>
      <c r="U285" s="331">
        <f t="shared" si="141"/>
        <v>-1.7524807380157323</v>
      </c>
      <c r="V285" s="332">
        <f t="shared" si="142"/>
        <v>-124.34193327225989</v>
      </c>
      <c r="W285" s="334">
        <f t="shared" si="143"/>
        <v>55.658066727740106</v>
      </c>
      <c r="Y285" s="307">
        <f t="shared" si="144"/>
        <v>18621</v>
      </c>
      <c r="Z285" s="307">
        <f t="shared" si="145"/>
        <v>346741641</v>
      </c>
      <c r="AB285" s="333">
        <f t="shared" si="146"/>
        <v>16.433602341471993</v>
      </c>
      <c r="AC285" s="334">
        <f t="shared" si="147"/>
        <v>-29.415655377649038</v>
      </c>
      <c r="AE285" s="333">
        <f t="shared" si="148"/>
        <v>6.3188965473254886</v>
      </c>
      <c r="AF285" s="334">
        <f t="shared" si="149"/>
        <v>-90.813497454327816</v>
      </c>
      <c r="AH285">
        <f t="shared" si="150"/>
        <v>0</v>
      </c>
      <c r="AI285">
        <f t="shared" si="155"/>
        <v>0</v>
      </c>
    </row>
    <row r="286" spans="1:35" x14ac:dyDescent="0.25">
      <c r="A286" s="335">
        <v>18729.5</v>
      </c>
      <c r="B286" s="352">
        <f t="shared" si="151"/>
        <v>18.729500000000002</v>
      </c>
      <c r="C286" s="325">
        <f t="shared" si="126"/>
        <v>11.717889931091182</v>
      </c>
      <c r="D286" s="326">
        <f t="shared" si="127"/>
        <v>1.4853528033448828</v>
      </c>
      <c r="E286" s="326">
        <f t="shared" si="128"/>
        <v>1.0000301622287207</v>
      </c>
      <c r="F286" s="327">
        <f t="shared" si="129"/>
        <v>7.7667844835094405E-3</v>
      </c>
      <c r="G286" s="326">
        <f t="shared" si="130"/>
        <v>1</v>
      </c>
      <c r="H286" s="327">
        <f t="shared" si="131"/>
        <v>0</v>
      </c>
      <c r="I286" s="325">
        <f t="shared" si="132"/>
        <v>29375.502681514223</v>
      </c>
      <c r="J286" s="328">
        <f t="shared" si="133"/>
        <v>1.570762284824244</v>
      </c>
      <c r="K286" s="336">
        <f t="shared" si="153"/>
        <v>2.5495604933608615</v>
      </c>
      <c r="L286" s="337">
        <f t="shared" si="154"/>
        <v>1.1677477377538983</v>
      </c>
      <c r="M286" s="325">
        <f t="shared" si="134"/>
        <v>1.0059602897404303</v>
      </c>
      <c r="N286" s="337">
        <f t="shared" si="135"/>
        <v>0.10891129713830358</v>
      </c>
      <c r="O286" s="343">
        <f t="shared" si="136"/>
        <v>1.0059052040378038</v>
      </c>
      <c r="P286" s="691">
        <f t="shared" si="137"/>
        <v>0.1084093187331603</v>
      </c>
      <c r="Q286" s="336">
        <f t="shared" si="152"/>
        <v>4.2247106107057117</v>
      </c>
      <c r="R286" s="692">
        <f t="shared" si="138"/>
        <v>0.18059176439447611</v>
      </c>
      <c r="S286" s="329">
        <f t="shared" si="139"/>
        <v>0.99733796769822769</v>
      </c>
      <c r="T286" s="330">
        <f t="shared" si="140"/>
        <v>0.10849319693974556</v>
      </c>
      <c r="U286" s="331">
        <f t="shared" si="141"/>
        <v>-1.811720001191772</v>
      </c>
      <c r="V286" s="332">
        <f t="shared" si="142"/>
        <v>-124.34258496905865</v>
      </c>
      <c r="W286" s="334">
        <f t="shared" si="143"/>
        <v>55.657415030941351</v>
      </c>
      <c r="Y286" s="307">
        <f t="shared" si="144"/>
        <v>18729.5</v>
      </c>
      <c r="Z286" s="307">
        <f t="shared" si="145"/>
        <v>350794170.25</v>
      </c>
      <c r="AB286" s="333">
        <f t="shared" si="146"/>
        <v>16.425207931020683</v>
      </c>
      <c r="AC286" s="334">
        <f t="shared" si="147"/>
        <v>-29.331190330343063</v>
      </c>
      <c r="AE286" s="333">
        <f t="shared" si="148"/>
        <v>6.2690701045263317</v>
      </c>
      <c r="AF286" s="334">
        <f t="shared" si="149"/>
        <v>-90.875645142663984</v>
      </c>
      <c r="AH286">
        <f t="shared" si="150"/>
        <v>0</v>
      </c>
      <c r="AI286">
        <f t="shared" si="155"/>
        <v>0</v>
      </c>
    </row>
    <row r="287" spans="1:35" x14ac:dyDescent="0.25">
      <c r="A287" s="335">
        <v>18838</v>
      </c>
      <c r="B287" s="352">
        <f t="shared" si="151"/>
        <v>18.838000000000001</v>
      </c>
      <c r="C287" s="325">
        <f t="shared" si="126"/>
        <v>11.785278712608367</v>
      </c>
      <c r="D287" s="326">
        <f t="shared" si="127"/>
        <v>1.485842555637015</v>
      </c>
      <c r="E287" s="326">
        <f t="shared" si="128"/>
        <v>1.0000305126951865</v>
      </c>
      <c r="F287" s="327">
        <f t="shared" si="129"/>
        <v>7.8117756435813002E-3</v>
      </c>
      <c r="G287" s="326">
        <f t="shared" si="130"/>
        <v>1</v>
      </c>
      <c r="H287" s="327">
        <f t="shared" si="131"/>
        <v>0</v>
      </c>
      <c r="I287" s="325">
        <f t="shared" si="132"/>
        <v>29545.674978546249</v>
      </c>
      <c r="J287" s="328">
        <f t="shared" si="133"/>
        <v>1.5707624808935619</v>
      </c>
      <c r="K287" s="336">
        <f t="shared" si="153"/>
        <v>2.5620634833867393</v>
      </c>
      <c r="L287" s="337">
        <f t="shared" si="154"/>
        <v>1.1698276270449248</v>
      </c>
      <c r="M287" s="325">
        <f t="shared" si="134"/>
        <v>1.0060293381424035</v>
      </c>
      <c r="N287" s="337">
        <f t="shared" si="135"/>
        <v>0.10953720002046176</v>
      </c>
      <c r="O287" s="343">
        <f t="shared" si="136"/>
        <v>1.0059736161753738</v>
      </c>
      <c r="P287" s="691">
        <f t="shared" si="137"/>
        <v>0.10903238263956026</v>
      </c>
      <c r="Q287" s="336">
        <f t="shared" si="152"/>
        <v>4.2254959664782445</v>
      </c>
      <c r="R287" s="692">
        <f t="shared" si="138"/>
        <v>0.181615420466049</v>
      </c>
      <c r="S287" s="329">
        <f t="shared" si="139"/>
        <v>0.99730742268296591</v>
      </c>
      <c r="T287" s="330">
        <f t="shared" si="140"/>
        <v>0.10912755297084531</v>
      </c>
      <c r="U287" s="331">
        <f t="shared" si="141"/>
        <v>-1.8705606487036026</v>
      </c>
      <c r="V287" s="332">
        <f t="shared" si="142"/>
        <v>-124.34407001772682</v>
      </c>
      <c r="W287" s="334">
        <f t="shared" si="143"/>
        <v>55.655929982273179</v>
      </c>
      <c r="Y287" s="307">
        <f t="shared" si="144"/>
        <v>18838</v>
      </c>
      <c r="Z287" s="307">
        <f t="shared" si="145"/>
        <v>354870244</v>
      </c>
      <c r="AB287" s="333">
        <f t="shared" si="146"/>
        <v>16.416930893714763</v>
      </c>
      <c r="AC287" s="334">
        <f t="shared" si="147"/>
        <v>-29.247894279494755</v>
      </c>
      <c r="AE287" s="333">
        <f t="shared" si="148"/>
        <v>6.2195303024815507</v>
      </c>
      <c r="AF287" s="334">
        <f t="shared" si="149"/>
        <v>-90.937474001783826</v>
      </c>
      <c r="AH287">
        <f t="shared" si="150"/>
        <v>0</v>
      </c>
      <c r="AI287">
        <f t="shared" si="155"/>
        <v>0</v>
      </c>
    </row>
    <row r="288" spans="1:35" x14ac:dyDescent="0.25">
      <c r="A288" s="335">
        <v>18946.5</v>
      </c>
      <c r="B288" s="352">
        <f t="shared" si="151"/>
        <v>18.9465</v>
      </c>
      <c r="C288" s="325">
        <f t="shared" si="126"/>
        <v>11.852670288766801</v>
      </c>
      <c r="D288" s="326">
        <f t="shared" si="127"/>
        <v>1.4863267388048329</v>
      </c>
      <c r="E288" s="326">
        <f t="shared" si="128"/>
        <v>1.0000308651859173</v>
      </c>
      <c r="F288" s="327">
        <f t="shared" si="129"/>
        <v>7.8567667720272748E-3</v>
      </c>
      <c r="G288" s="326">
        <f t="shared" si="130"/>
        <v>1</v>
      </c>
      <c r="H288" s="327">
        <f t="shared" si="131"/>
        <v>0</v>
      </c>
      <c r="I288" s="325">
        <f t="shared" si="132"/>
        <v>29715.847275579399</v>
      </c>
      <c r="J288" s="328">
        <f t="shared" si="133"/>
        <v>1.5707626747172387</v>
      </c>
      <c r="K288" s="336">
        <f t="shared" si="153"/>
        <v>2.5745774490677711</v>
      </c>
      <c r="L288" s="337">
        <f t="shared" si="154"/>
        <v>1.1718873061953599</v>
      </c>
      <c r="M288" s="325">
        <f t="shared" si="134"/>
        <v>1.0060987806066279</v>
      </c>
      <c r="N288" s="337">
        <f t="shared" si="135"/>
        <v>0.11016301674622525</v>
      </c>
      <c r="O288" s="343">
        <f t="shared" si="136"/>
        <v>1.0060424187873835</v>
      </c>
      <c r="P288" s="691">
        <f t="shared" si="137"/>
        <v>0.10965536156587653</v>
      </c>
      <c r="Q288" s="336">
        <f t="shared" si="152"/>
        <v>4.2262857114805428</v>
      </c>
      <c r="R288" s="692">
        <f t="shared" si="138"/>
        <v>0.1826386966332274</v>
      </c>
      <c r="S288" s="329">
        <f t="shared" si="139"/>
        <v>0.9972767102145681</v>
      </c>
      <c r="T288" s="330">
        <f t="shared" si="140"/>
        <v>0.10976201046118138</v>
      </c>
      <c r="U288" s="331">
        <f t="shared" si="141"/>
        <v>-1.9290082933963282</v>
      </c>
      <c r="V288" s="332">
        <f t="shared" si="142"/>
        <v>-124.34637778685261</v>
      </c>
      <c r="W288" s="334">
        <f t="shared" si="143"/>
        <v>55.653622213147386</v>
      </c>
      <c r="Y288" s="307">
        <f t="shared" si="144"/>
        <v>18946.5</v>
      </c>
      <c r="Z288" s="307">
        <f t="shared" si="145"/>
        <v>358969862.25</v>
      </c>
      <c r="AB288" s="333">
        <f t="shared" si="146"/>
        <v>16.408768813615126</v>
      </c>
      <c r="AC288" s="334">
        <f t="shared" si="147"/>
        <v>-29.165751119343479</v>
      </c>
      <c r="AE288" s="333">
        <f t="shared" si="148"/>
        <v>6.1702739357013092</v>
      </c>
      <c r="AF288" s="334">
        <f t="shared" si="149"/>
        <v>-90.998989588582603</v>
      </c>
      <c r="AH288">
        <f t="shared" si="150"/>
        <v>0</v>
      </c>
      <c r="AI288">
        <f t="shared" si="155"/>
        <v>0</v>
      </c>
    </row>
    <row r="289" spans="1:35" x14ac:dyDescent="0.25">
      <c r="A289" s="335">
        <v>19055</v>
      </c>
      <c r="B289" s="352">
        <f t="shared" si="151"/>
        <v>19.055</v>
      </c>
      <c r="C289" s="325">
        <f t="shared" si="126"/>
        <v>11.920064612166929</v>
      </c>
      <c r="D289" s="326">
        <f t="shared" si="127"/>
        <v>1.486805447080445</v>
      </c>
      <c r="E289" s="326">
        <f t="shared" si="128"/>
        <v>1.0000312197009107</v>
      </c>
      <c r="F289" s="327">
        <f t="shared" si="129"/>
        <v>7.9017578686652566E-3</v>
      </c>
      <c r="G289" s="326">
        <f t="shared" si="130"/>
        <v>1</v>
      </c>
      <c r="H289" s="327">
        <f t="shared" si="131"/>
        <v>0</v>
      </c>
      <c r="I289" s="325">
        <f t="shared" si="132"/>
        <v>29886.019572613655</v>
      </c>
      <c r="J289" s="328">
        <f t="shared" si="133"/>
        <v>1.5707628663336346</v>
      </c>
      <c r="K289" s="336">
        <f t="shared" si="153"/>
        <v>2.5871022311342928</v>
      </c>
      <c r="L289" s="337">
        <f t="shared" si="154"/>
        <v>1.1739270511282984</v>
      </c>
      <c r="M289" s="325">
        <f t="shared" si="134"/>
        <v>1.0061686170515132</v>
      </c>
      <c r="N289" s="337">
        <f t="shared" si="135"/>
        <v>0.1107887468432858</v>
      </c>
      <c r="O289" s="343">
        <f t="shared" si="136"/>
        <v>1.0061116117937254</v>
      </c>
      <c r="P289" s="691">
        <f t="shared" si="137"/>
        <v>0.11027825504603328</v>
      </c>
      <c r="Q289" s="336">
        <f t="shared" si="152"/>
        <v>4.2270798432526631</v>
      </c>
      <c r="R289" s="692">
        <f t="shared" si="138"/>
        <v>0.1836615909934142</v>
      </c>
      <c r="S289" s="329">
        <f t="shared" si="139"/>
        <v>0.9972458304490921</v>
      </c>
      <c r="T289" s="330">
        <f t="shared" si="140"/>
        <v>0.11039656999498897</v>
      </c>
      <c r="U289" s="331">
        <f t="shared" si="141"/>
        <v>-1.9870684360521151</v>
      </c>
      <c r="V289" s="332">
        <f t="shared" si="142"/>
        <v>-124.34949779262399</v>
      </c>
      <c r="W289" s="334">
        <f t="shared" si="143"/>
        <v>55.650502207376007</v>
      </c>
      <c r="Y289" s="307">
        <f t="shared" si="144"/>
        <v>19055</v>
      </c>
      <c r="Z289" s="307">
        <f t="shared" si="145"/>
        <v>363093025</v>
      </c>
      <c r="AB289" s="333">
        <f t="shared" si="146"/>
        <v>16.400719333513706</v>
      </c>
      <c r="AC289" s="334">
        <f t="shared" si="147"/>
        <v>-29.084745015796983</v>
      </c>
      <c r="AE289" s="333">
        <f t="shared" si="148"/>
        <v>6.1212978519899366</v>
      </c>
      <c r="AF289" s="334">
        <f t="shared" si="149"/>
        <v>-91.060197335647032</v>
      </c>
      <c r="AH289">
        <f t="shared" si="150"/>
        <v>0</v>
      </c>
      <c r="AI289">
        <f t="shared" si="155"/>
        <v>0</v>
      </c>
    </row>
    <row r="290" spans="1:35" x14ac:dyDescent="0.25">
      <c r="A290" s="335">
        <v>19165.75</v>
      </c>
      <c r="B290" s="352">
        <f t="shared" si="151"/>
        <v>19.165749999999999</v>
      </c>
      <c r="C290" s="325">
        <f t="shared" si="126"/>
        <v>11.988859298878612</v>
      </c>
      <c r="D290" s="326">
        <f t="shared" si="127"/>
        <v>1.4872885317689437</v>
      </c>
      <c r="E290" s="326">
        <f t="shared" si="128"/>
        <v>1.0000315836552598</v>
      </c>
      <c r="F290" s="327">
        <f t="shared" si="129"/>
        <v>7.9476819274014524E-3</v>
      </c>
      <c r="G290" s="326">
        <f t="shared" si="130"/>
        <v>1</v>
      </c>
      <c r="H290" s="327">
        <f t="shared" si="131"/>
        <v>0</v>
      </c>
      <c r="I290" s="325">
        <f t="shared" si="132"/>
        <v>30059.720788251125</v>
      </c>
      <c r="J290" s="328">
        <f t="shared" si="133"/>
        <v>1.5707630596861557</v>
      </c>
      <c r="K290" s="336">
        <f t="shared" si="153"/>
        <v>2.59989773653784</v>
      </c>
      <c r="L290" s="337">
        <f t="shared" si="154"/>
        <v>1.1759888180192148</v>
      </c>
      <c r="M290" s="325">
        <f t="shared" si="134"/>
        <v>1.0062403079529512</v>
      </c>
      <c r="N290" s="337">
        <f t="shared" si="135"/>
        <v>0.11142736307805091</v>
      </c>
      <c r="O290" s="343">
        <f t="shared" si="136"/>
        <v>1.0061826422163169</v>
      </c>
      <c r="P290" s="691">
        <f t="shared" si="137"/>
        <v>0.11091397706608633</v>
      </c>
      <c r="Q290" s="336">
        <f t="shared" si="152"/>
        <v>4.2278949647961968</v>
      </c>
      <c r="R290" s="692">
        <f t="shared" si="138"/>
        <v>0.18470530171210034</v>
      </c>
      <c r="S290" s="329">
        <f t="shared" si="139"/>
        <v>0.99721413794584302</v>
      </c>
      <c r="T290" s="330">
        <f t="shared" si="140"/>
        <v>0.11104439444373622</v>
      </c>
      <c r="U290" s="331">
        <f t="shared" si="141"/>
        <v>-2.0459385501673903</v>
      </c>
      <c r="V290" s="332">
        <f t="shared" si="142"/>
        <v>-124.35350944105727</v>
      </c>
      <c r="W290" s="334">
        <f t="shared" si="143"/>
        <v>55.64649055894273</v>
      </c>
      <c r="Y290" s="307">
        <f t="shared" si="144"/>
        <v>19165.75</v>
      </c>
      <c r="Z290" s="307">
        <f t="shared" si="145"/>
        <v>367325973.0625</v>
      </c>
      <c r="AB290" s="333">
        <f t="shared" si="146"/>
        <v>16.392616667174586</v>
      </c>
      <c r="AC290" s="334">
        <f t="shared" si="147"/>
        <v>-29.003215567778497</v>
      </c>
      <c r="AE290" s="333">
        <f t="shared" si="148"/>
        <v>6.0715919780339611</v>
      </c>
      <c r="AF290" s="334">
        <f t="shared" si="149"/>
        <v>-91.122362401551371</v>
      </c>
      <c r="AH290">
        <f t="shared" si="150"/>
        <v>0</v>
      </c>
      <c r="AI290">
        <f t="shared" si="155"/>
        <v>0</v>
      </c>
    </row>
    <row r="291" spans="1:35" x14ac:dyDescent="0.25">
      <c r="A291" s="335">
        <v>19276.5</v>
      </c>
      <c r="B291" s="352">
        <f t="shared" si="151"/>
        <v>19.276499999999999</v>
      </c>
      <c r="C291" s="325">
        <f t="shared" si="126"/>
        <v>12.057656751513665</v>
      </c>
      <c r="D291" s="326">
        <f t="shared" si="127"/>
        <v>1.4877661038887708</v>
      </c>
      <c r="E291" s="326">
        <f t="shared" si="128"/>
        <v>1.0000319497186934</v>
      </c>
      <c r="F291" s="327">
        <f t="shared" si="129"/>
        <v>7.9936059526133363E-3</v>
      </c>
      <c r="G291" s="326">
        <f t="shared" si="130"/>
        <v>1</v>
      </c>
      <c r="H291" s="327">
        <f t="shared" si="131"/>
        <v>0</v>
      </c>
      <c r="I291" s="325">
        <f t="shared" si="132"/>
        <v>30233.4220038897</v>
      </c>
      <c r="J291" s="328">
        <f t="shared" si="133"/>
        <v>1.5707632508169258</v>
      </c>
      <c r="K291" s="336">
        <f t="shared" si="153"/>
        <v>2.6127041855233126</v>
      </c>
      <c r="L291" s="337">
        <f t="shared" si="154"/>
        <v>1.1780303815760174</v>
      </c>
      <c r="M291" s="325">
        <f t="shared" si="134"/>
        <v>1.0063124091715046</v>
      </c>
      <c r="N291" s="337">
        <f t="shared" si="135"/>
        <v>0.11206588806084111</v>
      </c>
      <c r="O291" s="343">
        <f t="shared" si="136"/>
        <v>1.0062540792225587</v>
      </c>
      <c r="P291" s="691">
        <f t="shared" si="137"/>
        <v>0.11154960907935507</v>
      </c>
      <c r="Q291" s="336">
        <f t="shared" si="152"/>
        <v>4.2287146517190184</v>
      </c>
      <c r="R291" s="692">
        <f t="shared" si="138"/>
        <v>0.18574861063317985</v>
      </c>
      <c r="S291" s="329">
        <f t="shared" si="139"/>
        <v>0.99718227146647964</v>
      </c>
      <c r="T291" s="330">
        <f t="shared" si="140"/>
        <v>0.11169232644208579</v>
      </c>
      <c r="U291" s="331">
        <f t="shared" si="141"/>
        <v>-2.1044161607560135</v>
      </c>
      <c r="V291" s="332">
        <f t="shared" si="142"/>
        <v>-124.35834575246005</v>
      </c>
      <c r="W291" s="334">
        <f t="shared" si="143"/>
        <v>55.641654247539947</v>
      </c>
      <c r="Y291" s="307">
        <f t="shared" si="144"/>
        <v>19276.5</v>
      </c>
      <c r="Z291" s="307">
        <f t="shared" si="145"/>
        <v>371583452.25</v>
      </c>
      <c r="AB291" s="333">
        <f t="shared" si="146"/>
        <v>16.384626536331915</v>
      </c>
      <c r="AC291" s="334">
        <f t="shared" si="147"/>
        <v>-28.922838329888162</v>
      </c>
      <c r="AE291" s="333">
        <f t="shared" si="148"/>
        <v>6.0221716603574746</v>
      </c>
      <c r="AF291" s="334">
        <f t="shared" si="149"/>
        <v>-91.184217784595262</v>
      </c>
      <c r="AH291">
        <f t="shared" si="150"/>
        <v>0</v>
      </c>
      <c r="AI291">
        <f t="shared" si="155"/>
        <v>0</v>
      </c>
    </row>
    <row r="292" spans="1:35" x14ac:dyDescent="0.25">
      <c r="A292" s="335">
        <v>19387.25</v>
      </c>
      <c r="B292" s="352">
        <f t="shared" si="151"/>
        <v>19.387250000000002</v>
      </c>
      <c r="C292" s="325">
        <f t="shared" si="126"/>
        <v>12.12645692299605</v>
      </c>
      <c r="D292" s="326">
        <f t="shared" si="127"/>
        <v>1.4882382570478612</v>
      </c>
      <c r="E292" s="326">
        <f t="shared" si="128"/>
        <v>1.0000323178912087</v>
      </c>
      <c r="F292" s="327">
        <f t="shared" si="129"/>
        <v>8.0395299441072404E-3</v>
      </c>
      <c r="G292" s="326">
        <f t="shared" si="130"/>
        <v>1</v>
      </c>
      <c r="H292" s="327">
        <f t="shared" si="131"/>
        <v>0</v>
      </c>
      <c r="I292" s="325">
        <f t="shared" si="132"/>
        <v>30407.123219529367</v>
      </c>
      <c r="J292" s="328">
        <f t="shared" si="133"/>
        <v>1.5707634397640202</v>
      </c>
      <c r="K292" s="336">
        <f t="shared" si="153"/>
        <v>2.6255214179528985</v>
      </c>
      <c r="L292" s="337">
        <f t="shared" si="154"/>
        <v>1.1800520205397735</v>
      </c>
      <c r="M292" s="325">
        <f t="shared" si="134"/>
        <v>1.0063849206189834</v>
      </c>
      <c r="N292" s="337">
        <f t="shared" si="135"/>
        <v>0.11270432129065415</v>
      </c>
      <c r="O292" s="343">
        <f t="shared" si="136"/>
        <v>1.0063259227258636</v>
      </c>
      <c r="P292" s="691">
        <f t="shared" si="137"/>
        <v>0.11218515059143633</v>
      </c>
      <c r="Q292" s="336">
        <f t="shared" si="152"/>
        <v>4.2295389013669995</v>
      </c>
      <c r="R292" s="692">
        <f t="shared" si="138"/>
        <v>0.18679151574808858</v>
      </c>
      <c r="S292" s="329">
        <f t="shared" si="139"/>
        <v>0.99715023117993851</v>
      </c>
      <c r="T292" s="330">
        <f t="shared" si="140"/>
        <v>0.11234036661135015</v>
      </c>
      <c r="U292" s="331">
        <f t="shared" si="141"/>
        <v>-2.1625067747356175</v>
      </c>
      <c r="V292" s="332">
        <f t="shared" si="142"/>
        <v>-124.36399604181599</v>
      </c>
      <c r="W292" s="334">
        <f t="shared" si="143"/>
        <v>55.636003958184006</v>
      </c>
      <c r="Y292" s="307">
        <f t="shared" si="144"/>
        <v>19387.25</v>
      </c>
      <c r="Z292" s="307">
        <f t="shared" si="145"/>
        <v>375865462.5625</v>
      </c>
      <c r="AB292" s="333">
        <f t="shared" si="146"/>
        <v>16.376746612820849</v>
      </c>
      <c r="AC292" s="334">
        <f t="shared" si="147"/>
        <v>-28.843597304915438</v>
      </c>
      <c r="AE292" s="333">
        <f t="shared" si="148"/>
        <v>5.9730337109181626</v>
      </c>
      <c r="AF292" s="334">
        <f t="shared" si="149"/>
        <v>-91.245768883728033</v>
      </c>
      <c r="AH292">
        <f t="shared" si="150"/>
        <v>0</v>
      </c>
      <c r="AI292">
        <f t="shared" si="155"/>
        <v>0</v>
      </c>
    </row>
    <row r="293" spans="1:35" x14ac:dyDescent="0.25">
      <c r="A293" s="335">
        <v>19498</v>
      </c>
      <c r="B293" s="352">
        <f t="shared" si="151"/>
        <v>19.498000000000001</v>
      </c>
      <c r="C293" s="325">
        <f t="shared" si="126"/>
        <v>12.195259767310228</v>
      </c>
      <c r="D293" s="326">
        <f t="shared" si="127"/>
        <v>1.4887050827514814</v>
      </c>
      <c r="E293" s="326">
        <f t="shared" si="128"/>
        <v>1.0000326881728039</v>
      </c>
      <c r="F293" s="327">
        <f t="shared" si="129"/>
        <v>8.0854539016894933E-3</v>
      </c>
      <c r="G293" s="326">
        <f t="shared" si="130"/>
        <v>1</v>
      </c>
      <c r="H293" s="327">
        <f t="shared" si="131"/>
        <v>0</v>
      </c>
      <c r="I293" s="325">
        <f t="shared" si="132"/>
        <v>30580.824435170114</v>
      </c>
      <c r="J293" s="328">
        <f t="shared" si="133"/>
        <v>1.5707636265646494</v>
      </c>
      <c r="K293" s="336">
        <f t="shared" si="153"/>
        <v>2.6383492766670735</v>
      </c>
      <c r="L293" s="337">
        <f t="shared" si="154"/>
        <v>1.1820540088888261</v>
      </c>
      <c r="M293" s="325">
        <f t="shared" si="134"/>
        <v>1.0064578422067214</v>
      </c>
      <c r="N293" s="337">
        <f t="shared" si="135"/>
        <v>0.11334266226693096</v>
      </c>
      <c r="O293" s="343">
        <f t="shared" si="136"/>
        <v>1.006398172639176</v>
      </c>
      <c r="P293" s="691">
        <f t="shared" si="137"/>
        <v>0.11282060110836012</v>
      </c>
      <c r="Q293" s="336">
        <f t="shared" si="152"/>
        <v>4.2303677110733107</v>
      </c>
      <c r="R293" s="692">
        <f t="shared" si="138"/>
        <v>0.18783401505330768</v>
      </c>
      <c r="S293" s="329">
        <f t="shared" si="139"/>
        <v>0.99711801725615712</v>
      </c>
      <c r="T293" s="330">
        <f t="shared" si="140"/>
        <v>0.1129885155728316</v>
      </c>
      <c r="U293" s="331">
        <f t="shared" si="141"/>
        <v>-2.2202157892289174</v>
      </c>
      <c r="V293" s="332">
        <f t="shared" si="142"/>
        <v>-124.37044977675846</v>
      </c>
      <c r="W293" s="334">
        <f t="shared" si="143"/>
        <v>55.629550223241537</v>
      </c>
      <c r="Y293" s="307">
        <f t="shared" si="144"/>
        <v>19498</v>
      </c>
      <c r="Z293" s="307">
        <f t="shared" si="145"/>
        <v>380172004</v>
      </c>
      <c r="AB293" s="333">
        <f t="shared" si="146"/>
        <v>16.36897462528886</v>
      </c>
      <c r="AC293" s="334">
        <f t="shared" si="147"/>
        <v>-28.765476768509679</v>
      </c>
      <c r="AE293" s="333">
        <f t="shared" si="148"/>
        <v>5.924174994616215</v>
      </c>
      <c r="AF293" s="334">
        <f t="shared" si="149"/>
        <v>-91.307020977424372</v>
      </c>
      <c r="AH293">
        <f t="shared" si="150"/>
        <v>0</v>
      </c>
      <c r="AI293">
        <f t="shared" si="155"/>
        <v>0</v>
      </c>
    </row>
    <row r="294" spans="1:35" x14ac:dyDescent="0.25">
      <c r="A294" s="335">
        <v>19611.75</v>
      </c>
      <c r="B294" s="352">
        <f t="shared" si="151"/>
        <v>19.611750000000001</v>
      </c>
      <c r="C294" s="325">
        <f t="shared" si="126"/>
        <v>12.265929080726526</v>
      </c>
      <c r="D294" s="326">
        <f t="shared" si="127"/>
        <v>1.4891791019268197</v>
      </c>
      <c r="E294" s="326">
        <f t="shared" si="128"/>
        <v>1.0000330706801472</v>
      </c>
      <c r="F294" s="327">
        <f t="shared" si="129"/>
        <v>8.1326218135879605E-3</v>
      </c>
      <c r="G294" s="326">
        <f t="shared" si="130"/>
        <v>1</v>
      </c>
      <c r="H294" s="327">
        <f t="shared" si="131"/>
        <v>0</v>
      </c>
      <c r="I294" s="325">
        <f t="shared" si="132"/>
        <v>30759.23087561486</v>
      </c>
      <c r="J294" s="328">
        <f t="shared" si="133"/>
        <v>1.5707638162290694</v>
      </c>
      <c r="K294" s="336">
        <f t="shared" si="153"/>
        <v>2.6515355168320083</v>
      </c>
      <c r="L294" s="337">
        <f t="shared" si="154"/>
        <v>1.1840900537497037</v>
      </c>
      <c r="M294" s="325">
        <f t="shared" si="134"/>
        <v>1.0065331659589969</v>
      </c>
      <c r="N294" s="337">
        <f t="shared" si="135"/>
        <v>0.11399819808547992</v>
      </c>
      <c r="O294" s="343">
        <f t="shared" si="136"/>
        <v>1.0064728026411973</v>
      </c>
      <c r="P294" s="691">
        <f t="shared" si="137"/>
        <v>0.11347316948757023</v>
      </c>
      <c r="Q294" s="336">
        <f t="shared" si="152"/>
        <v>4.231223715808123</v>
      </c>
      <c r="R294" s="692">
        <f t="shared" si="138"/>
        <v>0.18890432907076646</v>
      </c>
      <c r="S294" s="329">
        <f t="shared" si="139"/>
        <v>0.99708475014382247</v>
      </c>
      <c r="T294" s="330">
        <f t="shared" si="140"/>
        <v>0.11365433552197751</v>
      </c>
      <c r="U294" s="331">
        <f t="shared" si="141"/>
        <v>-2.2790963389003824</v>
      </c>
      <c r="V294" s="332">
        <f t="shared" si="142"/>
        <v>-124.37790381289096</v>
      </c>
      <c r="W294" s="334">
        <f t="shared" si="143"/>
        <v>55.622096187109037</v>
      </c>
      <c r="Y294" s="307">
        <f t="shared" si="144"/>
        <v>19611.75</v>
      </c>
      <c r="Z294" s="307">
        <f t="shared" si="145"/>
        <v>384620738.0625</v>
      </c>
      <c r="AB294" s="333">
        <f t="shared" si="146"/>
        <v>16.361102143654694</v>
      </c>
      <c r="AC294" s="334">
        <f t="shared" si="147"/>
        <v>-28.686390293685015</v>
      </c>
      <c r="AE294" s="333">
        <f t="shared" si="148"/>
        <v>5.8742802346933072</v>
      </c>
      <c r="AF294" s="334">
        <f t="shared" si="149"/>
        <v>-91.369626426372506</v>
      </c>
      <c r="AH294">
        <f t="shared" si="150"/>
        <v>0</v>
      </c>
      <c r="AI294">
        <f t="shared" si="155"/>
        <v>0</v>
      </c>
    </row>
    <row r="295" spans="1:35" x14ac:dyDescent="0.25">
      <c r="A295" s="335">
        <v>19725.5</v>
      </c>
      <c r="B295" s="352">
        <f t="shared" si="151"/>
        <v>19.7255</v>
      </c>
      <c r="C295" s="325">
        <f t="shared" si="126"/>
        <v>12.336601118649288</v>
      </c>
      <c r="D295" s="326">
        <f t="shared" si="127"/>
        <v>1.4896476902290112</v>
      </c>
      <c r="E295" s="326">
        <f t="shared" si="128"/>
        <v>1.0000334554123744</v>
      </c>
      <c r="F295" s="327">
        <f t="shared" si="129"/>
        <v>8.1797896892985538E-3</v>
      </c>
      <c r="G295" s="326">
        <f t="shared" si="130"/>
        <v>1</v>
      </c>
      <c r="H295" s="327">
        <f t="shared" si="131"/>
        <v>0</v>
      </c>
      <c r="I295" s="325">
        <f t="shared" si="132"/>
        <v>30937.637316060707</v>
      </c>
      <c r="J295" s="328">
        <f t="shared" si="133"/>
        <v>1.5707640037060338</v>
      </c>
      <c r="K295" s="336">
        <f t="shared" si="153"/>
        <v>2.6647326400693441</v>
      </c>
      <c r="L295" s="337">
        <f t="shared" si="154"/>
        <v>1.1861059398209941</v>
      </c>
      <c r="M295" s="325">
        <f t="shared" si="134"/>
        <v>1.0066089221811203</v>
      </c>
      <c r="N295" s="337">
        <f t="shared" si="135"/>
        <v>0.11465363551591937</v>
      </c>
      <c r="O295" s="343">
        <f t="shared" si="136"/>
        <v>1.0065478611814587</v>
      </c>
      <c r="P295" s="691">
        <f t="shared" si="137"/>
        <v>0.11412564082020456</v>
      </c>
      <c r="Q295" s="336">
        <f t="shared" si="152"/>
        <v>4.2320845252495873</v>
      </c>
      <c r="R295" s="692">
        <f t="shared" si="138"/>
        <v>0.189974210727714</v>
      </c>
      <c r="S295" s="329">
        <f t="shared" si="139"/>
        <v>0.99705130022649235</v>
      </c>
      <c r="T295" s="330">
        <f t="shared" si="140"/>
        <v>0.11432027156565949</v>
      </c>
      <c r="U295" s="331">
        <f t="shared" si="141"/>
        <v>-2.3375855328092712</v>
      </c>
      <c r="V295" s="332">
        <f t="shared" si="142"/>
        <v>-124.38618337564905</v>
      </c>
      <c r="W295" s="334">
        <f t="shared" si="143"/>
        <v>55.613816624350946</v>
      </c>
      <c r="Y295" s="307">
        <f t="shared" si="144"/>
        <v>19725.5</v>
      </c>
      <c r="Z295" s="307">
        <f t="shared" si="145"/>
        <v>389095350.25</v>
      </c>
      <c r="AB295" s="333">
        <f t="shared" si="146"/>
        <v>16.353338844866052</v>
      </c>
      <c r="AC295" s="334">
        <f t="shared" si="147"/>
        <v>-28.608453069869707</v>
      </c>
      <c r="AE295" s="333">
        <f t="shared" si="148"/>
        <v>5.8246735030653776</v>
      </c>
      <c r="AF295" s="334">
        <f t="shared" si="149"/>
        <v>-91.431927363010274</v>
      </c>
      <c r="AH295">
        <f t="shared" si="150"/>
        <v>0</v>
      </c>
      <c r="AI295">
        <f t="shared" si="155"/>
        <v>0</v>
      </c>
    </row>
    <row r="296" spans="1:35" x14ac:dyDescent="0.25">
      <c r="A296" s="335">
        <v>19839.25</v>
      </c>
      <c r="B296" s="352">
        <f t="shared" si="151"/>
        <v>19.83925</v>
      </c>
      <c r="C296" s="325">
        <f t="shared" si="126"/>
        <v>12.407275834522018</v>
      </c>
      <c r="D296" s="326">
        <f t="shared" si="127"/>
        <v>1.4901109402570296</v>
      </c>
      <c r="E296" s="326">
        <f t="shared" si="128"/>
        <v>1.0000338423694828</v>
      </c>
      <c r="F296" s="327">
        <f t="shared" si="129"/>
        <v>8.226957528611429E-3</v>
      </c>
      <c r="G296" s="326">
        <f t="shared" si="130"/>
        <v>1</v>
      </c>
      <c r="H296" s="327">
        <f t="shared" si="131"/>
        <v>0</v>
      </c>
      <c r="I296" s="325">
        <f t="shared" si="132"/>
        <v>31116.043756507621</v>
      </c>
      <c r="J296" s="328">
        <f t="shared" si="133"/>
        <v>1.5707641890331683</v>
      </c>
      <c r="K296" s="336">
        <f t="shared" si="153"/>
        <v>2.6779404854809079</v>
      </c>
      <c r="L296" s="337">
        <f t="shared" si="154"/>
        <v>1.1881019488711773</v>
      </c>
      <c r="M296" s="325">
        <f t="shared" si="134"/>
        <v>1.0066851107754571</v>
      </c>
      <c r="N296" s="337">
        <f t="shared" si="135"/>
        <v>0.11530897401737571</v>
      </c>
      <c r="O296" s="343">
        <f t="shared" si="136"/>
        <v>1.0066233481640983</v>
      </c>
      <c r="P296" s="691">
        <f t="shared" si="137"/>
        <v>0.11477801457249559</v>
      </c>
      <c r="Q296" s="336">
        <f t="shared" si="152"/>
        <v>4.2329501364666688</v>
      </c>
      <c r="R296" s="692">
        <f t="shared" si="138"/>
        <v>0.19104365787011404</v>
      </c>
      <c r="S296" s="329">
        <f t="shared" si="139"/>
        <v>0.99701766769158973</v>
      </c>
      <c r="T296" s="330">
        <f t="shared" si="140"/>
        <v>0.11498632437701478</v>
      </c>
      <c r="U296" s="331">
        <f t="shared" si="141"/>
        <v>-2.3956888750441765</v>
      </c>
      <c r="V296" s="332">
        <f t="shared" si="142"/>
        <v>-124.39527754332988</v>
      </c>
      <c r="W296" s="334">
        <f t="shared" si="143"/>
        <v>55.604722456670117</v>
      </c>
      <c r="Y296" s="307">
        <f t="shared" si="144"/>
        <v>19839.25</v>
      </c>
      <c r="Z296" s="307">
        <f t="shared" si="145"/>
        <v>393595840.5625</v>
      </c>
      <c r="AB296" s="333">
        <f t="shared" si="146"/>
        <v>16.345682444586135</v>
      </c>
      <c r="AC296" s="334">
        <f t="shared" si="147"/>
        <v>-28.531648924085044</v>
      </c>
      <c r="AE296" s="333">
        <f t="shared" si="148"/>
        <v>5.7753515697412636</v>
      </c>
      <c r="AF296" s="334">
        <f t="shared" si="149"/>
        <v>-91.493929131447999</v>
      </c>
      <c r="AH296">
        <f t="shared" si="150"/>
        <v>0</v>
      </c>
      <c r="AI296">
        <f t="shared" si="155"/>
        <v>0</v>
      </c>
    </row>
    <row r="297" spans="1:35" x14ac:dyDescent="0.25">
      <c r="A297" s="335">
        <v>19953</v>
      </c>
      <c r="B297" s="352">
        <f t="shared" si="151"/>
        <v>19.952999999999999</v>
      </c>
      <c r="C297" s="325">
        <f t="shared" si="126"/>
        <v>12.477953182841258</v>
      </c>
      <c r="D297" s="326">
        <f t="shared" si="127"/>
        <v>1.4905689425211444</v>
      </c>
      <c r="E297" s="326">
        <f t="shared" si="128"/>
        <v>1.0000342315514699</v>
      </c>
      <c r="F297" s="327">
        <f t="shared" si="129"/>
        <v>8.2741253313167538E-3</v>
      </c>
      <c r="G297" s="326">
        <f t="shared" si="130"/>
        <v>1</v>
      </c>
      <c r="H297" s="327">
        <f t="shared" si="131"/>
        <v>0</v>
      </c>
      <c r="I297" s="325">
        <f t="shared" si="132"/>
        <v>31294.450196955597</v>
      </c>
      <c r="J297" s="328">
        <f t="shared" si="133"/>
        <v>1.5707643722472411</v>
      </c>
      <c r="K297" s="336">
        <f t="shared" si="153"/>
        <v>2.6911588951977441</v>
      </c>
      <c r="L297" s="337">
        <f t="shared" si="154"/>
        <v>1.1900783577730698</v>
      </c>
      <c r="M297" s="325">
        <f t="shared" si="134"/>
        <v>1.0067617316438455</v>
      </c>
      <c r="N297" s="337">
        <f t="shared" si="135"/>
        <v>0.11596421304947849</v>
      </c>
      <c r="O297" s="343">
        <f t="shared" si="136"/>
        <v>1.0066992634927368</v>
      </c>
      <c r="P297" s="691">
        <f t="shared" si="137"/>
        <v>0.11543029021116769</v>
      </c>
      <c r="Q297" s="336">
        <f t="shared" si="152"/>
        <v>4.2338205465143846</v>
      </c>
      <c r="R297" s="692">
        <f t="shared" si="138"/>
        <v>0.19211266834962948</v>
      </c>
      <c r="S297" s="329">
        <f t="shared" si="139"/>
        <v>0.99698385272765266</v>
      </c>
      <c r="T297" s="330">
        <f t="shared" si="140"/>
        <v>0.11565249462916828</v>
      </c>
      <c r="U297" s="331">
        <f t="shared" si="141"/>
        <v>-2.4534117594602769</v>
      </c>
      <c r="V297" s="332">
        <f t="shared" si="142"/>
        <v>-124.40517555533474</v>
      </c>
      <c r="W297" s="334">
        <f t="shared" si="143"/>
        <v>55.594824444665264</v>
      </c>
      <c r="Y297" s="307">
        <f t="shared" si="144"/>
        <v>19953</v>
      </c>
      <c r="Z297" s="307">
        <f t="shared" si="145"/>
        <v>398122209</v>
      </c>
      <c r="AB297" s="333">
        <f t="shared" si="146"/>
        <v>16.338130714764894</v>
      </c>
      <c r="AC297" s="334">
        <f t="shared" si="147"/>
        <v>-28.45596196383288</v>
      </c>
      <c r="AE297" s="333">
        <f t="shared" si="148"/>
        <v>5.7263112586327436</v>
      </c>
      <c r="AF297" s="334">
        <f t="shared" si="149"/>
        <v>-91.555636956121361</v>
      </c>
      <c r="AH297">
        <f t="shared" si="150"/>
        <v>0</v>
      </c>
      <c r="AI297">
        <f t="shared" si="155"/>
        <v>0</v>
      </c>
    </row>
    <row r="298" spans="1:35" x14ac:dyDescent="0.25">
      <c r="A298" s="335">
        <v>20069</v>
      </c>
      <c r="B298" s="352">
        <f t="shared" si="151"/>
        <v>20.068999999999999</v>
      </c>
      <c r="C298" s="325">
        <f t="shared" si="126"/>
        <v>12.550031209605454</v>
      </c>
      <c r="D298" s="326">
        <f t="shared" si="127"/>
        <v>1.4910306913904778</v>
      </c>
      <c r="E298" s="326">
        <f t="shared" si="128"/>
        <v>1.0000346307228862</v>
      </c>
      <c r="F298" s="327">
        <f t="shared" si="129"/>
        <v>8.3222260856077434E-3</v>
      </c>
      <c r="G298" s="326">
        <f t="shared" si="130"/>
        <v>1</v>
      </c>
      <c r="H298" s="327">
        <f t="shared" si="131"/>
        <v>0</v>
      </c>
      <c r="I298" s="325">
        <f t="shared" si="132"/>
        <v>31476.385556006913</v>
      </c>
      <c r="J298" s="328">
        <f t="shared" si="133"/>
        <v>1.5707645569464053</v>
      </c>
      <c r="K298" s="336">
        <f t="shared" si="153"/>
        <v>2.7046494872113729</v>
      </c>
      <c r="L298" s="337">
        <f t="shared" si="154"/>
        <v>1.192073956975354</v>
      </c>
      <c r="M298" s="325">
        <f t="shared" si="134"/>
        <v>1.0068403131718722</v>
      </c>
      <c r="N298" s="337">
        <f t="shared" si="135"/>
        <v>0.11663230985389209</v>
      </c>
      <c r="O298" s="343">
        <f t="shared" si="136"/>
        <v>1.0067771214817707</v>
      </c>
      <c r="P298" s="691">
        <f t="shared" si="137"/>
        <v>0.11609536640914529</v>
      </c>
      <c r="Q298" s="336">
        <f t="shared" si="152"/>
        <v>4.2347131125490378</v>
      </c>
      <c r="R298" s="692">
        <f t="shared" si="138"/>
        <v>0.19320237216600891</v>
      </c>
      <c r="S298" s="329">
        <f t="shared" si="139"/>
        <v>0.9969491812154565</v>
      </c>
      <c r="T298" s="330">
        <f t="shared" si="140"/>
        <v>0.11633196352138647</v>
      </c>
      <c r="U298" s="331">
        <f t="shared" si="141"/>
        <v>-2.5118900743256312</v>
      </c>
      <c r="V298" s="332">
        <f t="shared" si="142"/>
        <v>-124.41608621456741</v>
      </c>
      <c r="W298" s="334">
        <f t="shared" si="143"/>
        <v>55.583913785432586</v>
      </c>
      <c r="Y298" s="307">
        <f t="shared" si="144"/>
        <v>20069</v>
      </c>
      <c r="Z298" s="307">
        <f t="shared" si="145"/>
        <v>402764761</v>
      </c>
      <c r="AB298" s="333">
        <f t="shared" si="146"/>
        <v>16.330535153835889</v>
      </c>
      <c r="AC298" s="334">
        <f t="shared" si="147"/>
        <v>-28.379912261537093</v>
      </c>
      <c r="AE298" s="333">
        <f t="shared" si="148"/>
        <v>5.6765877149291324</v>
      </c>
      <c r="AF298" s="334">
        <f t="shared" si="149"/>
        <v>-91.618267947222932</v>
      </c>
      <c r="AH298">
        <f t="shared" si="150"/>
        <v>0</v>
      </c>
      <c r="AI298">
        <f t="shared" si="155"/>
        <v>0</v>
      </c>
    </row>
    <row r="299" spans="1:35" x14ac:dyDescent="0.25">
      <c r="A299" s="335">
        <v>20185</v>
      </c>
      <c r="B299" s="352">
        <f t="shared" si="151"/>
        <v>20.184999999999999</v>
      </c>
      <c r="C299" s="325">
        <f t="shared" si="126"/>
        <v>12.62211188162652</v>
      </c>
      <c r="D299" s="326">
        <f t="shared" si="127"/>
        <v>1.4914871665685743</v>
      </c>
      <c r="E299" s="326">
        <f t="shared" si="128"/>
        <v>1.0000350322080636</v>
      </c>
      <c r="F299" s="327">
        <f t="shared" si="129"/>
        <v>8.3703268013878961E-3</v>
      </c>
      <c r="G299" s="326">
        <f t="shared" si="130"/>
        <v>1</v>
      </c>
      <c r="H299" s="327">
        <f t="shared" si="131"/>
        <v>0</v>
      </c>
      <c r="I299" s="325">
        <f t="shared" si="132"/>
        <v>31658.320915059285</v>
      </c>
      <c r="J299" s="328">
        <f t="shared" si="133"/>
        <v>1.5707647395226958</v>
      </c>
      <c r="K299" s="336">
        <f t="shared" si="153"/>
        <v>2.7181507433234025</v>
      </c>
      <c r="L299" s="337">
        <f t="shared" si="154"/>
        <v>1.1940497394028831</v>
      </c>
      <c r="M299" s="325">
        <f t="shared" si="134"/>
        <v>1.0069193440361737</v>
      </c>
      <c r="N299" s="337">
        <f t="shared" si="135"/>
        <v>0.11730030208155688</v>
      </c>
      <c r="O299" s="343">
        <f t="shared" si="136"/>
        <v>1.0068554247258663</v>
      </c>
      <c r="P299" s="691">
        <f t="shared" si="137"/>
        <v>0.11676033945513904</v>
      </c>
      <c r="Q299" s="336">
        <f t="shared" si="152"/>
        <v>4.2356106629058203</v>
      </c>
      <c r="R299" s="692">
        <f t="shared" si="138"/>
        <v>0.19429161737973785</v>
      </c>
      <c r="S299" s="329">
        <f t="shared" si="139"/>
        <v>0.99691432038543881</v>
      </c>
      <c r="T299" s="330">
        <f t="shared" si="140"/>
        <v>0.11701155596020263</v>
      </c>
      <c r="U299" s="331">
        <f t="shared" si="141"/>
        <v>-2.5699837229485678</v>
      </c>
      <c r="V299" s="332">
        <f t="shared" si="142"/>
        <v>-124.42781073275185</v>
      </c>
      <c r="W299" s="334">
        <f t="shared" si="143"/>
        <v>55.572189267248149</v>
      </c>
      <c r="Y299" s="307">
        <f t="shared" si="144"/>
        <v>20185</v>
      </c>
      <c r="Z299" s="307">
        <f t="shared" si="145"/>
        <v>407434225</v>
      </c>
      <c r="AB299" s="333">
        <f t="shared" si="146"/>
        <v>16.323043937044353</v>
      </c>
      <c r="AC299" s="334">
        <f t="shared" si="147"/>
        <v>-28.304991863361572</v>
      </c>
      <c r="AE299" s="333">
        <f t="shared" si="148"/>
        <v>5.6271505395611809</v>
      </c>
      <c r="AF299" s="334">
        <f t="shared" si="149"/>
        <v>-91.680603858978969</v>
      </c>
      <c r="AH299">
        <f t="shared" si="150"/>
        <v>0</v>
      </c>
      <c r="AI299">
        <f t="shared" si="155"/>
        <v>0</v>
      </c>
    </row>
    <row r="300" spans="1:35" x14ac:dyDescent="0.25">
      <c r="A300" s="335">
        <v>20301</v>
      </c>
      <c r="B300" s="352">
        <f t="shared" si="151"/>
        <v>20.300999999999998</v>
      </c>
      <c r="C300" s="325">
        <f t="shared" si="126"/>
        <v>12.694195153843257</v>
      </c>
      <c r="D300" s="326">
        <f t="shared" si="127"/>
        <v>1.49193845770264</v>
      </c>
      <c r="E300" s="326">
        <f t="shared" si="128"/>
        <v>1.0000354360069987</v>
      </c>
      <c r="F300" s="327">
        <f t="shared" si="129"/>
        <v>8.4184274784346782E-3</v>
      </c>
      <c r="G300" s="326">
        <f t="shared" si="130"/>
        <v>1</v>
      </c>
      <c r="H300" s="327">
        <f t="shared" si="131"/>
        <v>0</v>
      </c>
      <c r="I300" s="325">
        <f t="shared" si="132"/>
        <v>31840.2562741127</v>
      </c>
      <c r="J300" s="328">
        <f t="shared" si="133"/>
        <v>1.5707649200125029</v>
      </c>
      <c r="K300" s="336">
        <f t="shared" si="153"/>
        <v>2.731662505411752</v>
      </c>
      <c r="L300" s="337">
        <f t="shared" si="154"/>
        <v>1.1960059835766961</v>
      </c>
      <c r="M300" s="325">
        <f t="shared" si="134"/>
        <v>1.0069988241309564</v>
      </c>
      <c r="N300" s="337">
        <f t="shared" si="135"/>
        <v>0.11796818916103095</v>
      </c>
      <c r="O300" s="343">
        <f t="shared" si="136"/>
        <v>1.0069341731211492</v>
      </c>
      <c r="P300" s="691">
        <f t="shared" si="137"/>
        <v>0.11742520878519465</v>
      </c>
      <c r="Q300" s="336">
        <f t="shared" si="152"/>
        <v>4.23651319441701</v>
      </c>
      <c r="R300" s="692">
        <f t="shared" si="138"/>
        <v>0.19538040173090335</v>
      </c>
      <c r="S300" s="329">
        <f t="shared" si="139"/>
        <v>0.99687927044113578</v>
      </c>
      <c r="T300" s="330">
        <f t="shared" si="140"/>
        <v>0.11769127265943878</v>
      </c>
      <c r="U300" s="331">
        <f t="shared" si="141"/>
        <v>-2.6276980892352464</v>
      </c>
      <c r="V300" s="332">
        <f t="shared" si="142"/>
        <v>-124.4403382012987</v>
      </c>
      <c r="W300" s="334">
        <f t="shared" si="143"/>
        <v>55.559661798701299</v>
      </c>
      <c r="Y300" s="307">
        <f t="shared" si="144"/>
        <v>20301</v>
      </c>
      <c r="Z300" s="307">
        <f t="shared" si="145"/>
        <v>412130601</v>
      </c>
      <c r="AB300" s="333">
        <f t="shared" si="146"/>
        <v>16.315654872098818</v>
      </c>
      <c r="AC300" s="334">
        <f t="shared" si="147"/>
        <v>-28.231184780570064</v>
      </c>
      <c r="AE300" s="333">
        <f t="shared" si="148"/>
        <v>5.577996529869834</v>
      </c>
      <c r="AF300" s="334">
        <f t="shared" si="149"/>
        <v>-91.742649868707801</v>
      </c>
      <c r="AH300">
        <f t="shared" si="150"/>
        <v>0</v>
      </c>
      <c r="AI300">
        <f t="shared" si="155"/>
        <v>0</v>
      </c>
    </row>
    <row r="301" spans="1:35" x14ac:dyDescent="0.25">
      <c r="A301" s="335">
        <v>20417</v>
      </c>
      <c r="B301" s="352">
        <f t="shared" si="151"/>
        <v>20.417000000000002</v>
      </c>
      <c r="C301" s="325">
        <f t="shared" si="126"/>
        <v>12.76628098221059</v>
      </c>
      <c r="D301" s="326">
        <f t="shared" si="127"/>
        <v>1.4923846524236366</v>
      </c>
      <c r="E301" s="326">
        <f t="shared" si="128"/>
        <v>1.0000358421196891</v>
      </c>
      <c r="F301" s="327">
        <f t="shared" si="129"/>
        <v>8.4665281165255592E-3</v>
      </c>
      <c r="G301" s="326">
        <f t="shared" si="130"/>
        <v>1</v>
      </c>
      <c r="H301" s="327">
        <f t="shared" si="131"/>
        <v>0</v>
      </c>
      <c r="I301" s="325">
        <f t="shared" si="132"/>
        <v>32022.191633167145</v>
      </c>
      <c r="J301" s="328">
        <f t="shared" si="133"/>
        <v>1.5707650984513897</v>
      </c>
      <c r="K301" s="336">
        <f t="shared" si="153"/>
        <v>2.7451846183456006</v>
      </c>
      <c r="L301" s="337">
        <f t="shared" si="154"/>
        <v>1.1979429631347078</v>
      </c>
      <c r="M301" s="325">
        <f t="shared" si="134"/>
        <v>1.0070787533498584</v>
      </c>
      <c r="N301" s="337">
        <f t="shared" si="135"/>
        <v>0.11863597052142751</v>
      </c>
      <c r="O301" s="343">
        <f t="shared" si="136"/>
        <v>1.0070133665631869</v>
      </c>
      <c r="P301" s="691">
        <f t="shared" si="137"/>
        <v>0.11808997383590053</v>
      </c>
      <c r="Q301" s="336">
        <f t="shared" si="152"/>
        <v>4.2374207039000167</v>
      </c>
      <c r="R301" s="692">
        <f t="shared" si="138"/>
        <v>0.19646872296584644</v>
      </c>
      <c r="S301" s="329">
        <f t="shared" si="139"/>
        <v>0.99684403158729107</v>
      </c>
      <c r="T301" s="330">
        <f t="shared" si="140"/>
        <v>0.11837111433290226</v>
      </c>
      <c r="U301" s="331">
        <f t="shared" si="141"/>
        <v>-2.6850384495663921</v>
      </c>
      <c r="V301" s="332">
        <f t="shared" si="142"/>
        <v>-124.45365787618972</v>
      </c>
      <c r="W301" s="334">
        <f t="shared" si="143"/>
        <v>55.546342123810277</v>
      </c>
      <c r="Y301" s="307">
        <f t="shared" si="144"/>
        <v>20417</v>
      </c>
      <c r="Z301" s="307">
        <f t="shared" si="145"/>
        <v>416853889</v>
      </c>
      <c r="AB301" s="333">
        <f t="shared" si="146"/>
        <v>16.308365820859951</v>
      </c>
      <c r="AC301" s="334">
        <f t="shared" si="147"/>
        <v>-28.158475304193136</v>
      </c>
      <c r="AE301" s="333">
        <f t="shared" si="148"/>
        <v>5.5291225365231291</v>
      </c>
      <c r="AF301" s="334">
        <f t="shared" si="149"/>
        <v>-91.804411038204577</v>
      </c>
      <c r="AH301">
        <f t="shared" si="150"/>
        <v>0</v>
      </c>
      <c r="AI301">
        <f t="shared" si="155"/>
        <v>0</v>
      </c>
    </row>
    <row r="302" spans="1:35" x14ac:dyDescent="0.25">
      <c r="A302" s="335">
        <v>20536</v>
      </c>
      <c r="B302" s="352">
        <f t="shared" si="151"/>
        <v>20.536000000000001</v>
      </c>
      <c r="C302" s="325">
        <f t="shared" si="126"/>
        <v>12.840233710287755</v>
      </c>
      <c r="D302" s="326">
        <f t="shared" si="127"/>
        <v>1.4928371806176897</v>
      </c>
      <c r="E302" s="326">
        <f t="shared" si="128"/>
        <v>1.0000362611395779</v>
      </c>
      <c r="F302" s="327">
        <f t="shared" si="129"/>
        <v>8.5158726959226518E-3</v>
      </c>
      <c r="G302" s="326">
        <f t="shared" si="130"/>
        <v>1</v>
      </c>
      <c r="H302" s="327">
        <f t="shared" si="131"/>
        <v>0</v>
      </c>
      <c r="I302" s="325">
        <f t="shared" si="132"/>
        <v>32208.832217025767</v>
      </c>
      <c r="J302" s="328">
        <f t="shared" si="133"/>
        <v>1.5707652794103337</v>
      </c>
      <c r="K302" s="336">
        <f t="shared" si="153"/>
        <v>2.7590670374387378</v>
      </c>
      <c r="L302" s="337">
        <f t="shared" si="154"/>
        <v>1.1999103003483456</v>
      </c>
      <c r="M302" s="325">
        <f t="shared" si="134"/>
        <v>1.0071612162888928</v>
      </c>
      <c r="N302" s="337">
        <f t="shared" si="135"/>
        <v>0.1193209116360673</v>
      </c>
      <c r="O302" s="343">
        <f t="shared" si="136"/>
        <v>1.0070950704617758</v>
      </c>
      <c r="P302" s="691">
        <f t="shared" si="137"/>
        <v>0.11877182213672263</v>
      </c>
      <c r="Q302" s="336">
        <f t="shared" si="152"/>
        <v>4.2383568528521387</v>
      </c>
      <c r="R302" s="692">
        <f t="shared" si="138"/>
        <v>0.19758470684740284</v>
      </c>
      <c r="S302" s="329">
        <f t="shared" si="139"/>
        <v>0.99680768529853814</v>
      </c>
      <c r="T302" s="330">
        <f t="shared" si="140"/>
        <v>0.11906866873088529</v>
      </c>
      <c r="U302" s="331">
        <f t="shared" si="141"/>
        <v>-2.7434785299367315</v>
      </c>
      <c r="V302" s="332">
        <f t="shared" si="142"/>
        <v>-124.46813413923977</v>
      </c>
      <c r="W302" s="334">
        <f t="shared" si="143"/>
        <v>55.531865860760234</v>
      </c>
      <c r="Y302" s="307">
        <f t="shared" si="144"/>
        <v>20536</v>
      </c>
      <c r="Z302" s="307">
        <f t="shared" si="145"/>
        <v>421727296</v>
      </c>
      <c r="AB302" s="333">
        <f t="shared" si="146"/>
        <v>16.300990001186651</v>
      </c>
      <c r="AC302" s="334">
        <f t="shared" si="147"/>
        <v>-28.085009788156331</v>
      </c>
      <c r="AE302" s="333">
        <f t="shared" si="148"/>
        <v>5.4792722875240587</v>
      </c>
      <c r="AF302" s="334">
        <f t="shared" si="149"/>
        <v>-91.867478680750466</v>
      </c>
      <c r="AH302">
        <f t="shared" si="150"/>
        <v>0</v>
      </c>
      <c r="AI302">
        <f t="shared" si="155"/>
        <v>0</v>
      </c>
    </row>
    <row r="303" spans="1:35" x14ac:dyDescent="0.25">
      <c r="A303" s="335">
        <v>20655</v>
      </c>
      <c r="B303" s="352">
        <f t="shared" si="151"/>
        <v>20.655000000000001</v>
      </c>
      <c r="C303" s="325">
        <f t="shared" si="126"/>
        <v>12.914189037695456</v>
      </c>
      <c r="D303" s="326">
        <f t="shared" si="127"/>
        <v>1.4932845259412173</v>
      </c>
      <c r="E303" s="326">
        <f t="shared" si="128"/>
        <v>1.0000366825944402</v>
      </c>
      <c r="F303" s="327">
        <f t="shared" si="129"/>
        <v>8.565217233848392E-3</v>
      </c>
      <c r="G303" s="326">
        <f t="shared" si="130"/>
        <v>1</v>
      </c>
      <c r="H303" s="327">
        <f t="shared" si="131"/>
        <v>0</v>
      </c>
      <c r="I303" s="325">
        <f t="shared" si="132"/>
        <v>32395.472800885429</v>
      </c>
      <c r="J303" s="328">
        <f t="shared" si="133"/>
        <v>1.5707654582841541</v>
      </c>
      <c r="K303" s="336">
        <f t="shared" si="153"/>
        <v>2.7729600283212514</v>
      </c>
      <c r="L303" s="337">
        <f t="shared" si="154"/>
        <v>1.2018579316641149</v>
      </c>
      <c r="M303" s="325">
        <f t="shared" si="134"/>
        <v>1.0072441516544048</v>
      </c>
      <c r="N303" s="337">
        <f t="shared" si="135"/>
        <v>0.12000574027736424</v>
      </c>
      <c r="O303" s="343">
        <f t="shared" si="136"/>
        <v>1.0071772424999981</v>
      </c>
      <c r="P303" s="691">
        <f t="shared" si="137"/>
        <v>0.11945355949525804</v>
      </c>
      <c r="Q303" s="336">
        <f t="shared" si="152"/>
        <v>4.2392982337537664</v>
      </c>
      <c r="R303" s="692">
        <f t="shared" si="138"/>
        <v>0.19870019856418597</v>
      </c>
      <c r="S303" s="329">
        <f t="shared" si="139"/>
        <v>0.99677114064313044</v>
      </c>
      <c r="T303" s="330">
        <f t="shared" si="140"/>
        <v>0.11976635617265831</v>
      </c>
      <c r="U303" s="331">
        <f t="shared" si="141"/>
        <v>-2.8015359227650576</v>
      </c>
      <c r="V303" s="332">
        <f t="shared" si="142"/>
        <v>-124.48342172953086</v>
      </c>
      <c r="W303" s="334">
        <f t="shared" si="143"/>
        <v>55.51657827046914</v>
      </c>
      <c r="Y303" s="307">
        <f t="shared" si="144"/>
        <v>20655</v>
      </c>
      <c r="Z303" s="307">
        <f t="shared" si="145"/>
        <v>426629025</v>
      </c>
      <c r="AB303" s="333">
        <f t="shared" si="146"/>
        <v>16.293715044918471</v>
      </c>
      <c r="AC303" s="334">
        <f t="shared" si="147"/>
        <v>-28.012666773183536</v>
      </c>
      <c r="AE303" s="333">
        <f t="shared" si="148"/>
        <v>5.4297101785846893</v>
      </c>
      <c r="AF303" s="334">
        <f t="shared" si="149"/>
        <v>-91.930256991912955</v>
      </c>
      <c r="AH303">
        <f t="shared" si="150"/>
        <v>0</v>
      </c>
      <c r="AI303">
        <f t="shared" si="155"/>
        <v>0</v>
      </c>
    </row>
    <row r="304" spans="1:35" x14ac:dyDescent="0.25">
      <c r="A304" s="335">
        <v>20774</v>
      </c>
      <c r="B304" s="352">
        <f t="shared" si="151"/>
        <v>20.774000000000001</v>
      </c>
      <c r="C304" s="325">
        <f t="shared" si="126"/>
        <v>12.988146920031442</v>
      </c>
      <c r="D304" s="326">
        <f t="shared" si="127"/>
        <v>1.4937267767514619</v>
      </c>
      <c r="E304" s="326">
        <f t="shared" si="128"/>
        <v>1.0000371064842735</v>
      </c>
      <c r="F304" s="327">
        <f t="shared" si="129"/>
        <v>8.6145617300625379E-3</v>
      </c>
      <c r="G304" s="326">
        <f t="shared" si="130"/>
        <v>1</v>
      </c>
      <c r="H304" s="327">
        <f t="shared" si="131"/>
        <v>0</v>
      </c>
      <c r="I304" s="325">
        <f t="shared" si="132"/>
        <v>32582.113384746117</v>
      </c>
      <c r="J304" s="328">
        <f t="shared" si="133"/>
        <v>1.5707656351086838</v>
      </c>
      <c r="K304" s="336">
        <f t="shared" si="153"/>
        <v>2.7868634328866118</v>
      </c>
      <c r="L304" s="337">
        <f t="shared" si="154"/>
        <v>1.2037861371274969</v>
      </c>
      <c r="M304" s="325">
        <f t="shared" si="134"/>
        <v>1.0073275593297069</v>
      </c>
      <c r="N304" s="337">
        <f t="shared" si="135"/>
        <v>0.12069045583082261</v>
      </c>
      <c r="O304" s="343">
        <f t="shared" si="136"/>
        <v>1.007259882563281</v>
      </c>
      <c r="P304" s="691">
        <f t="shared" si="137"/>
        <v>0.12013518530504019</v>
      </c>
      <c r="Q304" s="336">
        <f t="shared" si="152"/>
        <v>4.2402448431205002</v>
      </c>
      <c r="R304" s="692">
        <f t="shared" si="138"/>
        <v>0.19981519570378764</v>
      </c>
      <c r="S304" s="329">
        <f t="shared" si="139"/>
        <v>0.99673439784608053</v>
      </c>
      <c r="T304" s="330">
        <f t="shared" si="140"/>
        <v>0.12046417742880386</v>
      </c>
      <c r="U304" s="331">
        <f t="shared" si="141"/>
        <v>-2.8592159894679288</v>
      </c>
      <c r="V304" s="332">
        <f t="shared" si="142"/>
        <v>-124.49950957167306</v>
      </c>
      <c r="W304" s="334">
        <f t="shared" si="143"/>
        <v>55.500490428326941</v>
      </c>
      <c r="Y304" s="307">
        <f t="shared" si="144"/>
        <v>20774</v>
      </c>
      <c r="Z304" s="307">
        <f t="shared" si="145"/>
        <v>431559076</v>
      </c>
      <c r="AB304" s="333">
        <f t="shared" si="146"/>
        <v>16.286538811235577</v>
      </c>
      <c r="AC304" s="334">
        <f t="shared" si="147"/>
        <v>-27.941430180695672</v>
      </c>
      <c r="AE304" s="333">
        <f t="shared" si="148"/>
        <v>5.3804329769849275</v>
      </c>
      <c r="AF304" s="334">
        <f t="shared" si="149"/>
        <v>-91.992751078354004</v>
      </c>
      <c r="AH304">
        <f t="shared" si="150"/>
        <v>0</v>
      </c>
      <c r="AI304">
        <f t="shared" si="155"/>
        <v>0</v>
      </c>
    </row>
    <row r="305" spans="1:35" x14ac:dyDescent="0.25">
      <c r="A305" s="335">
        <v>20893</v>
      </c>
      <c r="B305" s="352">
        <f t="shared" si="151"/>
        <v>20.893000000000001</v>
      </c>
      <c r="C305" s="325">
        <f t="shared" si="126"/>
        <v>13.062107313897563</v>
      </c>
      <c r="D305" s="326">
        <f t="shared" si="127"/>
        <v>1.4941640194125525</v>
      </c>
      <c r="E305" s="326">
        <f t="shared" si="128"/>
        <v>1.0000375328090743</v>
      </c>
      <c r="F305" s="327">
        <f t="shared" si="129"/>
        <v>8.663906184324846E-3</v>
      </c>
      <c r="G305" s="326">
        <f t="shared" si="130"/>
        <v>1</v>
      </c>
      <c r="H305" s="327">
        <f t="shared" si="131"/>
        <v>0</v>
      </c>
      <c r="I305" s="325">
        <f t="shared" si="132"/>
        <v>32768.753968607816</v>
      </c>
      <c r="J305" s="328">
        <f t="shared" si="133"/>
        <v>1.5707658099189388</v>
      </c>
      <c r="K305" s="336">
        <f t="shared" si="153"/>
        <v>2.8007770960503868</v>
      </c>
      <c r="L305" s="337">
        <f t="shared" si="154"/>
        <v>1.2056951918032159</v>
      </c>
      <c r="M305" s="325">
        <f t="shared" si="134"/>
        <v>1.0074114391974858</v>
      </c>
      <c r="N305" s="337">
        <f t="shared" si="135"/>
        <v>0.12137505768257371</v>
      </c>
      <c r="O305" s="343">
        <f t="shared" si="136"/>
        <v>1.0073429905364379</v>
      </c>
      <c r="P305" s="691">
        <f t="shared" si="137"/>
        <v>0.12081669896021549</v>
      </c>
      <c r="Q305" s="336">
        <f t="shared" si="152"/>
        <v>4.2411966774517049</v>
      </c>
      <c r="R305" s="692">
        <f t="shared" si="138"/>
        <v>0.20092969586082474</v>
      </c>
      <c r="S305" s="329">
        <f t="shared" si="139"/>
        <v>0.99669745713374214</v>
      </c>
      <c r="T305" s="330">
        <f t="shared" si="140"/>
        <v>0.1211621332698864</v>
      </c>
      <c r="U305" s="331">
        <f t="shared" si="141"/>
        <v>-2.9165239840761266</v>
      </c>
      <c r="V305" s="332">
        <f t="shared" si="142"/>
        <v>-124.51638676181126</v>
      </c>
      <c r="W305" s="334">
        <f t="shared" si="143"/>
        <v>55.483613238188738</v>
      </c>
      <c r="Y305" s="307">
        <f t="shared" si="144"/>
        <v>20893</v>
      </c>
      <c r="Z305" s="307">
        <f t="shared" si="145"/>
        <v>436517449</v>
      </c>
      <c r="AB305" s="333">
        <f t="shared" si="146"/>
        <v>16.279459212632172</v>
      </c>
      <c r="AC305" s="334">
        <f t="shared" si="147"/>
        <v>-27.871284217479104</v>
      </c>
      <c r="AE305" s="333">
        <f t="shared" si="148"/>
        <v>5.3314375040264022</v>
      </c>
      <c r="AF305" s="334">
        <f t="shared" si="149"/>
        <v>-92.054965932537598</v>
      </c>
      <c r="AH305">
        <f t="shared" si="150"/>
        <v>0</v>
      </c>
      <c r="AI305">
        <f t="shared" si="155"/>
        <v>0</v>
      </c>
    </row>
    <row r="306" spans="1:35" x14ac:dyDescent="0.25">
      <c r="A306" s="335">
        <v>21014.75</v>
      </c>
      <c r="B306" s="352">
        <f t="shared" si="151"/>
        <v>21.014749999999999</v>
      </c>
      <c r="C306" s="325">
        <f t="shared" si="126"/>
        <v>13.137779431553087</v>
      </c>
      <c r="D306" s="326">
        <f t="shared" si="127"/>
        <v>1.4946062713701671</v>
      </c>
      <c r="E306" s="326">
        <f t="shared" si="128"/>
        <v>1.0000379715059386</v>
      </c>
      <c r="F306" s="327">
        <f t="shared" si="129"/>
        <v>8.7143909079380171E-3</v>
      </c>
      <c r="G306" s="326">
        <f t="shared" si="130"/>
        <v>1</v>
      </c>
      <c r="H306" s="327">
        <f t="shared" si="131"/>
        <v>0</v>
      </c>
      <c r="I306" s="325">
        <f t="shared" si="132"/>
        <v>32959.707675206839</v>
      </c>
      <c r="J306" s="328">
        <f t="shared" si="133"/>
        <v>1.5707659867199784</v>
      </c>
      <c r="K306" s="336">
        <f t="shared" si="153"/>
        <v>2.8150227517465596</v>
      </c>
      <c r="L306" s="337">
        <f t="shared" si="154"/>
        <v>1.2076288252963272</v>
      </c>
      <c r="M306" s="325">
        <f t="shared" si="134"/>
        <v>1.0074977460291457</v>
      </c>
      <c r="N306" s="337">
        <f t="shared" si="135"/>
        <v>0.1220753618523998</v>
      </c>
      <c r="O306" s="343">
        <f t="shared" si="136"/>
        <v>1.0074285032056061</v>
      </c>
      <c r="P306" s="691">
        <f t="shared" si="137"/>
        <v>0.12151384517706472</v>
      </c>
      <c r="Q306" s="336">
        <f t="shared" si="152"/>
        <v>4.2421759117637432</v>
      </c>
      <c r="R306" s="692">
        <f t="shared" si="138"/>
        <v>0.20206943442980038</v>
      </c>
      <c r="S306" s="329">
        <f t="shared" si="139"/>
        <v>0.99665945815830781</v>
      </c>
      <c r="T306" s="330">
        <f t="shared" si="140"/>
        <v>0.121876358432303</v>
      </c>
      <c r="U306" s="331">
        <f t="shared" si="141"/>
        <v>-2.9747766238881419</v>
      </c>
      <c r="V306" s="332">
        <f t="shared" si="142"/>
        <v>-124.53445969712125</v>
      </c>
      <c r="W306" s="334">
        <f t="shared" si="143"/>
        <v>55.46554030287875</v>
      </c>
      <c r="Y306" s="307">
        <f t="shared" si="144"/>
        <v>21014.75</v>
      </c>
      <c r="Z306" s="307">
        <f t="shared" si="145"/>
        <v>441619717.5625</v>
      </c>
      <c r="AB306" s="333">
        <f t="shared" si="146"/>
        <v>16.272313897710966</v>
      </c>
      <c r="AC306" s="334">
        <f t="shared" si="147"/>
        <v>-27.800629782377786</v>
      </c>
      <c r="AE306" s="333">
        <f t="shared" si="148"/>
        <v>5.2815980927513273</v>
      </c>
      <c r="AF306" s="334">
        <f t="shared" si="149"/>
        <v>-92.118334629098328</v>
      </c>
      <c r="AH306">
        <f t="shared" si="150"/>
        <v>0</v>
      </c>
      <c r="AI306">
        <f t="shared" si="155"/>
        <v>0</v>
      </c>
    </row>
    <row r="307" spans="1:35" x14ac:dyDescent="0.25">
      <c r="A307" s="335">
        <v>21136.5</v>
      </c>
      <c r="B307" s="352">
        <f t="shared" si="151"/>
        <v>21.136500000000002</v>
      </c>
      <c r="C307" s="325">
        <f t="shared" si="126"/>
        <v>13.213454089353075</v>
      </c>
      <c r="D307" s="326">
        <f t="shared" si="127"/>
        <v>1.495043457777808</v>
      </c>
      <c r="E307" s="326">
        <f t="shared" si="128"/>
        <v>1.0000384127516049</v>
      </c>
      <c r="F307" s="327">
        <f t="shared" si="129"/>
        <v>8.7648755871292412E-3</v>
      </c>
      <c r="G307" s="326">
        <f t="shared" si="130"/>
        <v>1</v>
      </c>
      <c r="H307" s="327">
        <f t="shared" si="131"/>
        <v>0</v>
      </c>
      <c r="I307" s="325">
        <f t="shared" si="132"/>
        <v>33150.66138180688</v>
      </c>
      <c r="J307" s="328">
        <f t="shared" si="133"/>
        <v>1.570766161484207</v>
      </c>
      <c r="K307" s="336">
        <f t="shared" si="153"/>
        <v>2.8292788266263207</v>
      </c>
      <c r="L307" s="337">
        <f t="shared" si="154"/>
        <v>1.2095429796317156</v>
      </c>
      <c r="M307" s="325">
        <f t="shared" si="134"/>
        <v>1.0075845468790368</v>
      </c>
      <c r="N307" s="337">
        <f t="shared" si="135"/>
        <v>0.12277554570671349</v>
      </c>
      <c r="O307" s="343">
        <f t="shared" si="136"/>
        <v>1.0075145054147179</v>
      </c>
      <c r="P307" s="691">
        <f t="shared" si="137"/>
        <v>0.12221087271476121</v>
      </c>
      <c r="Q307" s="336">
        <f t="shared" si="152"/>
        <v>4.2431606078554935</v>
      </c>
      <c r="R307" s="692">
        <f t="shared" si="138"/>
        <v>0.20320864770977684</v>
      </c>
      <c r="S307" s="329">
        <f t="shared" si="139"/>
        <v>0.99662125249819511</v>
      </c>
      <c r="T307" s="330">
        <f t="shared" si="140"/>
        <v>0.12259072610360257</v>
      </c>
      <c r="U307" s="331">
        <f t="shared" si="141"/>
        <v>-3.0326505902540291</v>
      </c>
      <c r="V307" s="332">
        <f t="shared" si="142"/>
        <v>-124.55333633172661</v>
      </c>
      <c r="W307" s="334">
        <f t="shared" si="143"/>
        <v>55.446663668273388</v>
      </c>
      <c r="Y307" s="307">
        <f t="shared" si="144"/>
        <v>21136.5</v>
      </c>
      <c r="Z307" s="307">
        <f t="shared" si="145"/>
        <v>446751632.25</v>
      </c>
      <c r="AB307" s="333">
        <f t="shared" si="146"/>
        <v>16.265265479363723</v>
      </c>
      <c r="AC307" s="334">
        <f t="shared" si="147"/>
        <v>-27.731084410531981</v>
      </c>
      <c r="AE307" s="333">
        <f t="shared" si="148"/>
        <v>5.2320470181854652</v>
      </c>
      <c r="AF307" s="334">
        <f t="shared" si="149"/>
        <v>-92.181421258727042</v>
      </c>
      <c r="AH307">
        <f t="shared" si="150"/>
        <v>0</v>
      </c>
      <c r="AI307">
        <f t="shared" si="155"/>
        <v>0</v>
      </c>
    </row>
    <row r="308" spans="1:35" x14ac:dyDescent="0.25">
      <c r="A308" s="335">
        <v>21258.25</v>
      </c>
      <c r="B308" s="352">
        <f t="shared" si="151"/>
        <v>21.25825</v>
      </c>
      <c r="C308" s="325">
        <f t="shared" si="126"/>
        <v>13.289131243903135</v>
      </c>
      <c r="D308" s="326">
        <f t="shared" si="127"/>
        <v>1.4954756650067458</v>
      </c>
      <c r="E308" s="326">
        <f t="shared" si="128"/>
        <v>1.0000388565460696</v>
      </c>
      <c r="F308" s="327">
        <f t="shared" si="129"/>
        <v>8.8153602216412309E-3</v>
      </c>
      <c r="G308" s="326">
        <f t="shared" si="130"/>
        <v>1</v>
      </c>
      <c r="H308" s="327">
        <f t="shared" si="131"/>
        <v>0</v>
      </c>
      <c r="I308" s="325">
        <f t="shared" si="132"/>
        <v>33341.615088407911</v>
      </c>
      <c r="J308" s="328">
        <f t="shared" si="133"/>
        <v>1.5707663342466203</v>
      </c>
      <c r="K308" s="336">
        <f t="shared" si="153"/>
        <v>2.8435451639803699</v>
      </c>
      <c r="L308" s="337">
        <f t="shared" si="154"/>
        <v>1.2114379338624586</v>
      </c>
      <c r="M308" s="325">
        <f t="shared" si="134"/>
        <v>1.0076718416194947</v>
      </c>
      <c r="N308" s="337">
        <f t="shared" si="135"/>
        <v>0.12347560859015516</v>
      </c>
      <c r="O308" s="343">
        <f t="shared" si="136"/>
        <v>1.0076009970384212</v>
      </c>
      <c r="P308" s="691">
        <f t="shared" si="137"/>
        <v>0.12290778092648304</v>
      </c>
      <c r="Q308" s="336">
        <f t="shared" si="152"/>
        <v>4.2441507619256251</v>
      </c>
      <c r="R308" s="692">
        <f t="shared" si="138"/>
        <v>0.20434733314771925</v>
      </c>
      <c r="S308" s="329">
        <f t="shared" si="139"/>
        <v>0.99658284040017897</v>
      </c>
      <c r="T308" s="330">
        <f t="shared" si="140"/>
        <v>0.12330523710895346</v>
      </c>
      <c r="U308" s="331">
        <f t="shared" si="141"/>
        <v>-3.0901511785547369</v>
      </c>
      <c r="V308" s="332">
        <f t="shared" si="142"/>
        <v>-124.57300552830422</v>
      </c>
      <c r="W308" s="334">
        <f t="shared" si="143"/>
        <v>55.426994471695778</v>
      </c>
      <c r="Y308" s="307">
        <f t="shared" si="144"/>
        <v>21258.25</v>
      </c>
      <c r="Z308" s="307">
        <f t="shared" si="145"/>
        <v>451913193.0625</v>
      </c>
      <c r="AB308" s="333">
        <f t="shared" si="146"/>
        <v>16.258311885315276</v>
      </c>
      <c r="AC308" s="334">
        <f t="shared" si="147"/>
        <v>-27.662632077833841</v>
      </c>
      <c r="AE308" s="333">
        <f t="shared" si="148"/>
        <v>5.1827810440255826</v>
      </c>
      <c r="AF308" s="334">
        <f t="shared" si="149"/>
        <v>-92.244230817426441</v>
      </c>
      <c r="AH308">
        <f t="shared" si="150"/>
        <v>0</v>
      </c>
      <c r="AI308">
        <f t="shared" si="155"/>
        <v>0</v>
      </c>
    </row>
    <row r="309" spans="1:35" x14ac:dyDescent="0.25">
      <c r="A309" s="335">
        <v>21380</v>
      </c>
      <c r="B309" s="352">
        <f t="shared" si="151"/>
        <v>21.38</v>
      </c>
      <c r="C309" s="325">
        <f t="shared" si="126"/>
        <v>13.36481085279034</v>
      </c>
      <c r="D309" s="326">
        <f t="shared" si="127"/>
        <v>1.4959029774794439</v>
      </c>
      <c r="E309" s="326">
        <f t="shared" si="128"/>
        <v>1.0000393028893293</v>
      </c>
      <c r="F309" s="327">
        <f t="shared" si="129"/>
        <v>8.8658448112167113E-3</v>
      </c>
      <c r="G309" s="326">
        <f t="shared" si="130"/>
        <v>1</v>
      </c>
      <c r="H309" s="327">
        <f t="shared" si="131"/>
        <v>0</v>
      </c>
      <c r="I309" s="325">
        <f t="shared" si="132"/>
        <v>33532.568795009938</v>
      </c>
      <c r="J309" s="328">
        <f t="shared" si="133"/>
        <v>1.5707665050414168</v>
      </c>
      <c r="K309" s="336">
        <f t="shared" si="153"/>
        <v>2.8578216101169072</v>
      </c>
      <c r="L309" s="337">
        <f t="shared" si="154"/>
        <v>1.2133139620231084</v>
      </c>
      <c r="M309" s="325">
        <f t="shared" si="134"/>
        <v>1.0077596301221734</v>
      </c>
      <c r="N309" s="337">
        <f t="shared" si="135"/>
        <v>0.12417554984806592</v>
      </c>
      <c r="O309" s="343">
        <f t="shared" si="136"/>
        <v>1.0076879779506942</v>
      </c>
      <c r="P309" s="691">
        <f t="shared" si="137"/>
        <v>0.12360456916609341</v>
      </c>
      <c r="Q309" s="336">
        <f t="shared" si="152"/>
        <v>4.2451463701552932</v>
      </c>
      <c r="R309" s="692">
        <f t="shared" si="138"/>
        <v>0.20548548819839721</v>
      </c>
      <c r="S309" s="329">
        <f t="shared" si="139"/>
        <v>0.99654422211250715</v>
      </c>
      <c r="T309" s="330">
        <f t="shared" si="140"/>
        <v>0.12401989227350209</v>
      </c>
      <c r="U309" s="331">
        <f t="shared" si="141"/>
        <v>-3.1472835781085418</v>
      </c>
      <c r="V309" s="332">
        <f t="shared" si="142"/>
        <v>-124.59345632581402</v>
      </c>
      <c r="W309" s="334">
        <f t="shared" si="143"/>
        <v>55.406543674185983</v>
      </c>
      <c r="Y309" s="307">
        <f t="shared" si="144"/>
        <v>21380</v>
      </c>
      <c r="Z309" s="307">
        <f t="shared" si="145"/>
        <v>457104400</v>
      </c>
      <c r="AB309" s="333">
        <f t="shared" si="146"/>
        <v>16.251451095172222</v>
      </c>
      <c r="AC309" s="334">
        <f t="shared" si="147"/>
        <v>-27.595257047710295</v>
      </c>
      <c r="AE309" s="333">
        <f t="shared" si="148"/>
        <v>5.1337969880959653</v>
      </c>
      <c r="AF309" s="334">
        <f t="shared" si="149"/>
        <v>-92.30676818953954</v>
      </c>
      <c r="AH309">
        <f t="shared" si="150"/>
        <v>0</v>
      </c>
      <c r="AI309">
        <f t="shared" si="155"/>
        <v>0</v>
      </c>
    </row>
    <row r="310" spans="1:35" x14ac:dyDescent="0.25">
      <c r="A310" s="335">
        <v>21504.5</v>
      </c>
      <c r="B310" s="352">
        <f t="shared" si="151"/>
        <v>21.5045</v>
      </c>
      <c r="C310" s="325">
        <f t="shared" si="126"/>
        <v>13.442202352287618</v>
      </c>
      <c r="D310" s="326">
        <f t="shared" si="127"/>
        <v>1.4963349659073615</v>
      </c>
      <c r="E310" s="326">
        <f t="shared" si="128"/>
        <v>1.0000397619500616</v>
      </c>
      <c r="F310" s="327">
        <f t="shared" si="129"/>
        <v>8.9174696630584475E-3</v>
      </c>
      <c r="G310" s="326">
        <f t="shared" si="130"/>
        <v>1</v>
      </c>
      <c r="H310" s="327">
        <f t="shared" si="131"/>
        <v>0</v>
      </c>
      <c r="I310" s="325">
        <f t="shared" si="132"/>
        <v>33727.835624349354</v>
      </c>
      <c r="J310" s="328">
        <f t="shared" si="133"/>
        <v>1.5707666776940388</v>
      </c>
      <c r="K310" s="336">
        <f t="shared" si="153"/>
        <v>2.8724308189921843</v>
      </c>
      <c r="L310" s="337">
        <f t="shared" si="154"/>
        <v>1.2152130727806503</v>
      </c>
      <c r="M310" s="325">
        <f t="shared" si="134"/>
        <v>1.007849912010222</v>
      </c>
      <c r="N310" s="337">
        <f t="shared" si="135"/>
        <v>0.1248911744087437</v>
      </c>
      <c r="O310" s="343">
        <f t="shared" si="136"/>
        <v>1.0077774293831463</v>
      </c>
      <c r="P310" s="691">
        <f t="shared" si="137"/>
        <v>0.12431697120912182</v>
      </c>
      <c r="Q310" s="336">
        <f t="shared" si="152"/>
        <v>4.2461701028013472</v>
      </c>
      <c r="R310" s="692">
        <f t="shared" si="138"/>
        <v>0.20664879992707277</v>
      </c>
      <c r="S310" s="329">
        <f t="shared" si="139"/>
        <v>0.99650451857523714</v>
      </c>
      <c r="T310" s="330">
        <f t="shared" si="140"/>
        <v>0.1247508394864207</v>
      </c>
      <c r="U310" s="331">
        <f t="shared" si="141"/>
        <v>-3.2053309838892918</v>
      </c>
      <c r="V310" s="332">
        <f t="shared" si="142"/>
        <v>-124.61516609377895</v>
      </c>
      <c r="W310" s="334">
        <f t="shared" si="143"/>
        <v>55.384833906221047</v>
      </c>
      <c r="Y310" s="307">
        <f t="shared" si="144"/>
        <v>21504.5</v>
      </c>
      <c r="Z310" s="307">
        <f t="shared" si="145"/>
        <v>462443520.25</v>
      </c>
      <c r="AB310" s="333">
        <f t="shared" si="146"/>
        <v>16.24452925804842</v>
      </c>
      <c r="AC310" s="334">
        <f t="shared" si="147"/>
        <v>-27.527458175707089</v>
      </c>
      <c r="AE310" s="333">
        <f t="shared" si="148"/>
        <v>5.0839947977874944</v>
      </c>
      <c r="AF310" s="334">
        <f t="shared" si="149"/>
        <v>-92.37044160754904</v>
      </c>
      <c r="AH310">
        <f t="shared" si="150"/>
        <v>0</v>
      </c>
      <c r="AI310">
        <f t="shared" si="155"/>
        <v>0</v>
      </c>
    </row>
    <row r="311" spans="1:35" x14ac:dyDescent="0.25">
      <c r="A311" s="335">
        <v>21629</v>
      </c>
      <c r="B311" s="352">
        <f t="shared" si="151"/>
        <v>21.629000000000001</v>
      </c>
      <c r="C311" s="325">
        <f t="shared" si="126"/>
        <v>13.519596331568479</v>
      </c>
      <c r="D311" s="326">
        <f t="shared" si="127"/>
        <v>1.4967620085115954</v>
      </c>
      <c r="E311" s="326">
        <f t="shared" si="128"/>
        <v>1.0000402236760229</v>
      </c>
      <c r="F311" s="327">
        <f t="shared" si="129"/>
        <v>8.9690944673666197E-3</v>
      </c>
      <c r="G311" s="326">
        <f t="shared" si="130"/>
        <v>1</v>
      </c>
      <c r="H311" s="327">
        <f t="shared" si="131"/>
        <v>0</v>
      </c>
      <c r="I311" s="325">
        <f t="shared" si="132"/>
        <v>33923.10245368976</v>
      </c>
      <c r="J311" s="328">
        <f t="shared" si="133"/>
        <v>1.570766848359028</v>
      </c>
      <c r="K311" s="336">
        <f t="shared" si="153"/>
        <v>2.8870502827708751</v>
      </c>
      <c r="L311" s="337">
        <f t="shared" si="154"/>
        <v>1.2170929568026136</v>
      </c>
      <c r="M311" s="325">
        <f t="shared" si="134"/>
        <v>1.0079407099442517</v>
      </c>
      <c r="N311" s="337">
        <f t="shared" si="135"/>
        <v>0.12560667040512308</v>
      </c>
      <c r="O311" s="343">
        <f t="shared" si="136"/>
        <v>1.0078673921885049</v>
      </c>
      <c r="P311" s="691">
        <f t="shared" si="137"/>
        <v>0.12502924643478103</v>
      </c>
      <c r="Q311" s="336">
        <f t="shared" si="152"/>
        <v>4.2471995306461405</v>
      </c>
      <c r="R311" s="692">
        <f t="shared" si="138"/>
        <v>0.20781155167984486</v>
      </c>
      <c r="S311" s="329">
        <f t="shared" si="139"/>
        <v>0.99646459995835124</v>
      </c>
      <c r="T311" s="330">
        <f t="shared" si="140"/>
        <v>0.12548193918951336</v>
      </c>
      <c r="U311" s="331">
        <f t="shared" si="141"/>
        <v>-3.2630040277974528</v>
      </c>
      <c r="V311" s="332">
        <f t="shared" si="142"/>
        <v>-124.63767053926034</v>
      </c>
      <c r="W311" s="334">
        <f t="shared" si="143"/>
        <v>55.362329460739659</v>
      </c>
      <c r="Y311" s="307">
        <f t="shared" si="144"/>
        <v>21629</v>
      </c>
      <c r="Z311" s="307">
        <f t="shared" si="145"/>
        <v>467813641</v>
      </c>
      <c r="AB311" s="333">
        <f t="shared" si="146"/>
        <v>16.237700351015999</v>
      </c>
      <c r="AC311" s="334">
        <f t="shared" si="147"/>
        <v>-27.460753434432924</v>
      </c>
      <c r="AE311" s="333">
        <f t="shared" si="148"/>
        <v>5.0344808429302006</v>
      </c>
      <c r="AF311" s="334">
        <f t="shared" si="149"/>
        <v>-92.433840390501786</v>
      </c>
      <c r="AH311">
        <f t="shared" si="150"/>
        <v>0</v>
      </c>
      <c r="AI311">
        <f t="shared" si="155"/>
        <v>0</v>
      </c>
    </row>
    <row r="312" spans="1:35" x14ac:dyDescent="0.25">
      <c r="A312" s="335">
        <v>21753.5</v>
      </c>
      <c r="B312" s="352">
        <f t="shared" si="151"/>
        <v>21.753499999999999</v>
      </c>
      <c r="C312" s="325">
        <f t="shared" si="126"/>
        <v>13.596992748288191</v>
      </c>
      <c r="D312" s="326">
        <f t="shared" si="127"/>
        <v>1.4971841895924767</v>
      </c>
      <c r="E312" s="326">
        <f t="shared" si="128"/>
        <v>1.000040688067209</v>
      </c>
      <c r="F312" s="327">
        <f t="shared" si="129"/>
        <v>9.02071922386612E-3</v>
      </c>
      <c r="G312" s="326">
        <f t="shared" si="130"/>
        <v>1</v>
      </c>
      <c r="H312" s="327">
        <f t="shared" si="131"/>
        <v>0</v>
      </c>
      <c r="I312" s="325">
        <f t="shared" si="132"/>
        <v>34118.369283031148</v>
      </c>
      <c r="J312" s="328">
        <f t="shared" si="133"/>
        <v>1.5707670170705119</v>
      </c>
      <c r="K312" s="336">
        <f t="shared" si="153"/>
        <v>2.9016798464518816</v>
      </c>
      <c r="L312" s="337">
        <f t="shared" si="154"/>
        <v>1.2189538915103575</v>
      </c>
      <c r="M312" s="325">
        <f t="shared" si="134"/>
        <v>1.008032023784815</v>
      </c>
      <c r="N312" s="337">
        <f t="shared" si="135"/>
        <v>0.12632203713947027</v>
      </c>
      <c r="O312" s="343">
        <f t="shared" si="136"/>
        <v>1.0079578662298458</v>
      </c>
      <c r="P312" s="691">
        <f t="shared" si="137"/>
        <v>0.12574139415439881</v>
      </c>
      <c r="Q312" s="336">
        <f t="shared" si="152"/>
        <v>4.2482346495498096</v>
      </c>
      <c r="R312" s="692">
        <f t="shared" si="138"/>
        <v>0.20897374076057834</v>
      </c>
      <c r="S312" s="329">
        <f t="shared" si="139"/>
        <v>0.99642446653208427</v>
      </c>
      <c r="T312" s="330">
        <f t="shared" si="140"/>
        <v>0.12621319226503819</v>
      </c>
      <c r="U312" s="331">
        <f t="shared" si="141"/>
        <v>-3.3203079321039777</v>
      </c>
      <c r="V312" s="332">
        <f t="shared" si="142"/>
        <v>-124.6609584947627</v>
      </c>
      <c r="W312" s="334">
        <f t="shared" si="143"/>
        <v>55.339041505237304</v>
      </c>
      <c r="Y312" s="307">
        <f t="shared" si="144"/>
        <v>21753.5</v>
      </c>
      <c r="Z312" s="307">
        <f t="shared" si="145"/>
        <v>473214762.25</v>
      </c>
      <c r="AB312" s="333">
        <f t="shared" si="146"/>
        <v>16.230962372257405</v>
      </c>
      <c r="AC312" s="334">
        <f t="shared" si="147"/>
        <v>-27.39512689079293</v>
      </c>
      <c r="AE312" s="333">
        <f t="shared" si="148"/>
        <v>4.9852518887305095</v>
      </c>
      <c r="AF312" s="334">
        <f t="shared" si="149"/>
        <v>-92.496969419016423</v>
      </c>
      <c r="AH312">
        <f t="shared" si="150"/>
        <v>0</v>
      </c>
      <c r="AI312">
        <f t="shared" si="155"/>
        <v>0</v>
      </c>
    </row>
    <row r="313" spans="1:35" x14ac:dyDescent="0.25">
      <c r="A313" s="335">
        <v>21878</v>
      </c>
      <c r="B313" s="352">
        <f t="shared" si="151"/>
        <v>21.878</v>
      </c>
      <c r="C313" s="325">
        <f t="shared" si="126"/>
        <v>13.674391561059389</v>
      </c>
      <c r="D313" s="326">
        <f t="shared" si="127"/>
        <v>1.4976015915487568</v>
      </c>
      <c r="E313" s="326">
        <f t="shared" si="128"/>
        <v>1.0000411551236168</v>
      </c>
      <c r="F313" s="327">
        <f t="shared" si="129"/>
        <v>9.0723439322818455E-3</v>
      </c>
      <c r="G313" s="326">
        <f t="shared" si="130"/>
        <v>1</v>
      </c>
      <c r="H313" s="327">
        <f t="shared" si="131"/>
        <v>0</v>
      </c>
      <c r="I313" s="325">
        <f t="shared" si="132"/>
        <v>34313.63611237349</v>
      </c>
      <c r="J313" s="328">
        <f t="shared" si="133"/>
        <v>1.5707671838618402</v>
      </c>
      <c r="K313" s="336">
        <f t="shared" si="153"/>
        <v>2.9163193580383133</v>
      </c>
      <c r="L313" s="337">
        <f t="shared" si="154"/>
        <v>1.2207961492855457</v>
      </c>
      <c r="M313" s="325">
        <f t="shared" si="134"/>
        <v>1.0081238533917225</v>
      </c>
      <c r="N313" s="337">
        <f t="shared" si="135"/>
        <v>0.12703727391483297</v>
      </c>
      <c r="O313" s="343">
        <f t="shared" si="136"/>
        <v>1.0080488513695165</v>
      </c>
      <c r="P313" s="691">
        <f t="shared" si="137"/>
        <v>0.12645341368006682</v>
      </c>
      <c r="Q313" s="336">
        <f t="shared" si="152"/>
        <v>4.2492754553536454</v>
      </c>
      <c r="R313" s="692">
        <f t="shared" si="138"/>
        <v>0.21013536448178652</v>
      </c>
      <c r="S313" s="329">
        <f t="shared" si="139"/>
        <v>0.99638411856828457</v>
      </c>
      <c r="T313" s="330">
        <f t="shared" si="140"/>
        <v>0.12694459959522697</v>
      </c>
      <c r="U313" s="331">
        <f t="shared" si="141"/>
        <v>-3.377247814553892</v>
      </c>
      <c r="V313" s="332">
        <f t="shared" si="142"/>
        <v>-124.68501897304186</v>
      </c>
      <c r="W313" s="334">
        <f t="shared" si="143"/>
        <v>55.314981026958137</v>
      </c>
      <c r="Y313" s="307">
        <f t="shared" si="144"/>
        <v>21878</v>
      </c>
      <c r="Z313" s="307">
        <f t="shared" si="145"/>
        <v>478646884</v>
      </c>
      <c r="AB313" s="333">
        <f t="shared" si="146"/>
        <v>16.224313370306</v>
      </c>
      <c r="AC313" s="334">
        <f t="shared" si="147"/>
        <v>-27.33056290044571</v>
      </c>
      <c r="AE313" s="333">
        <f t="shared" si="148"/>
        <v>4.9363047545129914</v>
      </c>
      <c r="AF313" s="334">
        <f t="shared" si="149"/>
        <v>-92.559833464757531</v>
      </c>
      <c r="AH313">
        <f t="shared" si="150"/>
        <v>0</v>
      </c>
      <c r="AI313">
        <f t="shared" si="155"/>
        <v>0</v>
      </c>
    </row>
    <row r="314" spans="1:35" x14ac:dyDescent="0.25">
      <c r="A314" s="335">
        <v>22005.25</v>
      </c>
      <c r="B314" s="352">
        <f t="shared" si="151"/>
        <v>22.00525</v>
      </c>
      <c r="C314" s="325">
        <f t="shared" si="126"/>
        <v>13.753502420074339</v>
      </c>
      <c r="D314" s="326">
        <f t="shared" si="127"/>
        <v>1.4980233584333797</v>
      </c>
      <c r="E314" s="326">
        <f t="shared" si="128"/>
        <v>1.0000416352507047</v>
      </c>
      <c r="F314" s="327">
        <f t="shared" si="129"/>
        <v>9.1251088955269094E-3</v>
      </c>
      <c r="G314" s="326">
        <f t="shared" si="130"/>
        <v>1</v>
      </c>
      <c r="H314" s="327">
        <f t="shared" si="131"/>
        <v>0</v>
      </c>
      <c r="I314" s="325">
        <f t="shared" si="132"/>
        <v>34513.216064453285</v>
      </c>
      <c r="J314" s="328">
        <f t="shared" si="133"/>
        <v>1.5707673523869981</v>
      </c>
      <c r="K314" s="336">
        <f t="shared" si="153"/>
        <v>2.9312923571066976</v>
      </c>
      <c r="L314" s="337">
        <f t="shared" si="154"/>
        <v>1.222660077581045</v>
      </c>
      <c r="M314" s="325">
        <f t="shared" si="134"/>
        <v>1.0082182441975391</v>
      </c>
      <c r="N314" s="337">
        <f t="shared" si="135"/>
        <v>0.12776817407161134</v>
      </c>
      <c r="O314" s="343">
        <f t="shared" si="136"/>
        <v>1.008142374234043</v>
      </c>
      <c r="P314" s="691">
        <f t="shared" si="137"/>
        <v>0.12718102735674416</v>
      </c>
      <c r="Q314" s="336">
        <f t="shared" si="152"/>
        <v>4.2503451232039859</v>
      </c>
      <c r="R314" s="692">
        <f t="shared" si="138"/>
        <v>0.2113220595404964</v>
      </c>
      <c r="S314" s="329">
        <f t="shared" si="139"/>
        <v>0.9963426579710416</v>
      </c>
      <c r="T314" s="330">
        <f t="shared" si="140"/>
        <v>0.12769232283051768</v>
      </c>
      <c r="U314" s="331">
        <f t="shared" si="141"/>
        <v>-3.4350744545244534</v>
      </c>
      <c r="V314" s="332">
        <f t="shared" si="142"/>
        <v>-124.71039796242954</v>
      </c>
      <c r="W314" s="334">
        <f t="shared" si="143"/>
        <v>55.289602037570461</v>
      </c>
      <c r="Y314" s="307">
        <f t="shared" si="144"/>
        <v>22005.25</v>
      </c>
      <c r="Z314" s="307">
        <f t="shared" si="145"/>
        <v>484231027.5625</v>
      </c>
      <c r="AB314" s="333">
        <f t="shared" si="146"/>
        <v>16.217607469089575</v>
      </c>
      <c r="AC314" s="334">
        <f t="shared" si="147"/>
        <v>-27.265654825733552</v>
      </c>
      <c r="AE314" s="333">
        <f t="shared" si="148"/>
        <v>4.8865644291925383</v>
      </c>
      <c r="AF314" s="334">
        <f t="shared" si="149"/>
        <v>-92.623817103183839</v>
      </c>
      <c r="AH314">
        <f t="shared" si="150"/>
        <v>0</v>
      </c>
      <c r="AI314">
        <f t="shared" si="155"/>
        <v>0</v>
      </c>
    </row>
    <row r="315" spans="1:35" x14ac:dyDescent="0.25">
      <c r="A315" s="335">
        <v>22132.5</v>
      </c>
      <c r="B315" s="352">
        <f t="shared" si="151"/>
        <v>22.1325</v>
      </c>
      <c r="C315" s="325">
        <f t="shared" si="126"/>
        <v>13.832615697677856</v>
      </c>
      <c r="D315" s="326">
        <f t="shared" si="127"/>
        <v>1.4984403009444698</v>
      </c>
      <c r="E315" s="326">
        <f t="shared" si="128"/>
        <v>1.0000421181620474</v>
      </c>
      <c r="F315" s="327">
        <f t="shared" si="129"/>
        <v>9.1778738079594281E-3</v>
      </c>
      <c r="G315" s="326">
        <f t="shared" si="130"/>
        <v>1</v>
      </c>
      <c r="H315" s="327">
        <f t="shared" si="131"/>
        <v>0</v>
      </c>
      <c r="I315" s="325">
        <f t="shared" si="132"/>
        <v>34712.796016534048</v>
      </c>
      <c r="J315" s="328">
        <f t="shared" si="133"/>
        <v>1.5707675189742976</v>
      </c>
      <c r="K315" s="336">
        <f t="shared" si="153"/>
        <v>2.9462754366244108</v>
      </c>
      <c r="L315" s="337">
        <f t="shared" si="154"/>
        <v>1.22450505447591</v>
      </c>
      <c r="M315" s="325">
        <f t="shared" si="134"/>
        <v>1.0083131735076962</v>
      </c>
      <c r="N315" s="337">
        <f t="shared" si="135"/>
        <v>0.12849893699510676</v>
      </c>
      <c r="O315" s="343">
        <f t="shared" si="136"/>
        <v>1.0082364307317997</v>
      </c>
      <c r="P315" s="691">
        <f t="shared" si="137"/>
        <v>0.12790850566305659</v>
      </c>
      <c r="Q315" s="336">
        <f t="shared" si="152"/>
        <v>4.2514207231128811</v>
      </c>
      <c r="R315" s="692">
        <f t="shared" si="138"/>
        <v>0.21250815833882419</v>
      </c>
      <c r="S315" s="329">
        <f t="shared" si="139"/>
        <v>0.99630097383344773</v>
      </c>
      <c r="T315" s="330">
        <f t="shared" si="140"/>
        <v>0.12844020907373929</v>
      </c>
      <c r="U315" s="331">
        <f t="shared" si="141"/>
        <v>-3.4925313018369124</v>
      </c>
      <c r="V315" s="332">
        <f t="shared" si="142"/>
        <v>-124.73656133245409</v>
      </c>
      <c r="W315" s="334">
        <f t="shared" si="143"/>
        <v>55.263438667545913</v>
      </c>
      <c r="Y315" s="307">
        <f t="shared" si="144"/>
        <v>22132.5</v>
      </c>
      <c r="Z315" s="307">
        <f t="shared" si="145"/>
        <v>489847556.25</v>
      </c>
      <c r="AB315" s="333">
        <f t="shared" si="146"/>
        <v>16.210990551123082</v>
      </c>
      <c r="AC315" s="334">
        <f t="shared" si="147"/>
        <v>-27.201824612375823</v>
      </c>
      <c r="AE315" s="333">
        <f t="shared" si="148"/>
        <v>4.8371119602203043</v>
      </c>
      <c r="AF315" s="334">
        <f t="shared" si="149"/>
        <v>-92.687533667945431</v>
      </c>
      <c r="AH315">
        <f t="shared" si="150"/>
        <v>0</v>
      </c>
      <c r="AI315">
        <f t="shared" si="155"/>
        <v>0</v>
      </c>
    </row>
    <row r="316" spans="1:35" x14ac:dyDescent="0.25">
      <c r="A316" s="335">
        <v>22259.75</v>
      </c>
      <c r="B316" s="352">
        <f t="shared" si="151"/>
        <v>22.25975</v>
      </c>
      <c r="C316" s="325">
        <f t="shared" si="126"/>
        <v>13.911731352607827</v>
      </c>
      <c r="D316" s="326">
        <f t="shared" si="127"/>
        <v>1.4988525012440734</v>
      </c>
      <c r="E316" s="326">
        <f t="shared" si="128"/>
        <v>1.0000426038576404</v>
      </c>
      <c r="F316" s="327">
        <f t="shared" si="129"/>
        <v>9.2306386692856627E-3</v>
      </c>
      <c r="G316" s="326">
        <f t="shared" si="130"/>
        <v>1</v>
      </c>
      <c r="H316" s="327">
        <f t="shared" si="131"/>
        <v>0</v>
      </c>
      <c r="I316" s="325">
        <f t="shared" si="132"/>
        <v>34912.375968615779</v>
      </c>
      <c r="J316" s="328">
        <f t="shared" si="133"/>
        <v>1.5707676836569722</v>
      </c>
      <c r="K316" s="336">
        <f t="shared" si="153"/>
        <v>2.9612684435798244</v>
      </c>
      <c r="L316" s="337">
        <f t="shared" si="154"/>
        <v>1.2263313551683985</v>
      </c>
      <c r="M316" s="325">
        <f t="shared" si="134"/>
        <v>1.0084086411701132</v>
      </c>
      <c r="N316" s="337">
        <f t="shared" si="135"/>
        <v>0.12922956194371046</v>
      </c>
      <c r="O316" s="343">
        <f t="shared" si="136"/>
        <v>1.0083310207134557</v>
      </c>
      <c r="P316" s="691">
        <f t="shared" si="137"/>
        <v>0.12863584786699517</v>
      </c>
      <c r="Q316" s="336">
        <f t="shared" si="152"/>
        <v>4.2525022505794086</v>
      </c>
      <c r="R316" s="692">
        <f t="shared" si="138"/>
        <v>0.21369365803542598</v>
      </c>
      <c r="S316" s="329">
        <f t="shared" si="139"/>
        <v>0.9962590664509986</v>
      </c>
      <c r="T316" s="330">
        <f t="shared" si="140"/>
        <v>0.1291882592667965</v>
      </c>
      <c r="U316" s="331">
        <f t="shared" si="141"/>
        <v>-3.5496234995207931</v>
      </c>
      <c r="V316" s="332">
        <f t="shared" si="142"/>
        <v>-124.76349791549637</v>
      </c>
      <c r="W316" s="334">
        <f t="shared" si="143"/>
        <v>55.236502084503627</v>
      </c>
      <c r="Y316" s="307">
        <f t="shared" si="144"/>
        <v>22259.75</v>
      </c>
      <c r="Z316" s="307">
        <f t="shared" si="145"/>
        <v>495496470.0625</v>
      </c>
      <c r="AB316" s="333">
        <f t="shared" si="146"/>
        <v>16.204460686356448</v>
      </c>
      <c r="AC316" s="334">
        <f t="shared" si="147"/>
        <v>-27.139056452086852</v>
      </c>
      <c r="AE316" s="333">
        <f t="shared" si="148"/>
        <v>4.7879441190629661</v>
      </c>
      <c r="AF316" s="334">
        <f t="shared" si="149"/>
        <v>-92.750987920564796</v>
      </c>
      <c r="AH316">
        <f t="shared" si="150"/>
        <v>0</v>
      </c>
      <c r="AI316">
        <f t="shared" si="155"/>
        <v>0</v>
      </c>
    </row>
    <row r="317" spans="1:35" x14ac:dyDescent="0.25">
      <c r="A317" s="335">
        <v>22387</v>
      </c>
      <c r="B317" s="352">
        <f t="shared" si="151"/>
        <v>22.387</v>
      </c>
      <c r="C317" s="325">
        <f t="shared" si="126"/>
        <v>13.990849344534235</v>
      </c>
      <c r="D317" s="326">
        <f t="shared" si="127"/>
        <v>1.4992600396422679</v>
      </c>
      <c r="E317" s="326">
        <f t="shared" si="128"/>
        <v>1.0000430923374799</v>
      </c>
      <c r="F317" s="327">
        <f t="shared" si="129"/>
        <v>9.2834034792118811E-3</v>
      </c>
      <c r="G317" s="326">
        <f t="shared" si="130"/>
        <v>1</v>
      </c>
      <c r="H317" s="327">
        <f t="shared" si="131"/>
        <v>0</v>
      </c>
      <c r="I317" s="325">
        <f t="shared" si="132"/>
        <v>35111.955920698427</v>
      </c>
      <c r="J317" s="328">
        <f t="shared" si="133"/>
        <v>1.5707678464675006</v>
      </c>
      <c r="K317" s="336">
        <f t="shared" si="153"/>
        <v>2.9762712279441312</v>
      </c>
      <c r="L317" s="337">
        <f t="shared" si="154"/>
        <v>1.2281392498117565</v>
      </c>
      <c r="M317" s="325">
        <f t="shared" si="134"/>
        <v>1.0085046470319043</v>
      </c>
      <c r="N317" s="337">
        <f t="shared" si="135"/>
        <v>0.12996004817668297</v>
      </c>
      <c r="O317" s="343">
        <f t="shared" si="136"/>
        <v>1.0084261440288891</v>
      </c>
      <c r="P317" s="691">
        <f t="shared" si="137"/>
        <v>0.12936305323740085</v>
      </c>
      <c r="Q317" s="336">
        <f t="shared" si="152"/>
        <v>4.2535897010824337</v>
      </c>
      <c r="R317" s="692">
        <f t="shared" si="138"/>
        <v>0.21487855579851839</v>
      </c>
      <c r="S317" s="329">
        <f t="shared" si="139"/>
        <v>0.9962169361209553</v>
      </c>
      <c r="T317" s="330">
        <f t="shared" si="140"/>
        <v>0.12993647435156269</v>
      </c>
      <c r="U317" s="331">
        <f t="shared" si="141"/>
        <v>-3.6063560878033707</v>
      </c>
      <c r="V317" s="332">
        <f t="shared" si="142"/>
        <v>-124.79119672738901</v>
      </c>
      <c r="W317" s="334">
        <f t="shared" si="143"/>
        <v>55.208803272610993</v>
      </c>
      <c r="Y317" s="307">
        <f t="shared" si="144"/>
        <v>22387</v>
      </c>
      <c r="Z317" s="307">
        <f t="shared" si="145"/>
        <v>501177769</v>
      </c>
      <c r="AB317" s="333">
        <f t="shared" si="146"/>
        <v>16.198015993480439</v>
      </c>
      <c r="AC317" s="334">
        <f t="shared" si="147"/>
        <v>-27.077334825645472</v>
      </c>
      <c r="AE317" s="333">
        <f t="shared" si="148"/>
        <v>4.7390577311883124</v>
      </c>
      <c r="AF317" s="334">
        <f t="shared" si="149"/>
        <v>-92.814184516452613</v>
      </c>
      <c r="AH317">
        <f t="shared" si="150"/>
        <v>0</v>
      </c>
      <c r="AI317">
        <f t="shared" si="155"/>
        <v>0</v>
      </c>
    </row>
    <row r="318" spans="1:35" x14ac:dyDescent="0.25">
      <c r="A318" s="335">
        <v>22517.5</v>
      </c>
      <c r="B318" s="352">
        <f t="shared" si="151"/>
        <v>22.517499999999998</v>
      </c>
      <c r="C318" s="325">
        <f t="shared" si="126"/>
        <v>14.071990417735776</v>
      </c>
      <c r="D318" s="326">
        <f t="shared" si="127"/>
        <v>1.4996732268876816</v>
      </c>
      <c r="E318" s="326">
        <f t="shared" si="128"/>
        <v>1.0000435961850449</v>
      </c>
      <c r="F318" s="327">
        <f t="shared" si="129"/>
        <v>9.337515863202913E-3</v>
      </c>
      <c r="G318" s="326">
        <f t="shared" si="130"/>
        <v>1</v>
      </c>
      <c r="H318" s="327">
        <f t="shared" si="131"/>
        <v>0</v>
      </c>
      <c r="I318" s="325">
        <f t="shared" si="132"/>
        <v>35316.633199652519</v>
      </c>
      <c r="J318" s="328">
        <f t="shared" si="133"/>
        <v>1.5707680115250213</v>
      </c>
      <c r="K318" s="336">
        <f t="shared" si="153"/>
        <v>2.9916671886404238</v>
      </c>
      <c r="L318" s="337">
        <f t="shared" si="154"/>
        <v>1.2299744791622125</v>
      </c>
      <c r="M318" s="325">
        <f t="shared" si="134"/>
        <v>1.0086036637423703</v>
      </c>
      <c r="N318" s="337">
        <f t="shared" si="135"/>
        <v>0.1307090463788502</v>
      </c>
      <c r="O318" s="343">
        <f t="shared" si="136"/>
        <v>1.0085242506018433</v>
      </c>
      <c r="P318" s="691">
        <f t="shared" si="137"/>
        <v>0.13010868874769979</v>
      </c>
      <c r="Q318" s="336">
        <f t="shared" si="152"/>
        <v>4.2547110724956845</v>
      </c>
      <c r="R318" s="692">
        <f t="shared" si="138"/>
        <v>0.21609308803010949</v>
      </c>
      <c r="S318" s="329">
        <f t="shared" si="139"/>
        <v>0.99617349852240777</v>
      </c>
      <c r="T318" s="330">
        <f t="shared" si="140"/>
        <v>0.13070397130450651</v>
      </c>
      <c r="U318" s="331">
        <f t="shared" si="141"/>
        <v>-3.6641693124713717</v>
      </c>
      <c r="V318" s="332">
        <f t="shared" si="142"/>
        <v>-124.8203833375882</v>
      </c>
      <c r="W318" s="334">
        <f t="shared" si="143"/>
        <v>55.179616662411803</v>
      </c>
      <c r="Y318" s="307">
        <f t="shared" si="144"/>
        <v>22517.5</v>
      </c>
      <c r="Z318" s="307">
        <f t="shared" si="145"/>
        <v>507037806.25</v>
      </c>
      <c r="AB318" s="333">
        <f t="shared" si="146"/>
        <v>16.191493243239947</v>
      </c>
      <c r="AC318" s="334">
        <f t="shared" si="147"/>
        <v>-27.015107822301097</v>
      </c>
      <c r="AE318" s="333">
        <f t="shared" si="148"/>
        <v>4.6892118295992722</v>
      </c>
      <c r="AF318" s="334">
        <f t="shared" si="149"/>
        <v>-92.878732326807963</v>
      </c>
      <c r="AH318">
        <f t="shared" si="150"/>
        <v>0</v>
      </c>
      <c r="AI318">
        <f t="shared" si="155"/>
        <v>0</v>
      </c>
    </row>
    <row r="319" spans="1:35" x14ac:dyDescent="0.25">
      <c r="A319" s="335">
        <v>22648</v>
      </c>
      <c r="B319" s="352">
        <f t="shared" si="151"/>
        <v>22.648</v>
      </c>
      <c r="C319" s="325">
        <f t="shared" si="126"/>
        <v>14.153133865812777</v>
      </c>
      <c r="D319" s="326">
        <f t="shared" si="127"/>
        <v>1.5000816763910017</v>
      </c>
      <c r="E319" s="326">
        <f t="shared" si="128"/>
        <v>1.0000441029608849</v>
      </c>
      <c r="F319" s="327">
        <f t="shared" si="129"/>
        <v>9.3916281925091171E-3</v>
      </c>
      <c r="G319" s="326">
        <f t="shared" si="130"/>
        <v>1</v>
      </c>
      <c r="H319" s="327">
        <f t="shared" si="131"/>
        <v>0</v>
      </c>
      <c r="I319" s="325">
        <f t="shared" si="132"/>
        <v>35521.310478607564</v>
      </c>
      <c r="J319" s="328">
        <f t="shared" si="133"/>
        <v>1.5707681746803868</v>
      </c>
      <c r="K319" s="336">
        <f t="shared" si="153"/>
        <v>3.0070731222739577</v>
      </c>
      <c r="L319" s="337">
        <f t="shared" si="154"/>
        <v>1.2317909099664683</v>
      </c>
      <c r="M319" s="325">
        <f t="shared" si="134"/>
        <v>1.0087032461665133</v>
      </c>
      <c r="N319" s="337">
        <f t="shared" si="135"/>
        <v>0.13145789711403627</v>
      </c>
      <c r="O319" s="343">
        <f t="shared" si="136"/>
        <v>1.0086229177770987</v>
      </c>
      <c r="P319" s="691">
        <f t="shared" si="137"/>
        <v>0.13085417879082886</v>
      </c>
      <c r="Q319" s="336">
        <f t="shared" si="152"/>
        <v>4.2558386636646777</v>
      </c>
      <c r="R319" s="692">
        <f t="shared" si="138"/>
        <v>0.21730698118681099</v>
      </c>
      <c r="S319" s="329">
        <f t="shared" si="139"/>
        <v>0.99612982708151487</v>
      </c>
      <c r="T319" s="330">
        <f t="shared" si="140"/>
        <v>0.13147164368587205</v>
      </c>
      <c r="U319" s="331">
        <f t="shared" si="141"/>
        <v>-3.7216147410127149</v>
      </c>
      <c r="V319" s="332">
        <f t="shared" si="142"/>
        <v>-124.85034878710141</v>
      </c>
      <c r="W319" s="334">
        <f t="shared" si="143"/>
        <v>55.14965121289859</v>
      </c>
      <c r="Y319" s="307">
        <f t="shared" si="144"/>
        <v>22648</v>
      </c>
      <c r="Z319" s="307">
        <f t="shared" si="145"/>
        <v>512931904</v>
      </c>
      <c r="AB319" s="333">
        <f t="shared" si="146"/>
        <v>16.185056214378484</v>
      </c>
      <c r="AC319" s="334">
        <f t="shared" si="147"/>
        <v>-26.953949338095072</v>
      </c>
      <c r="AE319" s="333">
        <f t="shared" si="148"/>
        <v>4.6396553480197342</v>
      </c>
      <c r="AF319" s="334">
        <f t="shared" si="149"/>
        <v>-92.943018738978012</v>
      </c>
      <c r="AH319">
        <f t="shared" si="150"/>
        <v>0</v>
      </c>
      <c r="AI319">
        <f t="shared" si="155"/>
        <v>0</v>
      </c>
    </row>
    <row r="320" spans="1:35" x14ac:dyDescent="0.25">
      <c r="A320" s="335">
        <v>22778.5</v>
      </c>
      <c r="B320" s="352">
        <f t="shared" si="151"/>
        <v>22.778500000000001</v>
      </c>
      <c r="C320" s="325">
        <f t="shared" si="126"/>
        <v>14.234279648150842</v>
      </c>
      <c r="D320" s="326">
        <f t="shared" si="127"/>
        <v>1.500485469040528</v>
      </c>
      <c r="E320" s="326">
        <f t="shared" si="128"/>
        <v>1.0000446126649949</v>
      </c>
      <c r="F320" s="327">
        <f t="shared" si="129"/>
        <v>9.4457404668136756E-3</v>
      </c>
      <c r="G320" s="326">
        <f t="shared" si="130"/>
        <v>1</v>
      </c>
      <c r="H320" s="327">
        <f t="shared" si="131"/>
        <v>0</v>
      </c>
      <c r="I320" s="325">
        <f t="shared" si="132"/>
        <v>35725.98775756354</v>
      </c>
      <c r="J320" s="328">
        <f t="shared" si="133"/>
        <v>1.5707683359662898</v>
      </c>
      <c r="K320" s="336">
        <f t="shared" si="153"/>
        <v>3.0224888763455064</v>
      </c>
      <c r="L320" s="337">
        <f t="shared" si="154"/>
        <v>1.2335888177832421</v>
      </c>
      <c r="M320" s="325">
        <f t="shared" si="134"/>
        <v>1.0088033941368029</v>
      </c>
      <c r="N320" s="337">
        <f t="shared" si="135"/>
        <v>0.13220659958615988</v>
      </c>
      <c r="O320" s="343">
        <f t="shared" si="136"/>
        <v>1.0087221453901514</v>
      </c>
      <c r="P320" s="691">
        <f t="shared" si="137"/>
        <v>0.1315995225809761</v>
      </c>
      <c r="Q320" s="336">
        <f t="shared" si="152"/>
        <v>4.2569724696472866</v>
      </c>
      <c r="R320" s="692">
        <f t="shared" si="138"/>
        <v>0.21852023224580616</v>
      </c>
      <c r="S320" s="329">
        <f t="shared" si="139"/>
        <v>0.99608592212469216</v>
      </c>
      <c r="T320" s="330">
        <f t="shared" si="140"/>
        <v>0.13223949251145084</v>
      </c>
      <c r="U320" s="331">
        <f t="shared" si="141"/>
        <v>-3.7786974899693195</v>
      </c>
      <c r="V320" s="332">
        <f t="shared" si="142"/>
        <v>-124.88108180844405</v>
      </c>
      <c r="W320" s="334">
        <f t="shared" si="143"/>
        <v>55.118918191555949</v>
      </c>
      <c r="Y320" s="307">
        <f t="shared" si="144"/>
        <v>22778.5</v>
      </c>
      <c r="Z320" s="307">
        <f t="shared" si="145"/>
        <v>518860062.25</v>
      </c>
      <c r="AB320" s="333">
        <f t="shared" si="146"/>
        <v>16.178703028136898</v>
      </c>
      <c r="AC320" s="334">
        <f t="shared" si="147"/>
        <v>-26.893843540936906</v>
      </c>
      <c r="AE320" s="333">
        <f t="shared" si="148"/>
        <v>4.5903850316308361</v>
      </c>
      <c r="AF320" s="334">
        <f t="shared" si="149"/>
        <v>-93.007048445739699</v>
      </c>
      <c r="AH320">
        <f t="shared" si="150"/>
        <v>0</v>
      </c>
      <c r="AI320">
        <f t="shared" si="155"/>
        <v>0</v>
      </c>
    </row>
    <row r="321" spans="1:35" x14ac:dyDescent="0.25">
      <c r="A321" s="335">
        <v>22909</v>
      </c>
      <c r="B321" s="352">
        <f t="shared" si="151"/>
        <v>22.908999999999999</v>
      </c>
      <c r="C321" s="325">
        <f t="shared" si="126"/>
        <v>14.315427725055288</v>
      </c>
      <c r="D321" s="326">
        <f t="shared" si="127"/>
        <v>1.5008846838966285</v>
      </c>
      <c r="E321" s="326">
        <f t="shared" si="128"/>
        <v>1.000045125297371</v>
      </c>
      <c r="F321" s="327">
        <f t="shared" si="129"/>
        <v>9.4998526857997777E-3</v>
      </c>
      <c r="G321" s="326">
        <f t="shared" si="130"/>
        <v>1</v>
      </c>
      <c r="H321" s="327">
        <f t="shared" si="131"/>
        <v>0</v>
      </c>
      <c r="I321" s="325">
        <f t="shared" si="132"/>
        <v>35930.665036520433</v>
      </c>
      <c r="J321" s="328">
        <f t="shared" si="133"/>
        <v>1.5707684954146783</v>
      </c>
      <c r="K321" s="336">
        <f t="shared" si="153"/>
        <v>3.0379143013550136</v>
      </c>
      <c r="L321" s="337">
        <f t="shared" si="154"/>
        <v>1.2353684730588683</v>
      </c>
      <c r="M321" s="325">
        <f t="shared" si="134"/>
        <v>1.0089041074848235</v>
      </c>
      <c r="N321" s="337">
        <f t="shared" si="135"/>
        <v>0.1329551530001197</v>
      </c>
      <c r="O321" s="343">
        <f t="shared" si="136"/>
        <v>1.008821933275627</v>
      </c>
      <c r="P321" s="691">
        <f t="shared" si="137"/>
        <v>0.1323447193332879</v>
      </c>
      <c r="Q321" s="336">
        <f t="shared" si="152"/>
        <v>4.2581124854794243</v>
      </c>
      <c r="R321" s="692">
        <f t="shared" si="138"/>
        <v>0.21973283819498593</v>
      </c>
      <c r="S321" s="329">
        <f t="shared" si="139"/>
        <v>0.99604178398031273</v>
      </c>
      <c r="T321" s="330">
        <f t="shared" si="140"/>
        <v>0.13300751879699613</v>
      </c>
      <c r="U321" s="331">
        <f t="shared" si="141"/>
        <v>-3.8354225734243337</v>
      </c>
      <c r="V321" s="332">
        <f t="shared" si="142"/>
        <v>-124.91257132288662</v>
      </c>
      <c r="W321" s="334">
        <f t="shared" si="143"/>
        <v>55.08742867711338</v>
      </c>
      <c r="Y321" s="307">
        <f t="shared" si="144"/>
        <v>22909</v>
      </c>
      <c r="Z321" s="307">
        <f t="shared" si="145"/>
        <v>524822281</v>
      </c>
      <c r="AB321" s="333">
        <f t="shared" si="146"/>
        <v>16.172431853543081</v>
      </c>
      <c r="AC321" s="334">
        <f t="shared" si="147"/>
        <v>-26.83477489166755</v>
      </c>
      <c r="AE321" s="333">
        <f t="shared" si="148"/>
        <v>4.5413976802206975</v>
      </c>
      <c r="AF321" s="334">
        <f t="shared" si="149"/>
        <v>-93.0708260351349</v>
      </c>
      <c r="AH321">
        <f t="shared" si="150"/>
        <v>0</v>
      </c>
      <c r="AI321">
        <f t="shared" si="155"/>
        <v>0</v>
      </c>
    </row>
    <row r="322" spans="1:35" x14ac:dyDescent="0.25">
      <c r="A322" s="335">
        <v>23042.25</v>
      </c>
      <c r="B322" s="352">
        <f t="shared" si="151"/>
        <v>23.042249999999999</v>
      </c>
      <c r="C322" s="325">
        <f t="shared" si="126"/>
        <v>14.39828814619891</v>
      </c>
      <c r="D322" s="326">
        <f t="shared" si="127"/>
        <v>1.5012876681104854</v>
      </c>
      <c r="E322" s="326">
        <f t="shared" si="128"/>
        <v>1.0000456517538165</v>
      </c>
      <c r="F322" s="327">
        <f t="shared" si="129"/>
        <v>9.5551051431797679E-3</v>
      </c>
      <c r="G322" s="326">
        <f t="shared" si="130"/>
        <v>1</v>
      </c>
      <c r="H322" s="327">
        <f t="shared" si="131"/>
        <v>0</v>
      </c>
      <c r="I322" s="325">
        <f t="shared" si="132"/>
        <v>36139.655438214904</v>
      </c>
      <c r="J322" s="328">
        <f t="shared" si="133"/>
        <v>1.5707686563595258</v>
      </c>
      <c r="K322" s="336">
        <f t="shared" si="153"/>
        <v>3.0536746097051637</v>
      </c>
      <c r="L322" s="337">
        <f t="shared" si="154"/>
        <v>1.2371670728987225</v>
      </c>
      <c r="M322" s="325">
        <f t="shared" si="134"/>
        <v>1.0090075263432541</v>
      </c>
      <c r="N322" s="337">
        <f t="shared" si="135"/>
        <v>0.1337193259001544</v>
      </c>
      <c r="O322" s="343">
        <f t="shared" si="136"/>
        <v>1.0089244019047885</v>
      </c>
      <c r="P322" s="691">
        <f t="shared" si="137"/>
        <v>0.13310546693268829</v>
      </c>
      <c r="Q322" s="336">
        <f t="shared" si="152"/>
        <v>4.2592829269694423</v>
      </c>
      <c r="R322" s="692">
        <f t="shared" si="138"/>
        <v>0.2209703283800418</v>
      </c>
      <c r="S322" s="329">
        <f t="shared" si="139"/>
        <v>0.99599647545482817</v>
      </c>
      <c r="T322" s="330">
        <f t="shared" si="140"/>
        <v>0.1337919137086396</v>
      </c>
      <c r="U322" s="331">
        <f t="shared" si="141"/>
        <v>-3.8929790683773802</v>
      </c>
      <c r="V322" s="332">
        <f t="shared" si="142"/>
        <v>-124.94549366454818</v>
      </c>
      <c r="W322" s="334">
        <f t="shared" si="143"/>
        <v>55.054506335451819</v>
      </c>
      <c r="Y322" s="307">
        <f t="shared" si="144"/>
        <v>23042.25</v>
      </c>
      <c r="Z322" s="307">
        <f t="shared" si="145"/>
        <v>530945285.0625</v>
      </c>
      <c r="AB322" s="333">
        <f t="shared" si="146"/>
        <v>16.166111295839364</v>
      </c>
      <c r="AC322" s="334">
        <f t="shared" si="147"/>
        <v>-26.775515815194041</v>
      </c>
      <c r="AE322" s="333">
        <f t="shared" si="148"/>
        <v>4.4916667309005796</v>
      </c>
      <c r="AF322" s="334">
        <f t="shared" si="149"/>
        <v>-93.135692115166535</v>
      </c>
      <c r="AH322">
        <f t="shared" si="150"/>
        <v>0</v>
      </c>
      <c r="AI322">
        <f t="shared" si="155"/>
        <v>0</v>
      </c>
    </row>
    <row r="323" spans="1:35" x14ac:dyDescent="0.25">
      <c r="A323" s="335">
        <v>23175.5</v>
      </c>
      <c r="B323" s="352">
        <f t="shared" si="151"/>
        <v>23.1755</v>
      </c>
      <c r="C323" s="325">
        <f t="shared" si="126"/>
        <v>14.481150878812246</v>
      </c>
      <c r="D323" s="326">
        <f t="shared" si="127"/>
        <v>1.5016860405487351</v>
      </c>
      <c r="E323" s="326">
        <f t="shared" si="128"/>
        <v>1.0000461812632322</v>
      </c>
      <c r="F323" s="327">
        <f t="shared" si="129"/>
        <v>9.6103575422177446E-3</v>
      </c>
      <c r="G323" s="326">
        <f t="shared" si="130"/>
        <v>1</v>
      </c>
      <c r="H323" s="327">
        <f t="shared" si="131"/>
        <v>0</v>
      </c>
      <c r="I323" s="325">
        <f t="shared" si="132"/>
        <v>36348.645839910292</v>
      </c>
      <c r="J323" s="328">
        <f t="shared" si="133"/>
        <v>1.5707688154536343</v>
      </c>
      <c r="K323" s="336">
        <f t="shared" si="153"/>
        <v>3.0694446951121348</v>
      </c>
      <c r="L323" s="337">
        <f t="shared" si="154"/>
        <v>1.2389471968815378</v>
      </c>
      <c r="M323" s="325">
        <f t="shared" si="134"/>
        <v>1.0091115343009696</v>
      </c>
      <c r="N323" s="337">
        <f t="shared" si="135"/>
        <v>0.13448334172143506</v>
      </c>
      <c r="O323" s="343">
        <f t="shared" si="136"/>
        <v>1.0090274543169511</v>
      </c>
      <c r="P323" s="691">
        <f t="shared" si="137"/>
        <v>0.13386605958123152</v>
      </c>
      <c r="Q323" s="336">
        <f t="shared" si="152"/>
        <v>4.2604598322547291</v>
      </c>
      <c r="R323" s="692">
        <f t="shared" si="138"/>
        <v>0.22220713966757233</v>
      </c>
      <c r="S323" s="329">
        <f t="shared" si="139"/>
        <v>0.99595092450858214</v>
      </c>
      <c r="T323" s="330">
        <f t="shared" si="140"/>
        <v>0.13457649577842765</v>
      </c>
      <c r="U323" s="331">
        <f t="shared" si="141"/>
        <v>-3.950172915074976</v>
      </c>
      <c r="V323" s="332">
        <f t="shared" si="142"/>
        <v>-124.97918196035603</v>
      </c>
      <c r="W323" s="334">
        <f t="shared" si="143"/>
        <v>55.02081803964397</v>
      </c>
      <c r="Y323" s="307">
        <f t="shared" si="144"/>
        <v>23175.5</v>
      </c>
      <c r="Z323" s="307">
        <f t="shared" si="145"/>
        <v>537103800.25</v>
      </c>
      <c r="AB323" s="333">
        <f t="shared" si="146"/>
        <v>16.159872530748704</v>
      </c>
      <c r="AC323" s="334">
        <f t="shared" si="147"/>
        <v>-26.717306221363767</v>
      </c>
      <c r="AE323" s="333">
        <f t="shared" si="148"/>
        <v>4.4422242234879148</v>
      </c>
      <c r="AF323" s="334">
        <f t="shared" si="149"/>
        <v>-93.200304686634041</v>
      </c>
      <c r="AH323">
        <f t="shared" si="150"/>
        <v>0</v>
      </c>
      <c r="AI323">
        <f t="shared" si="155"/>
        <v>0</v>
      </c>
    </row>
    <row r="324" spans="1:35" x14ac:dyDescent="0.25">
      <c r="A324" s="335">
        <v>23308.75</v>
      </c>
      <c r="B324" s="352">
        <f t="shared" si="151"/>
        <v>23.30875</v>
      </c>
      <c r="C324" s="325">
        <f t="shared" si="126"/>
        <v>14.564015883441607</v>
      </c>
      <c r="D324" s="326">
        <f t="shared" si="127"/>
        <v>1.5020798798028183</v>
      </c>
      <c r="E324" s="326">
        <f t="shared" si="128"/>
        <v>1.0000467138256133</v>
      </c>
      <c r="F324" s="327">
        <f t="shared" si="129"/>
        <v>9.665609882576448E-3</v>
      </c>
      <c r="G324" s="326">
        <f t="shared" si="130"/>
        <v>1</v>
      </c>
      <c r="H324" s="327">
        <f t="shared" si="131"/>
        <v>0</v>
      </c>
      <c r="I324" s="325">
        <f t="shared" si="132"/>
        <v>36557.636241606589</v>
      </c>
      <c r="J324" s="328">
        <f t="shared" si="133"/>
        <v>1.5707689727287444</v>
      </c>
      <c r="K324" s="336">
        <f t="shared" si="153"/>
        <v>3.0852244076500241</v>
      </c>
      <c r="L324" s="337">
        <f t="shared" si="154"/>
        <v>1.2407091171284266</v>
      </c>
      <c r="M324" s="325">
        <f t="shared" si="134"/>
        <v>1.0092161311758356</v>
      </c>
      <c r="N324" s="337">
        <f t="shared" si="135"/>
        <v>0.13524719962072201</v>
      </c>
      <c r="O324" s="343">
        <f t="shared" si="136"/>
        <v>1.0091310903332666</v>
      </c>
      <c r="P324" s="691">
        <f t="shared" si="137"/>
        <v>0.13462649644651623</v>
      </c>
      <c r="Q324" s="336">
        <f t="shared" si="152"/>
        <v>4.2616431959805068</v>
      </c>
      <c r="R324" s="692">
        <f t="shared" si="138"/>
        <v>0.22344326888577382</v>
      </c>
      <c r="S324" s="329">
        <f t="shared" si="139"/>
        <v>0.99590513149747195</v>
      </c>
      <c r="T324" s="330">
        <f t="shared" si="140"/>
        <v>0.13536126608756183</v>
      </c>
      <c r="U324" s="331">
        <f t="shared" si="141"/>
        <v>-4.0070091374265395</v>
      </c>
      <c r="V324" s="332">
        <f t="shared" si="142"/>
        <v>-125.01362500331099</v>
      </c>
      <c r="W324" s="334">
        <f t="shared" si="143"/>
        <v>54.986374996689008</v>
      </c>
      <c r="Y324" s="307">
        <f t="shared" si="144"/>
        <v>23308.75</v>
      </c>
      <c r="Z324" s="307">
        <f t="shared" si="145"/>
        <v>543297826.5625</v>
      </c>
      <c r="AB324" s="333">
        <f t="shared" si="146"/>
        <v>16.153713754267496</v>
      </c>
      <c r="AC324" s="334">
        <f t="shared" si="147"/>
        <v>-26.660130472289961</v>
      </c>
      <c r="AE324" s="333">
        <f t="shared" si="148"/>
        <v>4.3930669196663947</v>
      </c>
      <c r="AF324" s="334">
        <f t="shared" si="149"/>
        <v>-93.264668314462924</v>
      </c>
      <c r="AH324">
        <f t="shared" si="150"/>
        <v>0</v>
      </c>
      <c r="AI324">
        <f t="shared" si="155"/>
        <v>0</v>
      </c>
    </row>
    <row r="325" spans="1:35" x14ac:dyDescent="0.25">
      <c r="A325" s="335">
        <v>23442</v>
      </c>
      <c r="B325" s="352">
        <f t="shared" si="151"/>
        <v>23.442</v>
      </c>
      <c r="C325" s="325">
        <f t="shared" si="126"/>
        <v>14.646883121525084</v>
      </c>
      <c r="D325" s="326">
        <f t="shared" si="127"/>
        <v>1.5024692626912963</v>
      </c>
      <c r="E325" s="326">
        <f t="shared" si="128"/>
        <v>1.0000472494409547</v>
      </c>
      <c r="F325" s="327">
        <f t="shared" si="129"/>
        <v>9.7208621639186202E-3</v>
      </c>
      <c r="G325" s="326">
        <f t="shared" si="130"/>
        <v>1</v>
      </c>
      <c r="H325" s="327">
        <f t="shared" si="131"/>
        <v>0</v>
      </c>
      <c r="I325" s="325">
        <f t="shared" si="132"/>
        <v>36766.626643303789</v>
      </c>
      <c r="J325" s="328">
        <f t="shared" si="133"/>
        <v>1.5707691282158749</v>
      </c>
      <c r="K325" s="336">
        <f t="shared" si="153"/>
        <v>3.1010136003539621</v>
      </c>
      <c r="L325" s="337">
        <f t="shared" si="154"/>
        <v>1.2424531006755239</v>
      </c>
      <c r="M325" s="325">
        <f t="shared" si="134"/>
        <v>1.0093213167847621</v>
      </c>
      <c r="N325" s="337">
        <f t="shared" si="135"/>
        <v>0.13601089875586136</v>
      </c>
      <c r="O325" s="343">
        <f t="shared" si="136"/>
        <v>1.0092353097739493</v>
      </c>
      <c r="P325" s="691">
        <f t="shared" si="137"/>
        <v>0.13538677669720262</v>
      </c>
      <c r="Q325" s="336">
        <f t="shared" si="152"/>
        <v>4.2628330127685734</v>
      </c>
      <c r="R325" s="692">
        <f t="shared" si="138"/>
        <v>0.22467871287462177</v>
      </c>
      <c r="S325" s="329">
        <f t="shared" si="139"/>
        <v>0.99585909677952777</v>
      </c>
      <c r="T325" s="330">
        <f t="shared" si="140"/>
        <v>0.13614622571719834</v>
      </c>
      <c r="U325" s="331">
        <f t="shared" si="141"/>
        <v>-4.063492659005429</v>
      </c>
      <c r="V325" s="332">
        <f t="shared" si="142"/>
        <v>-125.04881177681564</v>
      </c>
      <c r="W325" s="334">
        <f t="shared" si="143"/>
        <v>54.95118822318436</v>
      </c>
      <c r="Y325" s="307">
        <f t="shared" si="144"/>
        <v>23442</v>
      </c>
      <c r="Z325" s="307">
        <f t="shared" si="145"/>
        <v>549527364</v>
      </c>
      <c r="AB325" s="333">
        <f t="shared" si="146"/>
        <v>16.147633208402429</v>
      </c>
      <c r="AC325" s="334">
        <f t="shared" si="147"/>
        <v>-26.603973221454471</v>
      </c>
      <c r="AE325" s="333">
        <f t="shared" si="148"/>
        <v>4.3441916353772996</v>
      </c>
      <c r="AF325" s="334">
        <f t="shared" si="149"/>
        <v>-93.32878746199755</v>
      </c>
      <c r="AH325">
        <f t="shared" si="150"/>
        <v>0</v>
      </c>
      <c r="AI325">
        <f t="shared" si="155"/>
        <v>0</v>
      </c>
    </row>
    <row r="326" spans="1:35" x14ac:dyDescent="0.25">
      <c r="A326" s="335">
        <v>23578.5</v>
      </c>
      <c r="B326" s="352">
        <f t="shared" si="151"/>
        <v>23.578499999999998</v>
      </c>
      <c r="C326" s="325">
        <f t="shared" si="126"/>
        <v>14.731773788189269</v>
      </c>
      <c r="D326" s="326">
        <f t="shared" si="127"/>
        <v>1.5028636004818685</v>
      </c>
      <c r="E326" s="326">
        <f t="shared" si="128"/>
        <v>1.000047801285642</v>
      </c>
      <c r="F326" s="327">
        <f t="shared" si="129"/>
        <v>9.77746200033313E-3</v>
      </c>
      <c r="G326" s="326">
        <f t="shared" si="130"/>
        <v>1</v>
      </c>
      <c r="H326" s="327">
        <f t="shared" si="131"/>
        <v>0</v>
      </c>
      <c r="I326" s="325">
        <f t="shared" si="132"/>
        <v>36980.714371872564</v>
      </c>
      <c r="J326" s="328">
        <f t="shared" si="133"/>
        <v>1.5707692856731361</v>
      </c>
      <c r="K326" s="336">
        <f t="shared" si="153"/>
        <v>3.1171975745555396</v>
      </c>
      <c r="L326" s="337">
        <f t="shared" si="154"/>
        <v>1.2442212960579633</v>
      </c>
      <c r="M326" s="325">
        <f t="shared" si="134"/>
        <v>1.0094296781521814</v>
      </c>
      <c r="N326" s="337">
        <f t="shared" si="135"/>
        <v>0.13679305920019266</v>
      </c>
      <c r="O326" s="343">
        <f t="shared" si="136"/>
        <v>1.0093426759059849</v>
      </c>
      <c r="P326" s="691">
        <f t="shared" si="137"/>
        <v>0.13616543710976478</v>
      </c>
      <c r="Q326" s="336">
        <f t="shared" si="152"/>
        <v>4.2640585349012303</v>
      </c>
      <c r="R326" s="692">
        <f t="shared" si="138"/>
        <v>0.22594357585035946</v>
      </c>
      <c r="S326" s="329">
        <f t="shared" si="139"/>
        <v>0.99581168901842243</v>
      </c>
      <c r="T326" s="330">
        <f t="shared" si="140"/>
        <v>0.13695052813692696</v>
      </c>
      <c r="U326" s="331">
        <f t="shared" si="141"/>
        <v>-4.1209931619578279</v>
      </c>
      <c r="V326" s="332">
        <f t="shared" si="142"/>
        <v>-125.08561660640373</v>
      </c>
      <c r="W326" s="334">
        <f t="shared" si="143"/>
        <v>54.914383393596268</v>
      </c>
      <c r="Y326" s="307">
        <f t="shared" si="144"/>
        <v>23578.5</v>
      </c>
      <c r="Z326" s="307">
        <f t="shared" si="145"/>
        <v>555945662.25</v>
      </c>
      <c r="AB326" s="333">
        <f t="shared" si="146"/>
        <v>16.141483681805727</v>
      </c>
      <c r="AC326" s="334">
        <f t="shared" si="147"/>
        <v>-26.54748660262042</v>
      </c>
      <c r="AE326" s="333">
        <f t="shared" si="148"/>
        <v>4.2944134196437966</v>
      </c>
      <c r="AF326" s="334">
        <f t="shared" si="149"/>
        <v>-93.394221555529555</v>
      </c>
      <c r="AH326">
        <f t="shared" si="150"/>
        <v>0</v>
      </c>
      <c r="AI326">
        <f t="shared" si="155"/>
        <v>0</v>
      </c>
    </row>
    <row r="327" spans="1:35" x14ac:dyDescent="0.25">
      <c r="A327" s="335">
        <v>23715</v>
      </c>
      <c r="B327" s="352">
        <f t="shared" si="151"/>
        <v>23.715</v>
      </c>
      <c r="C327" s="325">
        <f t="shared" si="126"/>
        <v>14.816666719427733</v>
      </c>
      <c r="D327" s="326">
        <f t="shared" si="127"/>
        <v>1.5032534195710652</v>
      </c>
      <c r="E327" s="326">
        <f t="shared" si="128"/>
        <v>1.0000483563340206</v>
      </c>
      <c r="F327" s="327">
        <f t="shared" si="129"/>
        <v>9.8340617741007035E-3</v>
      </c>
      <c r="G327" s="326">
        <f t="shared" si="130"/>
        <v>1</v>
      </c>
      <c r="H327" s="327">
        <f t="shared" si="131"/>
        <v>0</v>
      </c>
      <c r="I327" s="325">
        <f t="shared" si="132"/>
        <v>37194.802100442233</v>
      </c>
      <c r="J327" s="328">
        <f t="shared" si="133"/>
        <v>1.5707694413177964</v>
      </c>
      <c r="K327" s="336">
        <f t="shared" si="153"/>
        <v>3.1333911940282766</v>
      </c>
      <c r="L327" s="337">
        <f t="shared" si="154"/>
        <v>1.2459712205106568</v>
      </c>
      <c r="M327" s="325">
        <f t="shared" si="134"/>
        <v>1.0095386569306108</v>
      </c>
      <c r="N327" s="337">
        <f t="shared" si="135"/>
        <v>0.13757505125582628</v>
      </c>
      <c r="O327" s="343">
        <f t="shared" si="136"/>
        <v>1.0094506538842385</v>
      </c>
      <c r="P327" s="691">
        <f t="shared" si="137"/>
        <v>0.13694393141220856</v>
      </c>
      <c r="Q327" s="336">
        <f t="shared" si="152"/>
        <v>4.2652908172185144</v>
      </c>
      <c r="R327" s="692">
        <f t="shared" si="138"/>
        <v>0.22720771308834392</v>
      </c>
      <c r="S327" s="329">
        <f t="shared" si="139"/>
        <v>0.99576402838356448</v>
      </c>
      <c r="T327" s="330">
        <f t="shared" si="140"/>
        <v>0.13775503152152699</v>
      </c>
      <c r="U327" s="331">
        <f t="shared" si="141"/>
        <v>-4.1781336970629841</v>
      </c>
      <c r="V327" s="332">
        <f t="shared" si="142"/>
        <v>-125.12317908254803</v>
      </c>
      <c r="W327" s="334">
        <f t="shared" si="143"/>
        <v>54.876820917451965</v>
      </c>
      <c r="Y327" s="307">
        <f t="shared" si="144"/>
        <v>23715</v>
      </c>
      <c r="Z327" s="307">
        <f t="shared" si="145"/>
        <v>562401225</v>
      </c>
      <c r="AB327" s="333">
        <f t="shared" si="146"/>
        <v>16.135412656024425</v>
      </c>
      <c r="AC327" s="334">
        <f t="shared" si="147"/>
        <v>-26.492037079133681</v>
      </c>
      <c r="AE327" s="333">
        <f t="shared" si="148"/>
        <v>4.2449245535994002</v>
      </c>
      <c r="AF327" s="334">
        <f t="shared" si="149"/>
        <v>-93.459408264571934</v>
      </c>
      <c r="AH327">
        <f t="shared" si="150"/>
        <v>0</v>
      </c>
      <c r="AI327">
        <f t="shared" si="155"/>
        <v>0</v>
      </c>
    </row>
    <row r="328" spans="1:35" x14ac:dyDescent="0.25">
      <c r="A328" s="335">
        <v>23851.5</v>
      </c>
      <c r="B328" s="352">
        <f t="shared" si="151"/>
        <v>23.851500000000001</v>
      </c>
      <c r="C328" s="325">
        <f t="shared" si="126"/>
        <v>14.901561876537217</v>
      </c>
      <c r="D328" s="326">
        <f t="shared" si="127"/>
        <v>1.5036387970693872</v>
      </c>
      <c r="E328" s="326">
        <f t="shared" si="128"/>
        <v>1.0000489145860847</v>
      </c>
      <c r="F328" s="327">
        <f t="shared" si="129"/>
        <v>9.8906614848588079E-3</v>
      </c>
      <c r="G328" s="326">
        <f t="shared" si="130"/>
        <v>1</v>
      </c>
      <c r="H328" s="327">
        <f t="shared" si="131"/>
        <v>0</v>
      </c>
      <c r="I328" s="325">
        <f t="shared" si="132"/>
        <v>37408.889829012805</v>
      </c>
      <c r="J328" s="328">
        <f t="shared" si="133"/>
        <v>1.5707695951809757</v>
      </c>
      <c r="K328" s="336">
        <f t="shared" si="153"/>
        <v>3.1495943099988701</v>
      </c>
      <c r="L328" s="337">
        <f t="shared" si="154"/>
        <v>1.2477031452176885</v>
      </c>
      <c r="M328" s="325">
        <f t="shared" si="134"/>
        <v>1.0096482529201252</v>
      </c>
      <c r="N328" s="337">
        <f t="shared" si="135"/>
        <v>0.13835687402104963</v>
      </c>
      <c r="O328" s="343">
        <f t="shared" si="136"/>
        <v>1.0095592435123883</v>
      </c>
      <c r="P328" s="691">
        <f t="shared" si="137"/>
        <v>0.137722258714367</v>
      </c>
      <c r="Q328" s="336">
        <f t="shared" si="152"/>
        <v>4.2665298538633172</v>
      </c>
      <c r="R328" s="692">
        <f t="shared" si="138"/>
        <v>0.2284711212303169</v>
      </c>
      <c r="S328" s="329">
        <f t="shared" si="139"/>
        <v>0.99571611526679704</v>
      </c>
      <c r="T328" s="330">
        <f t="shared" si="140"/>
        <v>0.13855973703305391</v>
      </c>
      <c r="U328" s="331">
        <f t="shared" si="141"/>
        <v>-4.2349192461225753</v>
      </c>
      <c r="V328" s="332">
        <f t="shared" si="142"/>
        <v>-125.1614879609603</v>
      </c>
      <c r="W328" s="334">
        <f t="shared" si="143"/>
        <v>54.838512039039699</v>
      </c>
      <c r="Y328" s="307">
        <f t="shared" si="144"/>
        <v>23851.5</v>
      </c>
      <c r="Z328" s="307">
        <f t="shared" si="145"/>
        <v>568894052.25</v>
      </c>
      <c r="AB328" s="333">
        <f t="shared" si="146"/>
        <v>16.129418382606747</v>
      </c>
      <c r="AC328" s="334">
        <f t="shared" si="147"/>
        <v>-26.437609063409486</v>
      </c>
      <c r="AE328" s="333">
        <f t="shared" si="148"/>
        <v>4.1957217838114733</v>
      </c>
      <c r="AF328" s="334">
        <f t="shared" si="149"/>
        <v>-93.524352073832603</v>
      </c>
      <c r="AH328">
        <f t="shared" si="150"/>
        <v>0</v>
      </c>
      <c r="AI328">
        <f t="shared" si="155"/>
        <v>0</v>
      </c>
    </row>
    <row r="329" spans="1:35" x14ac:dyDescent="0.25">
      <c r="A329" s="335">
        <v>23988</v>
      </c>
      <c r="B329" s="352">
        <f t="shared" si="151"/>
        <v>23.988</v>
      </c>
      <c r="C329" s="325">
        <f t="shared" si="126"/>
        <v>14.986459221690437</v>
      </c>
      <c r="D329" s="326">
        <f t="shared" si="127"/>
        <v>1.5040198083453766</v>
      </c>
      <c r="E329" s="326">
        <f t="shared" si="128"/>
        <v>1.0000494760418293</v>
      </c>
      <c r="F329" s="327">
        <f t="shared" si="129"/>
        <v>9.9472611322449066E-3</v>
      </c>
      <c r="G329" s="326">
        <f t="shared" si="130"/>
        <v>1</v>
      </c>
      <c r="H329" s="327">
        <f t="shared" si="131"/>
        <v>0</v>
      </c>
      <c r="I329" s="325">
        <f t="shared" si="132"/>
        <v>37622.97755758425</v>
      </c>
      <c r="J329" s="328">
        <f t="shared" si="133"/>
        <v>1.5707697472930859</v>
      </c>
      <c r="K329" s="336">
        <f t="shared" si="153"/>
        <v>3.1658067766534459</v>
      </c>
      <c r="L329" s="337">
        <f t="shared" si="154"/>
        <v>1.249417336244911</v>
      </c>
      <c r="M329" s="325">
        <f t="shared" si="134"/>
        <v>1.0097584659197538</v>
      </c>
      <c r="N329" s="337">
        <f t="shared" si="135"/>
        <v>0.13913852659536841</v>
      </c>
      <c r="O329" s="343">
        <f t="shared" si="136"/>
        <v>1.0096684445930866</v>
      </c>
      <c r="P329" s="691">
        <f t="shared" si="137"/>
        <v>0.13850041812726438</v>
      </c>
      <c r="Q329" s="336">
        <f t="shared" si="152"/>
        <v>4.2677756389532462</v>
      </c>
      <c r="R329" s="692">
        <f t="shared" si="138"/>
        <v>0.22973379693114046</v>
      </c>
      <c r="S329" s="329">
        <f t="shared" si="139"/>
        <v>0.99566795006231745</v>
      </c>
      <c r="T329" s="330">
        <f t="shared" si="140"/>
        <v>0.13936464583350885</v>
      </c>
      <c r="U329" s="331">
        <f t="shared" si="141"/>
        <v>-4.2913546914023195</v>
      </c>
      <c r="V329" s="332">
        <f t="shared" si="142"/>
        <v>-125.20053219150824</v>
      </c>
      <c r="W329" s="334">
        <f t="shared" si="143"/>
        <v>54.799467808491755</v>
      </c>
      <c r="Y329" s="307">
        <f t="shared" si="144"/>
        <v>23988</v>
      </c>
      <c r="Z329" s="307">
        <f t="shared" si="145"/>
        <v>575424144</v>
      </c>
      <c r="AB329" s="333">
        <f t="shared" si="146"/>
        <v>16.12349915795307</v>
      </c>
      <c r="AC329" s="334">
        <f t="shared" si="147"/>
        <v>-26.384187261145325</v>
      </c>
      <c r="AE329" s="333">
        <f t="shared" si="148"/>
        <v>4.146801911458625</v>
      </c>
      <c r="AF329" s="334">
        <f t="shared" si="149"/>
        <v>-93.589057368209495</v>
      </c>
      <c r="AH329">
        <f t="shared" si="150"/>
        <v>0</v>
      </c>
      <c r="AI329">
        <f t="shared" si="155"/>
        <v>0</v>
      </c>
    </row>
    <row r="330" spans="1:35" x14ac:dyDescent="0.25">
      <c r="A330" s="335">
        <v>24127.75</v>
      </c>
      <c r="B330" s="352">
        <f t="shared" si="151"/>
        <v>24.127749999999999</v>
      </c>
      <c r="C330" s="325">
        <f t="shared" si="126"/>
        <v>15.073380160406982</v>
      </c>
      <c r="D330" s="326">
        <f t="shared" si="127"/>
        <v>1.5044054448450379</v>
      </c>
      <c r="E330" s="326">
        <f t="shared" si="128"/>
        <v>1.0000500541845678</v>
      </c>
      <c r="F330" s="327">
        <f t="shared" si="129"/>
        <v>1.0005208324251245E-2</v>
      </c>
      <c r="G330" s="326">
        <f t="shared" si="130"/>
        <v>1</v>
      </c>
      <c r="H330" s="327">
        <f t="shared" si="131"/>
        <v>0</v>
      </c>
      <c r="I330" s="325">
        <f t="shared" si="132"/>
        <v>37842.162613027329</v>
      </c>
      <c r="J330" s="328">
        <f t="shared" si="133"/>
        <v>1.5707699012438427</v>
      </c>
      <c r="K330" s="336">
        <f t="shared" si="153"/>
        <v>3.1824147924782151</v>
      </c>
      <c r="L330" s="337">
        <f t="shared" si="154"/>
        <v>1.2511542418676644</v>
      </c>
      <c r="M330" s="325">
        <f t="shared" si="134"/>
        <v>1.0098719420485476</v>
      </c>
      <c r="N330" s="337">
        <f t="shared" si="135"/>
        <v>0.1399386126888465</v>
      </c>
      <c r="O330" s="343">
        <f t="shared" si="136"/>
        <v>1.0097808789558167</v>
      </c>
      <c r="P330" s="691">
        <f t="shared" si="137"/>
        <v>0.13929693028530801</v>
      </c>
      <c r="Q330" s="336">
        <f t="shared" si="152"/>
        <v>4.2690580707978478</v>
      </c>
      <c r="R330" s="692">
        <f t="shared" si="138"/>
        <v>0.23102577405251692</v>
      </c>
      <c r="S330" s="329">
        <f t="shared" si="139"/>
        <v>0.99561837731906111</v>
      </c>
      <c r="T330" s="330">
        <f t="shared" si="140"/>
        <v>0.14018893094940713</v>
      </c>
      <c r="U330" s="331">
        <f t="shared" si="141"/>
        <v>-4.3487761273424388</v>
      </c>
      <c r="V330" s="332">
        <f t="shared" si="142"/>
        <v>-125.24125653096273</v>
      </c>
      <c r="W330" s="334">
        <f t="shared" si="143"/>
        <v>54.75874346903727</v>
      </c>
      <c r="Y330" s="307">
        <f t="shared" si="144"/>
        <v>24127.75</v>
      </c>
      <c r="Z330" s="307">
        <f t="shared" si="145"/>
        <v>582148320.0625</v>
      </c>
      <c r="AB330" s="333">
        <f t="shared" si="146"/>
        <v>16.11751501648822</v>
      </c>
      <c r="AC330" s="334">
        <f t="shared" si="147"/>
        <v>-26.330520276619708</v>
      </c>
      <c r="AE330" s="333">
        <f t="shared" si="148"/>
        <v>4.0970070771552694</v>
      </c>
      <c r="AF330" s="334">
        <f t="shared" si="149"/>
        <v>-93.655060640861521</v>
      </c>
      <c r="AH330">
        <f t="shared" si="150"/>
        <v>0</v>
      </c>
      <c r="AI330">
        <f t="shared" si="155"/>
        <v>0</v>
      </c>
    </row>
    <row r="331" spans="1:35" x14ac:dyDescent="0.25">
      <c r="A331" s="335">
        <v>24267.5</v>
      </c>
      <c r="B331" s="352">
        <f t="shared" si="151"/>
        <v>24.267499999999998</v>
      </c>
      <c r="C331" s="325">
        <f t="shared" si="126"/>
        <v>15.160303315063997</v>
      </c>
      <c r="D331" s="326">
        <f t="shared" si="127"/>
        <v>1.5047866592279695</v>
      </c>
      <c r="E331" s="326">
        <f t="shared" si="128"/>
        <v>1.0000506356853476</v>
      </c>
      <c r="F331" s="327">
        <f t="shared" si="129"/>
        <v>1.00631554490629E-2</v>
      </c>
      <c r="G331" s="326">
        <f t="shared" si="130"/>
        <v>1</v>
      </c>
      <c r="H331" s="327">
        <f t="shared" si="131"/>
        <v>0</v>
      </c>
      <c r="I331" s="325">
        <f t="shared" si="132"/>
        <v>38061.347668471295</v>
      </c>
      <c r="J331" s="328">
        <f t="shared" si="133"/>
        <v>1.5707700534214779</v>
      </c>
      <c r="K331" s="336">
        <f t="shared" si="153"/>
        <v>3.1990323094391102</v>
      </c>
      <c r="L331" s="337">
        <f t="shared" si="154"/>
        <v>1.2528731077626927</v>
      </c>
      <c r="M331" s="325">
        <f t="shared" si="134"/>
        <v>1.0099860644889955</v>
      </c>
      <c r="N331" s="337">
        <f t="shared" si="135"/>
        <v>0.14073851848430324</v>
      </c>
      <c r="O331" s="343">
        <f t="shared" si="136"/>
        <v>1.0098939538125786</v>
      </c>
      <c r="P331" s="691">
        <f t="shared" si="137"/>
        <v>0.14009326458222832</v>
      </c>
      <c r="Q331" s="336">
        <f t="shared" si="152"/>
        <v>4.2703475637086292</v>
      </c>
      <c r="R331" s="692">
        <f t="shared" si="138"/>
        <v>0.23231697638553189</v>
      </c>
      <c r="S331" s="329">
        <f t="shared" si="139"/>
        <v>0.99556854118480065</v>
      </c>
      <c r="T331" s="330">
        <f t="shared" si="140"/>
        <v>0.14101343161470717</v>
      </c>
      <c r="U331" s="331">
        <f t="shared" si="141"/>
        <v>-4.405840637612763</v>
      </c>
      <c r="V331" s="332">
        <f t="shared" si="142"/>
        <v>-125.28272882265659</v>
      </c>
      <c r="W331" s="334">
        <f t="shared" si="143"/>
        <v>54.717271177343406</v>
      </c>
      <c r="Y331" s="307">
        <f t="shared" si="144"/>
        <v>24267.5</v>
      </c>
      <c r="Z331" s="307">
        <f t="shared" si="145"/>
        <v>588911556.25</v>
      </c>
      <c r="AB331" s="333">
        <f t="shared" si="146"/>
        <v>16.111606064467242</v>
      </c>
      <c r="AC331" s="334">
        <f t="shared" si="147"/>
        <v>-26.277876460449423</v>
      </c>
      <c r="AE331" s="333">
        <f t="shared" si="148"/>
        <v>4.0475021564052458</v>
      </c>
      <c r="AF331" s="334">
        <f t="shared" si="149"/>
        <v>-93.720822898809118</v>
      </c>
      <c r="AH331">
        <f t="shared" si="150"/>
        <v>0</v>
      </c>
      <c r="AI331">
        <f t="shared" si="155"/>
        <v>0</v>
      </c>
    </row>
    <row r="332" spans="1:35" x14ac:dyDescent="0.25">
      <c r="A332" s="335">
        <v>24407.25</v>
      </c>
      <c r="B332" s="352">
        <f t="shared" si="151"/>
        <v>24.407250000000001</v>
      </c>
      <c r="C332" s="325">
        <f t="shared" si="126"/>
        <v>15.247228647762819</v>
      </c>
      <c r="D332" s="326">
        <f t="shared" si="127"/>
        <v>1.5051635270146428</v>
      </c>
      <c r="E332" s="326">
        <f t="shared" si="128"/>
        <v>1.0000512205441627</v>
      </c>
      <c r="F332" s="327">
        <f t="shared" si="129"/>
        <v>1.0121102506290834E-2</v>
      </c>
      <c r="G332" s="326">
        <f t="shared" si="130"/>
        <v>1</v>
      </c>
      <c r="H332" s="327">
        <f t="shared" si="131"/>
        <v>0</v>
      </c>
      <c r="I332" s="325">
        <f t="shared" si="132"/>
        <v>38280.532723916142</v>
      </c>
      <c r="J332" s="328">
        <f t="shared" si="133"/>
        <v>1.5707702038564484</v>
      </c>
      <c r="K332" s="336">
        <f t="shared" si="153"/>
        <v>3.2156591802394687</v>
      </c>
      <c r="L332" s="337">
        <f t="shared" si="154"/>
        <v>1.2545742035221039</v>
      </c>
      <c r="M332" s="325">
        <f t="shared" si="134"/>
        <v>1.0101008330220342</v>
      </c>
      <c r="N332" s="337">
        <f t="shared" si="135"/>
        <v>0.14153824301938553</v>
      </c>
      <c r="O332" s="343">
        <f t="shared" si="136"/>
        <v>1.010007668948254</v>
      </c>
      <c r="P332" s="691">
        <f t="shared" si="137"/>
        <v>0.14088942006794461</v>
      </c>
      <c r="Q332" s="336">
        <f t="shared" si="152"/>
        <v>4.2716441112914314</v>
      </c>
      <c r="R332" s="692">
        <f t="shared" si="138"/>
        <v>0.23360740038335395</v>
      </c>
      <c r="S332" s="329">
        <f t="shared" si="139"/>
        <v>0.99551844209024809</v>
      </c>
      <c r="T332" s="330">
        <f t="shared" si="140"/>
        <v>0.14183814907621603</v>
      </c>
      <c r="U332" s="331">
        <f t="shared" si="141"/>
        <v>-4.4625531538076881</v>
      </c>
      <c r="V332" s="332">
        <f t="shared" si="142"/>
        <v>-125.32493781638667</v>
      </c>
      <c r="W332" s="334">
        <f t="shared" si="143"/>
        <v>54.675062183613335</v>
      </c>
      <c r="Y332" s="307">
        <f t="shared" si="144"/>
        <v>24407.25</v>
      </c>
      <c r="Z332" s="307">
        <f t="shared" si="145"/>
        <v>595713852.5625</v>
      </c>
      <c r="AB332" s="333">
        <f t="shared" si="146"/>
        <v>16.105770611141569</v>
      </c>
      <c r="AC332" s="334">
        <f t="shared" si="147"/>
        <v>-26.226240312750726</v>
      </c>
      <c r="AE332" s="333">
        <f t="shared" si="148"/>
        <v>3.9982838865011372</v>
      </c>
      <c r="AF332" s="334">
        <f t="shared" si="149"/>
        <v>-93.786348540515647</v>
      </c>
      <c r="AH332">
        <f t="shared" si="150"/>
        <v>0</v>
      </c>
      <c r="AI332">
        <f t="shared" si="155"/>
        <v>0</v>
      </c>
    </row>
    <row r="333" spans="1:35" x14ac:dyDescent="0.25">
      <c r="A333" s="335">
        <v>24547</v>
      </c>
      <c r="B333" s="352">
        <f t="shared" si="151"/>
        <v>24.547000000000001</v>
      </c>
      <c r="C333" s="325">
        <f t="shared" ref="C333:C396" si="156">SQRT(1+(A333/pole1)^2)</f>
        <v>15.33415612146319</v>
      </c>
      <c r="D333" s="326">
        <f t="shared" ref="D333:D396" si="157">ATAN(A333/pole1)</f>
        <v>1.5055361220180676</v>
      </c>
      <c r="E333" s="326">
        <f t="shared" ref="E333:E396" si="158">SQRT(1+(A333/Zero1)^2)</f>
        <v>1.0000518087610073</v>
      </c>
      <c r="F333" s="327">
        <f t="shared" ref="F333:F396" si="159">ATAN(A333/Zero1)</f>
        <v>1.0179049495546003E-2</v>
      </c>
      <c r="G333" s="326">
        <f t="shared" ref="G333:G396" si="160">IF(VIN_nom&gt;Vout, 1, SQRT(1+(A333/z_RHP)^2))</f>
        <v>1</v>
      </c>
      <c r="H333" s="327">
        <f t="shared" ref="H333:H396" si="161">IF(VIN_nom&gt;Vout, 0, -ATAN(A333/z_RHP))</f>
        <v>0</v>
      </c>
      <c r="I333" s="325">
        <f t="shared" ref="I333:I396" si="162">SQRT(1+(A333/Pole2)^2)</f>
        <v>38499.717779361839</v>
      </c>
      <c r="J333" s="328">
        <f t="shared" ref="J333:J396" si="163">ATAN(A333/Pole2)</f>
        <v>1.5707703525785182</v>
      </c>
      <c r="K333" s="336">
        <f t="shared" si="153"/>
        <v>3.2322952605313313</v>
      </c>
      <c r="L333" s="337">
        <f t="shared" si="154"/>
        <v>1.2562577936038999</v>
      </c>
      <c r="M333" s="325">
        <f t="shared" ref="M333:M396" si="164">SQRT(1+(A333/pole4)^2)</f>
        <v>1.0102162474274601</v>
      </c>
      <c r="N333" s="337">
        <f t="shared" ref="N333:N396" si="165">ATAN(A333/pole4)</f>
        <v>0.14233778533310365</v>
      </c>
      <c r="O333" s="343">
        <f t="shared" ref="O333:O396" si="166">IF(VOUT_setting=1,1,SQRT(1+(A333*zterm1)^2))</f>
        <v>1.0101220241466031</v>
      </c>
      <c r="P333" s="691">
        <f t="shared" ref="P333:P396" si="167">IF(VOUT_setting=1,0,ATAN(((A333*zterm1))))</f>
        <v>0.14168539579370953</v>
      </c>
      <c r="Q333" s="336">
        <f t="shared" si="152"/>
        <v>4.2729477071248949</v>
      </c>
      <c r="R333" s="692">
        <f t="shared" ref="R333:R396" si="168">IF(VOUT_setting=1,0,ATAN(A333*$Q$4/(1+Afbr-$Q$5*(A333)^2)))</f>
        <v>0.23489704251372495</v>
      </c>
      <c r="S333" s="329">
        <f t="shared" ref="S333:S396" si="169">SQRT((1-(Z333/pterm2))^2+(A333/pterm1)^2)</f>
        <v>0.99546808046870938</v>
      </c>
      <c r="T333" s="330">
        <f t="shared" ref="T333:T396" si="170">IF((ATAN((A333/pterm1)/(1-A333^2/pterm2))&gt;0),ATAN((A333/pterm1)/(1-A333^2/pterm2)),PI()+ATAN((A333/pterm1)/(1-A333^2/pterm2)))</f>
        <v>0.14266308458067531</v>
      </c>
      <c r="U333" s="331">
        <f t="shared" ref="U333:U396" si="171">20*LOG10(((E333*K333*G333*O333)/(C333*I333*S333*M333*Q333))*Adc)</f>
        <v>-4.5189185090189401</v>
      </c>
      <c r="V333" s="332">
        <f t="shared" ref="V333:V396" si="172">((F333+L333+H333+P333)-(D333+J333+T333+N333+R333))*radconv</f>
        <v>-125.36787245907522</v>
      </c>
      <c r="W333" s="334">
        <f t="shared" ref="W333:W396" si="173">IF(V333&gt;0,V333,V333+180)</f>
        <v>54.632127540924785</v>
      </c>
      <c r="Y333" s="307">
        <f t="shared" ref="Y333:Y396" si="174">IF(U333&lt;0,A333,1000000000)</f>
        <v>24547</v>
      </c>
      <c r="Z333" s="307">
        <f t="shared" ref="Z333:Z396" si="175">A333^2</f>
        <v>602555209</v>
      </c>
      <c r="AB333" s="333">
        <f t="shared" ref="AB333:AB396" si="176">20*LOG10((K333/(I333*M333))*AEA)</f>
        <v>16.100007009355373</v>
      </c>
      <c r="AC333" s="334">
        <f t="shared" ref="AC333:AC396" si="177">(L333-(J333+N333))*radconv</f>
        <v>-26.175596627840953</v>
      </c>
      <c r="AE333" s="333">
        <f t="shared" ref="AE333:AE396" si="178">20*LOG10((E333*G333/(C333*S333))*Acs*Am)</f>
        <v>3.9493490595686098</v>
      </c>
      <c r="AF333" s="334">
        <f t="shared" ref="AF333:AF396" si="179">(F333+H333-(D333+T333))*radconv</f>
        <v>-93.851641866610365</v>
      </c>
      <c r="AH333">
        <f t="shared" ref="AH333:AH396" si="180">SUM((U334&lt;0)*(U333&gt;0))*A333</f>
        <v>0</v>
      </c>
      <c r="AI333">
        <f t="shared" si="155"/>
        <v>0</v>
      </c>
    </row>
    <row r="334" spans="1:35" x14ac:dyDescent="0.25">
      <c r="A334" s="335">
        <v>24690</v>
      </c>
      <c r="B334" s="352">
        <f t="shared" ref="B334:B397" si="181">A334/1000</f>
        <v>24.69</v>
      </c>
      <c r="C334" s="325">
        <f t="shared" si="156"/>
        <v>15.423107342821639</v>
      </c>
      <c r="D334" s="326">
        <f t="shared" si="157"/>
        <v>1.5059130342914251</v>
      </c>
      <c r="E334" s="326">
        <f t="shared" si="158"/>
        <v>1.0000524141333853</v>
      </c>
      <c r="F334" s="327">
        <f t="shared" si="159"/>
        <v>1.0238344018434339E-2</v>
      </c>
      <c r="G334" s="326">
        <f t="shared" si="160"/>
        <v>1</v>
      </c>
      <c r="H334" s="327">
        <f t="shared" si="161"/>
        <v>0</v>
      </c>
      <c r="I334" s="325">
        <f t="shared" si="162"/>
        <v>38724.000161679236</v>
      </c>
      <c r="J334" s="328">
        <f t="shared" si="163"/>
        <v>1.5707705030164663</v>
      </c>
      <c r="K334" s="336">
        <f t="shared" si="153"/>
        <v>3.2493276120926313</v>
      </c>
      <c r="L334" s="337">
        <f t="shared" si="154"/>
        <v>1.2579626864811</v>
      </c>
      <c r="M334" s="325">
        <f t="shared" si="164"/>
        <v>1.0103350142353942</v>
      </c>
      <c r="N334" s="337">
        <f t="shared" si="165"/>
        <v>0.14315573202587201</v>
      </c>
      <c r="O334" s="343">
        <f t="shared" si="166"/>
        <v>1.0102397011049447</v>
      </c>
      <c r="P334" s="691">
        <f t="shared" si="167"/>
        <v>0.14249969551529956</v>
      </c>
      <c r="Q334" s="336">
        <f t="shared" si="152"/>
        <v>4.2742889084393587</v>
      </c>
      <c r="R334" s="692">
        <f t="shared" si="168"/>
        <v>0.23621586329877475</v>
      </c>
      <c r="S334" s="329">
        <f t="shared" si="169"/>
        <v>0.99541627634551311</v>
      </c>
      <c r="T334" s="330">
        <f t="shared" si="170"/>
        <v>0.14350743164031612</v>
      </c>
      <c r="U334" s="331">
        <f t="shared" si="171"/>
        <v>-4.5762402624130507</v>
      </c>
      <c r="V334" s="332">
        <f t="shared" si="172"/>
        <v>-125.41254541273632</v>
      </c>
      <c r="W334" s="334">
        <f t="shared" si="173"/>
        <v>54.587454587263679</v>
      </c>
      <c r="Y334" s="307">
        <f t="shared" si="174"/>
        <v>24690</v>
      </c>
      <c r="Z334" s="307">
        <f t="shared" si="175"/>
        <v>609596100</v>
      </c>
      <c r="AB334" s="333">
        <f t="shared" si="176"/>
        <v>16.094182073810831</v>
      </c>
      <c r="AC334" s="334">
        <f t="shared" si="177"/>
        <v>-26.124786974219234</v>
      </c>
      <c r="AE334" s="333">
        <f t="shared" si="178"/>
        <v>3.8995663304328918</v>
      </c>
      <c r="AF334" s="334">
        <f t="shared" si="179"/>
        <v>-93.918217546248471</v>
      </c>
      <c r="AH334">
        <f t="shared" si="180"/>
        <v>0</v>
      </c>
      <c r="AI334">
        <f t="shared" si="155"/>
        <v>0</v>
      </c>
    </row>
    <row r="335" spans="1:35" x14ac:dyDescent="0.25">
      <c r="A335" s="335">
        <v>24833</v>
      </c>
      <c r="B335" s="352">
        <f t="shared" si="181"/>
        <v>24.832999999999998</v>
      </c>
      <c r="C335" s="325">
        <f t="shared" si="156"/>
        <v>15.512060730102275</v>
      </c>
      <c r="D335" s="326">
        <f t="shared" si="157"/>
        <v>1.5062856238358573</v>
      </c>
      <c r="E335" s="326">
        <f t="shared" si="158"/>
        <v>1.0000530230217839</v>
      </c>
      <c r="F335" s="327">
        <f t="shared" si="159"/>
        <v>1.0297638469327481E-2</v>
      </c>
      <c r="G335" s="326">
        <f t="shared" si="160"/>
        <v>1</v>
      </c>
      <c r="H335" s="327">
        <f t="shared" si="161"/>
        <v>0</v>
      </c>
      <c r="I335" s="325">
        <f t="shared" si="162"/>
        <v>38948.282543997491</v>
      </c>
      <c r="J335" s="328">
        <f t="shared" si="163"/>
        <v>1.5707706517218307</v>
      </c>
      <c r="K335" s="336">
        <f t="shared" si="153"/>
        <v>3.266369309829801</v>
      </c>
      <c r="L335" s="337">
        <f t="shared" si="154"/>
        <v>1.2596497942722171</v>
      </c>
      <c r="M335" s="325">
        <f t="shared" si="164"/>
        <v>1.0104544568354612</v>
      </c>
      <c r="N335" s="337">
        <f t="shared" si="165"/>
        <v>0.14397348589189829</v>
      </c>
      <c r="O335" s="343">
        <f t="shared" si="166"/>
        <v>1.0103580477808047</v>
      </c>
      <c r="P335" s="691">
        <f t="shared" si="167"/>
        <v>0.14331380501321347</v>
      </c>
      <c r="Q335" s="336">
        <f t="shared" ref="Q335:Q398" si="182">IF(VOUT_setting=1,1,SQRT((1+Afbr-$Q$5*(A335)^2)^2+(A335*$Q$4)^2))</f>
        <v>4.2756374759520837</v>
      </c>
      <c r="R335" s="692">
        <f t="shared" si="168"/>
        <v>0.23753385799154866</v>
      </c>
      <c r="S335" s="329">
        <f t="shared" si="169"/>
        <v>0.99536419826905542</v>
      </c>
      <c r="T335" s="330">
        <f t="shared" si="170"/>
        <v>0.14435200964331435</v>
      </c>
      <c r="U335" s="331">
        <f t="shared" si="171"/>
        <v>-4.6332084537251097</v>
      </c>
      <c r="V335" s="332">
        <f t="shared" si="172"/>
        <v>-125.45795535883505</v>
      </c>
      <c r="W335" s="334">
        <f t="shared" si="173"/>
        <v>54.542044641164949</v>
      </c>
      <c r="Y335" s="307">
        <f t="shared" si="174"/>
        <v>24833</v>
      </c>
      <c r="Z335" s="307">
        <f t="shared" si="175"/>
        <v>616677889</v>
      </c>
      <c r="AB335" s="333">
        <f t="shared" si="176"/>
        <v>16.088429015328966</v>
      </c>
      <c r="AC335" s="334">
        <f t="shared" si="177"/>
        <v>-26.074985183541255</v>
      </c>
      <c r="AE335" s="333">
        <f t="shared" si="178"/>
        <v>3.8500737558275149</v>
      </c>
      <c r="AF335" s="334">
        <f t="shared" si="179"/>
        <v>-93.9845587879676</v>
      </c>
      <c r="AH335">
        <f t="shared" si="180"/>
        <v>0</v>
      </c>
      <c r="AI335">
        <f t="shared" si="155"/>
        <v>0</v>
      </c>
    </row>
    <row r="336" spans="1:35" x14ac:dyDescent="0.25">
      <c r="A336" s="335">
        <v>24976</v>
      </c>
      <c r="B336" s="352">
        <f t="shared" si="181"/>
        <v>24.975999999999999</v>
      </c>
      <c r="C336" s="325">
        <f t="shared" si="156"/>
        <v>15.601016246256332</v>
      </c>
      <c r="D336" s="326">
        <f t="shared" si="157"/>
        <v>1.5066539644903936</v>
      </c>
      <c r="E336" s="326">
        <f t="shared" si="158"/>
        <v>1.0000536354261964</v>
      </c>
      <c r="F336" s="327">
        <f t="shared" si="159"/>
        <v>1.0356932847808618E-2</v>
      </c>
      <c r="G336" s="326">
        <f t="shared" si="160"/>
        <v>1</v>
      </c>
      <c r="H336" s="327">
        <f t="shared" si="161"/>
        <v>0</v>
      </c>
      <c r="I336" s="325">
        <f t="shared" si="162"/>
        <v>39172.56492631662</v>
      </c>
      <c r="J336" s="328">
        <f t="shared" si="163"/>
        <v>1.5707707987243711</v>
      </c>
      <c r="K336" s="336">
        <f t="shared" si="153"/>
        <v>3.2834202082165058</v>
      </c>
      <c r="L336" s="337">
        <f t="shared" si="154"/>
        <v>1.2613193843730548</v>
      </c>
      <c r="M336" s="325">
        <f t="shared" si="164"/>
        <v>1.0105745749880406</v>
      </c>
      <c r="N336" s="337">
        <f t="shared" si="165"/>
        <v>0.14479104590605052</v>
      </c>
      <c r="O336" s="343">
        <f t="shared" si="166"/>
        <v>1.0104770639388725</v>
      </c>
      <c r="P336" s="691">
        <f t="shared" si="167"/>
        <v>0.14412772327533677</v>
      </c>
      <c r="Q336" s="336">
        <f t="shared" si="182"/>
        <v>4.2769934026957372</v>
      </c>
      <c r="R336" s="692">
        <f t="shared" si="168"/>
        <v>0.23885102285521187</v>
      </c>
      <c r="S336" s="329">
        <f t="shared" si="169"/>
        <v>0.99531184671202844</v>
      </c>
      <c r="T336" s="330">
        <f t="shared" si="170"/>
        <v>0.14519681992520966</v>
      </c>
      <c r="U336" s="331">
        <f t="shared" si="171"/>
        <v>-4.6898279571534189</v>
      </c>
      <c r="V336" s="332">
        <f t="shared" si="172"/>
        <v>-125.50409107078431</v>
      </c>
      <c r="W336" s="334">
        <f t="shared" si="173"/>
        <v>54.495908929215688</v>
      </c>
      <c r="Y336" s="307">
        <f t="shared" si="174"/>
        <v>24976</v>
      </c>
      <c r="Z336" s="307">
        <f t="shared" si="175"/>
        <v>623800576</v>
      </c>
      <c r="AB336" s="333">
        <f t="shared" si="176"/>
        <v>16.082746202444728</v>
      </c>
      <c r="AC336" s="334">
        <f t="shared" si="177"/>
        <v>-26.026175878125393</v>
      </c>
      <c r="AE336" s="333">
        <f t="shared" si="178"/>
        <v>3.800868069269197</v>
      </c>
      <c r="AF336" s="334">
        <f t="shared" si="179"/>
        <v>-94.050669898977191</v>
      </c>
      <c r="AH336">
        <f t="shared" si="180"/>
        <v>0</v>
      </c>
      <c r="AI336">
        <f t="shared" si="155"/>
        <v>0</v>
      </c>
    </row>
    <row r="337" spans="1:35" x14ac:dyDescent="0.25">
      <c r="A337" s="335">
        <v>25119</v>
      </c>
      <c r="B337" s="352">
        <f t="shared" si="181"/>
        <v>25.119</v>
      </c>
      <c r="C337" s="325">
        <f t="shared" si="156"/>
        <v>15.689973855074379</v>
      </c>
      <c r="D337" s="326">
        <f t="shared" si="157"/>
        <v>1.5070181284241513</v>
      </c>
      <c r="E337" s="326">
        <f t="shared" si="158"/>
        <v>1.0000542513466164</v>
      </c>
      <c r="F337" s="327">
        <f t="shared" si="159"/>
        <v>1.0416227153460951E-2</v>
      </c>
      <c r="G337" s="326">
        <f t="shared" si="160"/>
        <v>1</v>
      </c>
      <c r="H337" s="327">
        <f t="shared" si="161"/>
        <v>0</v>
      </c>
      <c r="I337" s="325">
        <f t="shared" si="162"/>
        <v>39396.84730863657</v>
      </c>
      <c r="J337" s="328">
        <f t="shared" si="163"/>
        <v>1.5707709440531692</v>
      </c>
      <c r="K337" s="336">
        <f t="shared" si="153"/>
        <v>3.3004801646559172</v>
      </c>
      <c r="L337" s="337">
        <f t="shared" si="154"/>
        <v>1.2629717190459524</v>
      </c>
      <c r="M337" s="325">
        <f t="shared" si="164"/>
        <v>1.0106953684522695</v>
      </c>
      <c r="N337" s="337">
        <f t="shared" si="165"/>
        <v>0.14560841104471908</v>
      </c>
      <c r="O337" s="343">
        <f t="shared" si="166"/>
        <v>1.0105967493426165</v>
      </c>
      <c r="P337" s="691">
        <f t="shared" si="167"/>
        <v>0.14494144929104386</v>
      </c>
      <c r="Q337" s="336">
        <f t="shared" si="182"/>
        <v>4.2783566816738201</v>
      </c>
      <c r="R337" s="692">
        <f t="shared" si="168"/>
        <v>0.24016735416907264</v>
      </c>
      <c r="S337" s="329">
        <f t="shared" si="169"/>
        <v>0.99525922214997653</v>
      </c>
      <c r="T337" s="330">
        <f t="shared" si="170"/>
        <v>0.14604186382146328</v>
      </c>
      <c r="U337" s="331">
        <f t="shared" si="171"/>
        <v>-4.7461035496344541</v>
      </c>
      <c r="V337" s="332">
        <f t="shared" si="172"/>
        <v>-125.55094152132713</v>
      </c>
      <c r="W337" s="334">
        <f t="shared" si="173"/>
        <v>54.449058478672868</v>
      </c>
      <c r="Y337" s="307">
        <f t="shared" si="174"/>
        <v>25119</v>
      </c>
      <c r="Z337" s="307">
        <f t="shared" si="175"/>
        <v>630964161</v>
      </c>
      <c r="AB337" s="333">
        <f t="shared" si="176"/>
        <v>16.077132045943575</v>
      </c>
      <c r="AC337" s="334">
        <f t="shared" si="177"/>
        <v>-25.978343974464178</v>
      </c>
      <c r="AE337" s="333">
        <f t="shared" si="178"/>
        <v>3.7519460592049141</v>
      </c>
      <c r="AF337" s="334">
        <f t="shared" si="179"/>
        <v>-94.116555090803274</v>
      </c>
      <c r="AH337">
        <f t="shared" si="180"/>
        <v>0</v>
      </c>
      <c r="AI337">
        <f t="shared" si="155"/>
        <v>0</v>
      </c>
    </row>
    <row r="338" spans="1:35" x14ac:dyDescent="0.25">
      <c r="A338" s="335">
        <v>25265.25</v>
      </c>
      <c r="B338" s="352">
        <f t="shared" si="181"/>
        <v>25.265250000000002</v>
      </c>
      <c r="C338" s="325">
        <f t="shared" si="156"/>
        <v>15.780955355392376</v>
      </c>
      <c r="D338" s="326">
        <f t="shared" si="157"/>
        <v>1.5073863221359514</v>
      </c>
      <c r="E338" s="326">
        <f t="shared" si="158"/>
        <v>1.0000548849020008</v>
      </c>
      <c r="F338" s="327">
        <f t="shared" si="159"/>
        <v>1.0476868981204215E-2</v>
      </c>
      <c r="G338" s="326">
        <f t="shared" si="160"/>
        <v>1</v>
      </c>
      <c r="H338" s="327">
        <f t="shared" si="161"/>
        <v>0</v>
      </c>
      <c r="I338" s="325">
        <f t="shared" si="162"/>
        <v>39626.227017828285</v>
      </c>
      <c r="J338" s="328">
        <f t="shared" si="163"/>
        <v>1.5707710909832797</v>
      </c>
      <c r="K338" s="336">
        <f t="shared" si="153"/>
        <v>3.3179370709503813</v>
      </c>
      <c r="L338" s="337">
        <f t="shared" si="154"/>
        <v>1.2646440267109338</v>
      </c>
      <c r="M338" s="325">
        <f t="shared" si="164"/>
        <v>1.0108196054782292</v>
      </c>
      <c r="N338" s="337">
        <f t="shared" si="165"/>
        <v>0.14644415002932898</v>
      </c>
      <c r="O338" s="343">
        <f t="shared" si="166"/>
        <v>1.0107198468550997</v>
      </c>
      <c r="P338" s="691">
        <f t="shared" si="167"/>
        <v>0.14577346917822231</v>
      </c>
      <c r="Q338" s="336">
        <f t="shared" si="182"/>
        <v>4.279758541720609</v>
      </c>
      <c r="R338" s="692">
        <f t="shared" si="168"/>
        <v>0.24151273606146653</v>
      </c>
      <c r="S338" s="329">
        <f t="shared" si="169"/>
        <v>0.99520511969122527</v>
      </c>
      <c r="T338" s="330">
        <f t="shared" si="170"/>
        <v>0.14690635629134605</v>
      </c>
      <c r="U338" s="331">
        <f t="shared" si="171"/>
        <v>-4.8033072879979803</v>
      </c>
      <c r="V338" s="332">
        <f t="shared" si="172"/>
        <v>-125.59958475634399</v>
      </c>
      <c r="W338" s="334">
        <f t="shared" si="173"/>
        <v>54.400415243656013</v>
      </c>
      <c r="Y338" s="307">
        <f t="shared" si="174"/>
        <v>25265.25</v>
      </c>
      <c r="Z338" s="307">
        <f t="shared" si="175"/>
        <v>638332857.5625</v>
      </c>
      <c r="AB338" s="333">
        <f t="shared" si="176"/>
        <v>16.07145969632726</v>
      </c>
      <c r="AC338" s="334">
        <f t="shared" si="177"/>
        <v>-25.930420538226517</v>
      </c>
      <c r="AE338" s="333">
        <f t="shared" si="178"/>
        <v>3.70220231507618</v>
      </c>
      <c r="AF338" s="334">
        <f t="shared" si="179"/>
        <v>-94.183708285762862</v>
      </c>
      <c r="AH338">
        <f t="shared" si="180"/>
        <v>0</v>
      </c>
      <c r="AI338">
        <f t="shared" si="155"/>
        <v>0</v>
      </c>
    </row>
    <row r="339" spans="1:35" x14ac:dyDescent="0.25">
      <c r="A339" s="335">
        <v>25411.5</v>
      </c>
      <c r="B339" s="352">
        <f t="shared" si="181"/>
        <v>25.4115</v>
      </c>
      <c r="C339" s="325">
        <f t="shared" si="156"/>
        <v>15.871938970554114</v>
      </c>
      <c r="D339" s="326">
        <f t="shared" si="157"/>
        <v>1.5077502946612669</v>
      </c>
      <c r="E339" s="326">
        <f t="shared" si="158"/>
        <v>1.0000555221350136</v>
      </c>
      <c r="F339" s="327">
        <f t="shared" si="159"/>
        <v>1.0537510731888831E-2</v>
      </c>
      <c r="G339" s="326">
        <f t="shared" si="160"/>
        <v>1</v>
      </c>
      <c r="H339" s="327">
        <f t="shared" si="161"/>
        <v>0</v>
      </c>
      <c r="I339" s="325">
        <f t="shared" si="162"/>
        <v>39855.606727020837</v>
      </c>
      <c r="J339" s="328">
        <f t="shared" si="163"/>
        <v>1.570771236222146</v>
      </c>
      <c r="K339" s="336">
        <f t="shared" si="153"/>
        <v>3.3354031590863826</v>
      </c>
      <c r="L339" s="337">
        <f t="shared" si="154"/>
        <v>1.2662988246350904</v>
      </c>
      <c r="M339" s="325">
        <f t="shared" si="164"/>
        <v>1.010944548347082</v>
      </c>
      <c r="N339" s="337">
        <f t="shared" si="165"/>
        <v>0.14727968301905903</v>
      </c>
      <c r="O339" s="343">
        <f t="shared" si="166"/>
        <v>1.0108436438748736</v>
      </c>
      <c r="P339" s="691">
        <f t="shared" si="167"/>
        <v>0.14660528584781171</v>
      </c>
      <c r="Q339" s="336">
        <f t="shared" si="182"/>
        <v>4.2811680770966962</v>
      </c>
      <c r="R339" s="692">
        <f t="shared" si="168"/>
        <v>0.24285723826481456</v>
      </c>
      <c r="S339" s="329">
        <f t="shared" si="169"/>
        <v>0.9951507326923712</v>
      </c>
      <c r="T339" s="330">
        <f t="shared" si="170"/>
        <v>0.14777109594028637</v>
      </c>
      <c r="U339" s="331">
        <f t="shared" si="171"/>
        <v>-4.8601611113788969</v>
      </c>
      <c r="V339" s="332">
        <f t="shared" si="172"/>
        <v>-125.64895287767521</v>
      </c>
      <c r="W339" s="334">
        <f t="shared" si="173"/>
        <v>54.351047122324786</v>
      </c>
      <c r="Y339" s="307">
        <f t="shared" si="174"/>
        <v>25411.5</v>
      </c>
      <c r="Z339" s="307">
        <f t="shared" si="175"/>
        <v>645744332.25</v>
      </c>
      <c r="AB339" s="333">
        <f t="shared" si="176"/>
        <v>16.065855926785069</v>
      </c>
      <c r="AC339" s="334">
        <f t="shared" si="177"/>
        <v>-25.883488436701246</v>
      </c>
      <c r="AE339" s="333">
        <f t="shared" si="178"/>
        <v>3.6527486642752165</v>
      </c>
      <c r="AF339" s="334">
        <f t="shared" si="179"/>
        <v>-94.250633791284031</v>
      </c>
      <c r="AH339">
        <f t="shared" si="180"/>
        <v>0</v>
      </c>
      <c r="AI339">
        <f t="shared" si="155"/>
        <v>0</v>
      </c>
    </row>
    <row r="340" spans="1:35" x14ac:dyDescent="0.25">
      <c r="A340" s="335">
        <v>25557.75</v>
      </c>
      <c r="B340" s="352">
        <f t="shared" si="181"/>
        <v>25.557749999999999</v>
      </c>
      <c r="C340" s="325">
        <f t="shared" si="156"/>
        <v>15.962924664397775</v>
      </c>
      <c r="D340" s="326">
        <f t="shared" si="157"/>
        <v>1.5081101180827561</v>
      </c>
      <c r="E340" s="326">
        <f t="shared" si="158"/>
        <v>1.0000561630456477</v>
      </c>
      <c r="F340" s="327">
        <f t="shared" si="159"/>
        <v>1.0598152405068928E-2</v>
      </c>
      <c r="G340" s="326">
        <f t="shared" si="160"/>
        <v>1</v>
      </c>
      <c r="H340" s="327">
        <f t="shared" si="161"/>
        <v>0</v>
      </c>
      <c r="I340" s="325">
        <f t="shared" si="162"/>
        <v>40084.986436214233</v>
      </c>
      <c r="J340" s="328">
        <f t="shared" si="163"/>
        <v>1.5707713797988014</v>
      </c>
      <c r="K340" s="336">
        <f t="shared" si="153"/>
        <v>3.3528782855715229</v>
      </c>
      <c r="L340" s="337">
        <f t="shared" si="154"/>
        <v>1.2679363774651955</v>
      </c>
      <c r="M340" s="325">
        <f t="shared" si="164"/>
        <v>1.0110701967971545</v>
      </c>
      <c r="N340" s="337">
        <f t="shared" si="165"/>
        <v>0.14811500892389701</v>
      </c>
      <c r="O340" s="343">
        <f t="shared" si="166"/>
        <v>1.0109681401449662</v>
      </c>
      <c r="P340" s="691">
        <f t="shared" si="167"/>
        <v>0.14743689822357928</v>
      </c>
      <c r="Q340" s="336">
        <f t="shared" si="182"/>
        <v>4.2825852802240574</v>
      </c>
      <c r="R340" s="692">
        <f t="shared" si="168"/>
        <v>0.24420085685158935</v>
      </c>
      <c r="S340" s="329">
        <f t="shared" si="169"/>
        <v>0.99509606167139497</v>
      </c>
      <c r="T340" s="330">
        <f t="shared" si="170"/>
        <v>0.14863608419661936</v>
      </c>
      <c r="U340" s="331">
        <f t="shared" si="171"/>
        <v>-4.9166698302580603</v>
      </c>
      <c r="V340" s="332">
        <f t="shared" si="172"/>
        <v>-125.69903470991613</v>
      </c>
      <c r="W340" s="334">
        <f t="shared" si="173"/>
        <v>54.300965290083866</v>
      </c>
      <c r="Y340" s="307">
        <f t="shared" si="174"/>
        <v>25557.75</v>
      </c>
      <c r="Z340" s="307">
        <f t="shared" si="175"/>
        <v>653198585.0625</v>
      </c>
      <c r="AB340" s="333">
        <f t="shared" si="176"/>
        <v>16.060319166193803</v>
      </c>
      <c r="AC340" s="334">
        <f t="shared" si="177"/>
        <v>-25.83753244595556</v>
      </c>
      <c r="AE340" s="333">
        <f t="shared" si="178"/>
        <v>3.6035818416935204</v>
      </c>
      <c r="AF340" s="334">
        <f t="shared" si="179"/>
        <v>-94.317335819261984</v>
      </c>
      <c r="AH340">
        <f t="shared" si="180"/>
        <v>0</v>
      </c>
      <c r="AI340">
        <f t="shared" si="155"/>
        <v>0</v>
      </c>
    </row>
    <row r="341" spans="1:35" x14ac:dyDescent="0.25">
      <c r="A341" s="335">
        <v>25704</v>
      </c>
      <c r="B341" s="352">
        <f t="shared" si="181"/>
        <v>25.704000000000001</v>
      </c>
      <c r="C341" s="325">
        <f t="shared" si="156"/>
        <v>16.053912401580515</v>
      </c>
      <c r="D341" s="326">
        <f t="shared" si="157"/>
        <v>1.5084658628532779</v>
      </c>
      <c r="E341" s="326">
        <f t="shared" si="158"/>
        <v>1.000056807633896</v>
      </c>
      <c r="F341" s="327">
        <f t="shared" si="159"/>
        <v>1.0658794000298651E-2</v>
      </c>
      <c r="G341" s="326">
        <f t="shared" si="160"/>
        <v>1</v>
      </c>
      <c r="H341" s="327">
        <f t="shared" si="161"/>
        <v>0</v>
      </c>
      <c r="I341" s="325">
        <f t="shared" si="162"/>
        <v>40314.366145408429</v>
      </c>
      <c r="J341" s="328">
        <f t="shared" si="163"/>
        <v>1.5707715217416187</v>
      </c>
      <c r="K341" s="336">
        <f t="shared" si="153"/>
        <v>3.370362309815909</v>
      </c>
      <c r="L341" s="337">
        <f t="shared" si="154"/>
        <v>1.2695569447307438</v>
      </c>
      <c r="M341" s="325">
        <f t="shared" si="164"/>
        <v>1.0111965505654259</v>
      </c>
      <c r="N341" s="337">
        <f t="shared" si="165"/>
        <v>0.14895012665552684</v>
      </c>
      <c r="O341" s="343">
        <f t="shared" si="166"/>
        <v>1.0110933354070806</v>
      </c>
      <c r="P341" s="691">
        <f t="shared" si="167"/>
        <v>0.14826830523095119</v>
      </c>
      <c r="Q341" s="336">
        <f t="shared" si="182"/>
        <v>4.2840101434935045</v>
      </c>
      <c r="R341" s="692">
        <f t="shared" si="168"/>
        <v>0.24554358791209796</v>
      </c>
      <c r="S341" s="329">
        <f t="shared" si="169"/>
        <v>0.99504110714940697</v>
      </c>
      <c r="T341" s="330">
        <f t="shared" si="170"/>
        <v>0.14950132248858664</v>
      </c>
      <c r="U341" s="331">
        <f t="shared" si="171"/>
        <v>-4.9728381592781883</v>
      </c>
      <c r="V341" s="332">
        <f t="shared" si="172"/>
        <v>-125.74981927846071</v>
      </c>
      <c r="W341" s="334">
        <f t="shared" si="173"/>
        <v>54.250180721539294</v>
      </c>
      <c r="Y341" s="307">
        <f t="shared" si="174"/>
        <v>25704</v>
      </c>
      <c r="Z341" s="307">
        <f t="shared" si="175"/>
        <v>660695616</v>
      </c>
      <c r="AB341" s="333">
        <f t="shared" si="176"/>
        <v>16.054847884273041</v>
      </c>
      <c r="AC341" s="334">
        <f t="shared" si="177"/>
        <v>-25.792537635314471</v>
      </c>
      <c r="AE341" s="333">
        <f t="shared" si="178"/>
        <v>3.5546986371328773</v>
      </c>
      <c r="AF341" s="334">
        <f t="shared" si="179"/>
        <v>-94.383818488205918</v>
      </c>
      <c r="AH341">
        <f t="shared" si="180"/>
        <v>0</v>
      </c>
      <c r="AI341">
        <f t="shared" si="155"/>
        <v>0</v>
      </c>
    </row>
    <row r="342" spans="1:35" x14ac:dyDescent="0.25">
      <c r="A342" s="335">
        <v>25853.75</v>
      </c>
      <c r="B342" s="352">
        <f t="shared" si="181"/>
        <v>25.853750000000002</v>
      </c>
      <c r="C342" s="325">
        <f t="shared" si="156"/>
        <v>16.147079704269103</v>
      </c>
      <c r="D342" s="326">
        <f t="shared" si="157"/>
        <v>1.5088259668621393</v>
      </c>
      <c r="E342" s="326">
        <f t="shared" si="158"/>
        <v>1.000057471458865</v>
      </c>
      <c r="F342" s="327">
        <f t="shared" si="159"/>
        <v>1.0720886766143438E-2</v>
      </c>
      <c r="G342" s="326">
        <f t="shared" si="160"/>
        <v>1</v>
      </c>
      <c r="H342" s="327">
        <f t="shared" si="161"/>
        <v>0</v>
      </c>
      <c r="I342" s="325">
        <f t="shared" si="162"/>
        <v>40549.235283541449</v>
      </c>
      <c r="J342" s="328">
        <f t="shared" si="163"/>
        <v>1.5707716654173611</v>
      </c>
      <c r="K342" s="336">
        <f t="shared" si="153"/>
        <v>3.3882738310027909</v>
      </c>
      <c r="L342" s="337">
        <f t="shared" si="154"/>
        <v>1.2711989604492573</v>
      </c>
      <c r="M342" s="325">
        <f t="shared" si="164"/>
        <v>1.0113266587477272</v>
      </c>
      <c r="N342" s="337">
        <f t="shared" si="165"/>
        <v>0.14980501327004228</v>
      </c>
      <c r="O342" s="343">
        <f t="shared" si="166"/>
        <v>1.0112222508081661</v>
      </c>
      <c r="P342" s="691">
        <f t="shared" si="167"/>
        <v>0.14911939523816617</v>
      </c>
      <c r="Q342" s="336">
        <f t="shared" si="182"/>
        <v>4.2854770353900111</v>
      </c>
      <c r="R342" s="692">
        <f t="shared" si="168"/>
        <v>0.24691752900235789</v>
      </c>
      <c r="S342" s="329">
        <f t="shared" si="169"/>
        <v>0.99498454426487482</v>
      </c>
      <c r="T342" s="330">
        <f t="shared" si="170"/>
        <v>0.15038752791246776</v>
      </c>
      <c r="U342" s="331">
        <f t="shared" si="171"/>
        <v>-5.0300028072828917</v>
      </c>
      <c r="V342" s="332">
        <f t="shared" si="172"/>
        <v>-125.80253611235824</v>
      </c>
      <c r="W342" s="334">
        <f t="shared" si="173"/>
        <v>54.19746388764176</v>
      </c>
      <c r="Y342" s="307">
        <f t="shared" si="174"/>
        <v>25853.75</v>
      </c>
      <c r="Z342" s="307">
        <f t="shared" si="175"/>
        <v>668416389.0625</v>
      </c>
      <c r="AB342" s="333">
        <f t="shared" si="176"/>
        <v>16.049311956927646</v>
      </c>
      <c r="AC342" s="334">
        <f t="shared" si="177"/>
        <v>-25.747446691685603</v>
      </c>
      <c r="AE342" s="333">
        <f t="shared" si="178"/>
        <v>3.5049361620158495</v>
      </c>
      <c r="AF342" s="334">
        <f t="shared" si="179"/>
        <v>-94.451669105325735</v>
      </c>
      <c r="AH342">
        <f t="shared" si="180"/>
        <v>0</v>
      </c>
      <c r="AI342">
        <f t="shared" si="155"/>
        <v>0</v>
      </c>
    </row>
    <row r="343" spans="1:35" x14ac:dyDescent="0.25">
      <c r="A343" s="335">
        <v>26003.5</v>
      </c>
      <c r="B343" s="352">
        <f t="shared" si="181"/>
        <v>26.003499999999999</v>
      </c>
      <c r="C343" s="325">
        <f t="shared" si="156"/>
        <v>16.24024907680414</v>
      </c>
      <c r="D343" s="326">
        <f t="shared" si="157"/>
        <v>1.5091819391248507</v>
      </c>
      <c r="E343" s="326">
        <f t="shared" si="158"/>
        <v>1.000058139139562</v>
      </c>
      <c r="F343" s="327">
        <f t="shared" si="159"/>
        <v>1.0782979449316159E-2</v>
      </c>
      <c r="G343" s="326">
        <f t="shared" si="160"/>
        <v>1</v>
      </c>
      <c r="H343" s="327">
        <f t="shared" si="161"/>
        <v>0</v>
      </c>
      <c r="I343" s="325">
        <f t="shared" si="162"/>
        <v>40784.104421675293</v>
      </c>
      <c r="J343" s="328">
        <f t="shared" si="163"/>
        <v>1.5707718074382924</v>
      </c>
      <c r="K343" s="336">
        <f t="shared" ref="K343:K406" si="183">SQRT(1+(A343/Zero2)^2)</f>
        <v>3.4061943916137318</v>
      </c>
      <c r="L343" s="337">
        <f t="shared" ref="L343:L406" si="184">ATAN(A343/Zero2)</f>
        <v>1.2728237026693079</v>
      </c>
      <c r="M343" s="325">
        <f t="shared" si="164"/>
        <v>1.011457505848562</v>
      </c>
      <c r="N343" s="337">
        <f t="shared" si="165"/>
        <v>0.15065967932439425</v>
      </c>
      <c r="O343" s="343">
        <f t="shared" si="166"/>
        <v>1.0113518985052903</v>
      </c>
      <c r="P343" s="691">
        <f t="shared" si="167"/>
        <v>0.14997026765492369</v>
      </c>
      <c r="Q343" s="336">
        <f t="shared" si="182"/>
        <v>4.2869519422092761</v>
      </c>
      <c r="R343" s="692">
        <f t="shared" si="168"/>
        <v>0.2482905313394094</v>
      </c>
      <c r="S343" s="329">
        <f t="shared" si="169"/>
        <v>0.99492768526352515</v>
      </c>
      <c r="T343" s="330">
        <f t="shared" si="170"/>
        <v>0.15127399851306861</v>
      </c>
      <c r="U343" s="331">
        <f t="shared" si="171"/>
        <v>-5.086820285287903</v>
      </c>
      <c r="V343" s="332">
        <f t="shared" si="172"/>
        <v>-125.85596705988092</v>
      </c>
      <c r="W343" s="334">
        <f t="shared" si="173"/>
        <v>54.144032940119075</v>
      </c>
      <c r="Y343" s="307">
        <f t="shared" si="174"/>
        <v>26003.5</v>
      </c>
      <c r="Z343" s="307">
        <f t="shared" si="175"/>
        <v>676182012.25</v>
      </c>
      <c r="AB343" s="333">
        <f t="shared" si="176"/>
        <v>16.043841558466166</v>
      </c>
      <c r="AC343" s="334">
        <f t="shared" si="177"/>
        <v>-25.703332714637</v>
      </c>
      <c r="AE343" s="333">
        <f t="shared" si="178"/>
        <v>3.4554644014788072</v>
      </c>
      <c r="AF343" s="334">
        <f t="shared" si="179"/>
        <v>-94.519298189072515</v>
      </c>
      <c r="AH343">
        <f t="shared" si="180"/>
        <v>0</v>
      </c>
      <c r="AI343">
        <f t="shared" si="155"/>
        <v>0</v>
      </c>
    </row>
    <row r="344" spans="1:35" x14ac:dyDescent="0.25">
      <c r="A344" s="335">
        <v>26153.25</v>
      </c>
      <c r="B344" s="352">
        <f t="shared" si="181"/>
        <v>26.15325</v>
      </c>
      <c r="C344" s="325">
        <f t="shared" si="156"/>
        <v>16.333420483765053</v>
      </c>
      <c r="D344" s="326">
        <f t="shared" si="157"/>
        <v>1.5095338502570883</v>
      </c>
      <c r="E344" s="326">
        <f t="shared" si="158"/>
        <v>1.0000588106759793</v>
      </c>
      <c r="F344" s="327">
        <f t="shared" si="159"/>
        <v>1.0845072049338187E-2</v>
      </c>
      <c r="G344" s="326">
        <f t="shared" si="160"/>
        <v>1</v>
      </c>
      <c r="H344" s="327">
        <f t="shared" si="161"/>
        <v>0</v>
      </c>
      <c r="I344" s="325">
        <f t="shared" si="162"/>
        <v>41018.973559809951</v>
      </c>
      <c r="J344" s="328">
        <f t="shared" si="163"/>
        <v>1.5707719478328379</v>
      </c>
      <c r="K344" s="336">
        <f t="shared" si="183"/>
        <v>3.4241238497220232</v>
      </c>
      <c r="L344" s="337">
        <f t="shared" si="184"/>
        <v>1.2744314340883451</v>
      </c>
      <c r="M344" s="325">
        <f t="shared" si="164"/>
        <v>1.0115890915811978</v>
      </c>
      <c r="N344" s="337">
        <f t="shared" si="165"/>
        <v>0.15151412365582453</v>
      </c>
      <c r="O344" s="343">
        <f t="shared" si="166"/>
        <v>1.0114822782168649</v>
      </c>
      <c r="P344" s="691">
        <f t="shared" si="167"/>
        <v>0.15082092133309549</v>
      </c>
      <c r="Q344" s="336">
        <f t="shared" si="182"/>
        <v>4.2884348556822829</v>
      </c>
      <c r="R344" s="692">
        <f t="shared" si="168"/>
        <v>0.24966259078449107</v>
      </c>
      <c r="S344" s="329">
        <f t="shared" si="169"/>
        <v>0.99487053071499887</v>
      </c>
      <c r="T344" s="330">
        <f t="shared" si="170"/>
        <v>0.15216073582332712</v>
      </c>
      <c r="U344" s="331">
        <f t="shared" si="171"/>
        <v>-5.143295358140457</v>
      </c>
      <c r="V344" s="332">
        <f t="shared" si="172"/>
        <v>-125.91010096706907</v>
      </c>
      <c r="W344" s="334">
        <f t="shared" si="173"/>
        <v>54.08989903293093</v>
      </c>
      <c r="Y344" s="307">
        <f t="shared" si="174"/>
        <v>26153.25</v>
      </c>
      <c r="Z344" s="307">
        <f t="shared" si="175"/>
        <v>683992485.5625</v>
      </c>
      <c r="AB344" s="333">
        <f t="shared" si="176"/>
        <v>16.038435171204849</v>
      </c>
      <c r="AC344" s="334">
        <f t="shared" si="177"/>
        <v>-25.660180587721047</v>
      </c>
      <c r="AE344" s="333">
        <f t="shared" si="178"/>
        <v>3.406280080351491</v>
      </c>
      <c r="AF344" s="334">
        <f t="shared" si="179"/>
        <v>-94.586709873284775</v>
      </c>
      <c r="AH344">
        <f t="shared" si="180"/>
        <v>0</v>
      </c>
      <c r="AI344">
        <f t="shared" si="155"/>
        <v>0</v>
      </c>
    </row>
    <row r="345" spans="1:35" x14ac:dyDescent="0.25">
      <c r="A345" s="335">
        <v>26303</v>
      </c>
      <c r="B345" s="352">
        <f t="shared" si="181"/>
        <v>26.303000000000001</v>
      </c>
      <c r="C345" s="325">
        <f t="shared" si="156"/>
        <v>16.426593890534157</v>
      </c>
      <c r="D345" s="326">
        <f t="shared" si="157"/>
        <v>1.5098817692764459</v>
      </c>
      <c r="E345" s="326">
        <f t="shared" si="158"/>
        <v>1.0000594860681093</v>
      </c>
      <c r="F345" s="327">
        <f t="shared" si="159"/>
        <v>1.0907164565730895E-2</v>
      </c>
      <c r="G345" s="326">
        <f t="shared" si="160"/>
        <v>1</v>
      </c>
      <c r="H345" s="327">
        <f t="shared" si="161"/>
        <v>0</v>
      </c>
      <c r="I345" s="325">
        <f t="shared" si="162"/>
        <v>41253.842697945416</v>
      </c>
      <c r="J345" s="328">
        <f t="shared" si="163"/>
        <v>1.5707720866287764</v>
      </c>
      <c r="K345" s="336">
        <f t="shared" si="183"/>
        <v>3.4420620662883614</v>
      </c>
      <c r="L345" s="337">
        <f t="shared" si="184"/>
        <v>1.2760224122835</v>
      </c>
      <c r="M345" s="325">
        <f t="shared" si="164"/>
        <v>1.0117214156574319</v>
      </c>
      <c r="N345" s="337">
        <f t="shared" si="165"/>
        <v>0.15236834510347322</v>
      </c>
      <c r="O345" s="343">
        <f t="shared" si="166"/>
        <v>1.0116133896598571</v>
      </c>
      <c r="P345" s="691">
        <f t="shared" si="167"/>
        <v>0.15167135512640972</v>
      </c>
      <c r="Q345" s="336">
        <f t="shared" si="182"/>
        <v>4.2899257675065883</v>
      </c>
      <c r="R345" s="692">
        <f t="shared" si="168"/>
        <v>0.25103370321862656</v>
      </c>
      <c r="S345" s="329">
        <f t="shared" si="169"/>
        <v>0.99481308119238754</v>
      </c>
      <c r="T345" s="330">
        <f t="shared" si="170"/>
        <v>0.1530477413760695</v>
      </c>
      <c r="U345" s="331">
        <f t="shared" si="171"/>
        <v>-5.1994326958083503</v>
      </c>
      <c r="V345" s="332">
        <f t="shared" si="172"/>
        <v>-125.9649268828647</v>
      </c>
      <c r="W345" s="334">
        <f t="shared" si="173"/>
        <v>54.035073117135298</v>
      </c>
      <c r="Y345" s="307">
        <f t="shared" si="174"/>
        <v>26303</v>
      </c>
      <c r="Z345" s="307">
        <f t="shared" si="175"/>
        <v>691847809</v>
      </c>
      <c r="AB345" s="333">
        <f t="shared" si="176"/>
        <v>16.033091317105818</v>
      </c>
      <c r="AC345" s="334">
        <f t="shared" si="177"/>
        <v>-25.617975487934416</v>
      </c>
      <c r="AE345" s="333">
        <f t="shared" si="178"/>
        <v>3.3573799786077476</v>
      </c>
      <c r="AF345" s="334">
        <f t="shared" si="179"/>
        <v>-94.653908200231243</v>
      </c>
      <c r="AH345">
        <f t="shared" si="180"/>
        <v>0</v>
      </c>
      <c r="AI345">
        <f t="shared" si="155"/>
        <v>0</v>
      </c>
    </row>
    <row r="346" spans="1:35" x14ac:dyDescent="0.25">
      <c r="A346" s="335">
        <v>26456</v>
      </c>
      <c r="B346" s="352">
        <f t="shared" si="181"/>
        <v>26.456</v>
      </c>
      <c r="C346" s="325">
        <f t="shared" si="156"/>
        <v>16.52179145484812</v>
      </c>
      <c r="D346" s="326">
        <f t="shared" si="157"/>
        <v>1.510233186284663</v>
      </c>
      <c r="E346" s="326">
        <f t="shared" si="158"/>
        <v>1.0000601801002973</v>
      </c>
      <c r="F346" s="327">
        <f t="shared" si="159"/>
        <v>1.0970604579082424E-2</v>
      </c>
      <c r="G346" s="326">
        <f t="shared" si="160"/>
        <v>1</v>
      </c>
      <c r="H346" s="327">
        <f t="shared" si="161"/>
        <v>0</v>
      </c>
      <c r="I346" s="325">
        <f t="shared" si="162"/>
        <v>41493.809162952741</v>
      </c>
      <c r="J346" s="328">
        <f t="shared" si="163"/>
        <v>1.5707722268141942</v>
      </c>
      <c r="K346" s="336">
        <f t="shared" si="183"/>
        <v>3.460398497017708</v>
      </c>
      <c r="L346" s="337">
        <f t="shared" si="184"/>
        <v>1.2776308793801525</v>
      </c>
      <c r="M346" s="325">
        <f t="shared" si="164"/>
        <v>1.0118573737940366</v>
      </c>
      <c r="N346" s="337">
        <f t="shared" si="165"/>
        <v>0.153240874183179</v>
      </c>
      <c r="O346" s="343">
        <f t="shared" si="166"/>
        <v>1.0117481020220478</v>
      </c>
      <c r="P346" s="691">
        <f t="shared" si="167"/>
        <v>0.15254001746132212</v>
      </c>
      <c r="Q346" s="336">
        <f t="shared" si="182"/>
        <v>4.2914572882926914</v>
      </c>
      <c r="R346" s="692">
        <f t="shared" si="168"/>
        <v>0.2524335903566029</v>
      </c>
      <c r="S346" s="329">
        <f t="shared" si="169"/>
        <v>0.99475408080565109</v>
      </c>
      <c r="T346" s="330">
        <f t="shared" si="170"/>
        <v>0.15395427609919601</v>
      </c>
      <c r="U346" s="331">
        <f t="shared" si="171"/>
        <v>-5.2564443249019934</v>
      </c>
      <c r="V346" s="332">
        <f t="shared" si="172"/>
        <v>-126.02164619181612</v>
      </c>
      <c r="W346" s="334">
        <f t="shared" si="173"/>
        <v>53.978353808183883</v>
      </c>
      <c r="Y346" s="307">
        <f t="shared" si="174"/>
        <v>26456</v>
      </c>
      <c r="Z346" s="307">
        <f t="shared" si="175"/>
        <v>699919936</v>
      </c>
      <c r="AB346" s="333">
        <f t="shared" si="176"/>
        <v>16.027694572462075</v>
      </c>
      <c r="AC346" s="334">
        <f t="shared" si="177"/>
        <v>-25.575817377564753</v>
      </c>
      <c r="AE346" s="333">
        <f t="shared" si="178"/>
        <v>3.3077088514605739</v>
      </c>
      <c r="AF346" s="334">
        <f t="shared" si="179"/>
        <v>-94.722348680329304</v>
      </c>
      <c r="AH346">
        <f t="shared" si="180"/>
        <v>0</v>
      </c>
      <c r="AI346">
        <f t="shared" ref="AI346:AI409" si="185">IF(AH346&gt;0,W346,0)</f>
        <v>0</v>
      </c>
    </row>
    <row r="347" spans="1:35" x14ac:dyDescent="0.25">
      <c r="A347" s="335">
        <v>26609</v>
      </c>
      <c r="B347" s="352">
        <f t="shared" si="181"/>
        <v>26.609000000000002</v>
      </c>
      <c r="C347" s="325">
        <f t="shared" si="156"/>
        <v>16.616991036124691</v>
      </c>
      <c r="D347" s="326">
        <f t="shared" si="157"/>
        <v>1.510580576763779</v>
      </c>
      <c r="E347" s="326">
        <f t="shared" si="158"/>
        <v>1.0000608781573574</v>
      </c>
      <c r="F347" s="327">
        <f t="shared" si="159"/>
        <v>1.1034044504125168E-2</v>
      </c>
      <c r="G347" s="326">
        <f t="shared" si="160"/>
        <v>1</v>
      </c>
      <c r="H347" s="327">
        <f t="shared" si="161"/>
        <v>0</v>
      </c>
      <c r="I347" s="325">
        <f t="shared" si="162"/>
        <v>41733.775627960866</v>
      </c>
      <c r="J347" s="328">
        <f t="shared" si="163"/>
        <v>1.5707723653874981</v>
      </c>
      <c r="K347" s="336">
        <f t="shared" si="183"/>
        <v>3.4787437859819037</v>
      </c>
      <c r="L347" s="337">
        <f t="shared" si="184"/>
        <v>1.2792223859321701</v>
      </c>
      <c r="M347" s="325">
        <f t="shared" si="164"/>
        <v>1.0119941020574119</v>
      </c>
      <c r="N347" s="337">
        <f t="shared" si="165"/>
        <v>0.15411316815590789</v>
      </c>
      <c r="O347" s="343">
        <f t="shared" si="166"/>
        <v>1.0118835776196962</v>
      </c>
      <c r="P347" s="691">
        <f t="shared" si="167"/>
        <v>0.1534084478504176</v>
      </c>
      <c r="Q347" s="336">
        <f t="shared" si="182"/>
        <v>4.292997140743938</v>
      </c>
      <c r="R347" s="692">
        <f t="shared" si="168"/>
        <v>0.25383248030255101</v>
      </c>
      <c r="S347" s="329">
        <f t="shared" si="169"/>
        <v>0.99469477372282711</v>
      </c>
      <c r="T347" s="330">
        <f t="shared" si="170"/>
        <v>0.15486109406892076</v>
      </c>
      <c r="U347" s="331">
        <f t="shared" si="171"/>
        <v>-5.3131129631526308</v>
      </c>
      <c r="V347" s="332">
        <f t="shared" si="172"/>
        <v>-126.07906539078189</v>
      </c>
      <c r="W347" s="334">
        <f t="shared" si="173"/>
        <v>53.920934609218108</v>
      </c>
      <c r="Y347" s="307">
        <f t="shared" si="174"/>
        <v>26609</v>
      </c>
      <c r="Z347" s="307">
        <f t="shared" si="175"/>
        <v>708038881</v>
      </c>
      <c r="AB347" s="333">
        <f t="shared" si="176"/>
        <v>16.022360106872885</v>
      </c>
      <c r="AC347" s="334">
        <f t="shared" si="177"/>
        <v>-25.534617471817182</v>
      </c>
      <c r="AE347" s="333">
        <f t="shared" si="178"/>
        <v>3.2583277895393703</v>
      </c>
      <c r="AF347" s="334">
        <f t="shared" si="179"/>
        <v>-94.790574691197918</v>
      </c>
      <c r="AH347">
        <f t="shared" si="180"/>
        <v>0</v>
      </c>
      <c r="AI347">
        <f t="shared" si="185"/>
        <v>0</v>
      </c>
    </row>
    <row r="348" spans="1:35" x14ac:dyDescent="0.25">
      <c r="A348" s="335">
        <v>26762</v>
      </c>
      <c r="B348" s="352">
        <f t="shared" si="181"/>
        <v>26.762</v>
      </c>
      <c r="C348" s="325">
        <f t="shared" si="156"/>
        <v>16.712192599895506</v>
      </c>
      <c r="D348" s="326">
        <f t="shared" si="157"/>
        <v>1.5109240094409953</v>
      </c>
      <c r="E348" s="326">
        <f t="shared" si="158"/>
        <v>1.0000615802392809</v>
      </c>
      <c r="F348" s="327">
        <f t="shared" si="159"/>
        <v>1.1097484340348671E-2</v>
      </c>
      <c r="G348" s="326">
        <f t="shared" si="160"/>
        <v>1</v>
      </c>
      <c r="H348" s="327">
        <f t="shared" si="161"/>
        <v>0</v>
      </c>
      <c r="I348" s="325">
        <f t="shared" si="162"/>
        <v>41973.742092969784</v>
      </c>
      <c r="J348" s="328">
        <f t="shared" si="163"/>
        <v>1.5707725023763379</v>
      </c>
      <c r="K348" s="336">
        <f t="shared" si="183"/>
        <v>3.4970977937737451</v>
      </c>
      <c r="L348" s="337">
        <f t="shared" si="184"/>
        <v>1.2807971908580893</v>
      </c>
      <c r="M348" s="325">
        <f t="shared" si="164"/>
        <v>1.0121316001354501</v>
      </c>
      <c r="N348" s="337">
        <f t="shared" si="165"/>
        <v>0.15498522578976009</v>
      </c>
      <c r="O348" s="343">
        <f t="shared" si="166"/>
        <v>1.012019816146287</v>
      </c>
      <c r="P348" s="691">
        <f t="shared" si="167"/>
        <v>0.15427664507721903</v>
      </c>
      <c r="Q348" s="336">
        <f t="shared" si="182"/>
        <v>4.2945453158987954</v>
      </c>
      <c r="R348" s="692">
        <f t="shared" si="168"/>
        <v>0.25523036872772198</v>
      </c>
      <c r="S348" s="329">
        <f t="shared" si="169"/>
        <v>0.99463516056631363</v>
      </c>
      <c r="T348" s="330">
        <f t="shared" si="170"/>
        <v>0.15576819691967428</v>
      </c>
      <c r="U348" s="331">
        <f t="shared" si="171"/>
        <v>-5.3694432999754316</v>
      </c>
      <c r="V348" s="332">
        <f t="shared" si="172"/>
        <v>-126.13717342895805</v>
      </c>
      <c r="W348" s="334">
        <f t="shared" si="173"/>
        <v>53.86282657104195</v>
      </c>
      <c r="Y348" s="307">
        <f t="shared" si="174"/>
        <v>26762</v>
      </c>
      <c r="Z348" s="307">
        <f t="shared" si="175"/>
        <v>716204644</v>
      </c>
      <c r="AB348" s="333">
        <f t="shared" si="176"/>
        <v>16.01708646445595</v>
      </c>
      <c r="AC348" s="334">
        <f t="shared" si="177"/>
        <v>-25.494360866753865</v>
      </c>
      <c r="AE348" s="333">
        <f t="shared" si="178"/>
        <v>3.2092335290631642</v>
      </c>
      <c r="AF348" s="334">
        <f t="shared" si="179"/>
        <v>-94.858590264290854</v>
      </c>
      <c r="AH348">
        <f t="shared" si="180"/>
        <v>0</v>
      </c>
      <c r="AI348">
        <f t="shared" si="185"/>
        <v>0</v>
      </c>
    </row>
    <row r="349" spans="1:35" x14ac:dyDescent="0.25">
      <c r="A349" s="335">
        <v>26915</v>
      </c>
      <c r="B349" s="352">
        <f t="shared" si="181"/>
        <v>26.914999999999999</v>
      </c>
      <c r="C349" s="325">
        <f t="shared" si="156"/>
        <v>16.807396112472436</v>
      </c>
      <c r="D349" s="326">
        <f t="shared" si="157"/>
        <v>1.5112635514901085</v>
      </c>
      <c r="E349" s="326">
        <f t="shared" si="158"/>
        <v>1.0000622863460595</v>
      </c>
      <c r="F349" s="327">
        <f t="shared" si="159"/>
        <v>1.1160924087242478E-2</v>
      </c>
      <c r="G349" s="326">
        <f t="shared" si="160"/>
        <v>1</v>
      </c>
      <c r="H349" s="327">
        <f t="shared" si="161"/>
        <v>0</v>
      </c>
      <c r="I349" s="325">
        <f t="shared" si="162"/>
        <v>42213.708557979495</v>
      </c>
      <c r="J349" s="328">
        <f t="shared" si="163"/>
        <v>1.5707726378077345</v>
      </c>
      <c r="K349" s="336">
        <f t="shared" si="183"/>
        <v>3.5154603838318059</v>
      </c>
      <c r="L349" s="337">
        <f t="shared" si="184"/>
        <v>1.2823555480019553</v>
      </c>
      <c r="M349" s="325">
        <f t="shared" si="164"/>
        <v>1.0122698677144557</v>
      </c>
      <c r="N349" s="337">
        <f t="shared" si="165"/>
        <v>0.15585704585494115</v>
      </c>
      <c r="O349" s="343">
        <f t="shared" si="166"/>
        <v>1.0121568172937447</v>
      </c>
      <c r="P349" s="691">
        <f t="shared" si="167"/>
        <v>0.15514460792730847</v>
      </c>
      <c r="Q349" s="336">
        <f t="shared" si="182"/>
        <v>4.2961018047602479</v>
      </c>
      <c r="R349" s="692">
        <f t="shared" si="168"/>
        <v>0.25662725132511111</v>
      </c>
      <c r="S349" s="329">
        <f t="shared" si="169"/>
        <v>0.99457524196228075</v>
      </c>
      <c r="T349" s="330">
        <f t="shared" si="170"/>
        <v>0.15667558628575459</v>
      </c>
      <c r="U349" s="331">
        <f t="shared" si="171"/>
        <v>-5.4254399316650792</v>
      </c>
      <c r="V349" s="332">
        <f t="shared" si="172"/>
        <v>-126.19595945848862</v>
      </c>
      <c r="W349" s="334">
        <f t="shared" si="173"/>
        <v>53.804040541511384</v>
      </c>
      <c r="Y349" s="307">
        <f t="shared" si="174"/>
        <v>26915</v>
      </c>
      <c r="Z349" s="307">
        <f t="shared" si="175"/>
        <v>724417225</v>
      </c>
      <c r="AB349" s="333">
        <f t="shared" si="176"/>
        <v>16.011872227460636</v>
      </c>
      <c r="AC349" s="334">
        <f t="shared" si="177"/>
        <v>-25.455032949268467</v>
      </c>
      <c r="AE349" s="333">
        <f t="shared" si="178"/>
        <v>3.1604228611468859</v>
      </c>
      <c r="AF349" s="334">
        <f t="shared" si="179"/>
        <v>-94.9263993420508</v>
      </c>
      <c r="AH349">
        <f t="shared" si="180"/>
        <v>0</v>
      </c>
      <c r="AI349">
        <f t="shared" si="185"/>
        <v>0</v>
      </c>
    </row>
    <row r="350" spans="1:35" x14ac:dyDescent="0.25">
      <c r="A350" s="335">
        <v>27071.75</v>
      </c>
      <c r="B350" s="352">
        <f t="shared" si="181"/>
        <v>27.071750000000002</v>
      </c>
      <c r="C350" s="325">
        <f t="shared" si="156"/>
        <v>16.904935031089398</v>
      </c>
      <c r="D350" s="326">
        <f t="shared" si="157"/>
        <v>1.5116074494584808</v>
      </c>
      <c r="E350" s="326">
        <f t="shared" si="158"/>
        <v>1.0000630139334044</v>
      </c>
      <c r="F350" s="327">
        <f t="shared" si="159"/>
        <v>1.1225918636719083E-2</v>
      </c>
      <c r="G350" s="326">
        <f t="shared" si="160"/>
        <v>1</v>
      </c>
      <c r="H350" s="327">
        <f t="shared" si="161"/>
        <v>0</v>
      </c>
      <c r="I350" s="325">
        <f t="shared" si="162"/>
        <v>42459.556553995128</v>
      </c>
      <c r="J350" s="328">
        <f t="shared" si="163"/>
        <v>1.570772774970967</v>
      </c>
      <c r="K350" s="336">
        <f t="shared" si="183"/>
        <v>3.5342817978790948</v>
      </c>
      <c r="L350" s="337">
        <f t="shared" si="184"/>
        <v>1.2839353029450495</v>
      </c>
      <c r="M350" s="325">
        <f t="shared" si="164"/>
        <v>1.0124123218976413</v>
      </c>
      <c r="N350" s="337">
        <f t="shared" si="165"/>
        <v>0.15674998640123158</v>
      </c>
      <c r="O350" s="343">
        <f t="shared" si="166"/>
        <v>1.0122979668761842</v>
      </c>
      <c r="P350" s="691">
        <f t="shared" si="167"/>
        <v>0.15603360004521907</v>
      </c>
      <c r="Q350" s="336">
        <f t="shared" si="182"/>
        <v>4.2977050552694287</v>
      </c>
      <c r="R350" s="692">
        <f t="shared" si="168"/>
        <v>0.25805732365198775</v>
      </c>
      <c r="S350" s="329">
        <f t="shared" si="169"/>
        <v>0.9945135386547137</v>
      </c>
      <c r="T350" s="330">
        <f t="shared" si="170"/>
        <v>0.15760551443089407</v>
      </c>
      <c r="U350" s="331">
        <f t="shared" si="171"/>
        <v>-5.4824676660534335</v>
      </c>
      <c r="V350" s="332">
        <f t="shared" si="172"/>
        <v>-126.2568783103001</v>
      </c>
      <c r="W350" s="334">
        <f t="shared" si="173"/>
        <v>53.743121689699905</v>
      </c>
      <c r="Y350" s="307">
        <f t="shared" si="174"/>
        <v>27071.75</v>
      </c>
      <c r="Z350" s="307">
        <f t="shared" si="175"/>
        <v>732879648.0625</v>
      </c>
      <c r="AB350" s="333">
        <f t="shared" si="176"/>
        <v>16.006590354390148</v>
      </c>
      <c r="AC350" s="334">
        <f t="shared" si="177"/>
        <v>-25.415689241852164</v>
      </c>
      <c r="AE350" s="333">
        <f t="shared" si="178"/>
        <v>3.110706658713041</v>
      </c>
      <c r="AF350" s="334">
        <f t="shared" si="179"/>
        <v>-94.995660288891372</v>
      </c>
      <c r="AH350">
        <f t="shared" si="180"/>
        <v>0</v>
      </c>
      <c r="AI350">
        <f t="shared" si="185"/>
        <v>0</v>
      </c>
    </row>
    <row r="351" spans="1:35" x14ac:dyDescent="0.25">
      <c r="A351" s="335">
        <v>27228.5</v>
      </c>
      <c r="B351" s="352">
        <f t="shared" si="181"/>
        <v>27.2285</v>
      </c>
      <c r="C351" s="325">
        <f t="shared" si="156"/>
        <v>17.002475926043424</v>
      </c>
      <c r="D351" s="326">
        <f t="shared" si="157"/>
        <v>1.511947401674808</v>
      </c>
      <c r="E351" s="326">
        <f t="shared" si="158"/>
        <v>1.0000637457453008</v>
      </c>
      <c r="F351" s="327">
        <f t="shared" si="159"/>
        <v>1.1290913091348737E-2</v>
      </c>
      <c r="G351" s="326">
        <f t="shared" si="160"/>
        <v>1</v>
      </c>
      <c r="H351" s="327">
        <f t="shared" si="161"/>
        <v>0</v>
      </c>
      <c r="I351" s="325">
        <f t="shared" si="162"/>
        <v>42705.404550011554</v>
      </c>
      <c r="J351" s="328">
        <f t="shared" si="163"/>
        <v>1.5707729105549468</v>
      </c>
      <c r="K351" s="336">
        <f t="shared" si="183"/>
        <v>3.5531119387134891</v>
      </c>
      <c r="L351" s="337">
        <f t="shared" si="184"/>
        <v>1.2854983175546948</v>
      </c>
      <c r="M351" s="325">
        <f t="shared" si="164"/>
        <v>1.0125555830930091</v>
      </c>
      <c r="N351" s="337">
        <f t="shared" si="165"/>
        <v>0.15764267498415502</v>
      </c>
      <c r="O351" s="343">
        <f t="shared" si="166"/>
        <v>1.0124399162613382</v>
      </c>
      <c r="P351" s="691">
        <f t="shared" si="167"/>
        <v>0.15692234358263318</v>
      </c>
      <c r="Q351" s="336">
        <f t="shared" si="182"/>
        <v>4.2993170127826295</v>
      </c>
      <c r="R351" s="692">
        <f t="shared" si="168"/>
        <v>0.25948633115948511</v>
      </c>
      <c r="S351" s="329">
        <f t="shared" si="169"/>
        <v>0.99445151608595883</v>
      </c>
      <c r="T351" s="330">
        <f t="shared" si="170"/>
        <v>0.15853574678073831</v>
      </c>
      <c r="U351" s="331">
        <f t="shared" si="171"/>
        <v>-5.5391546143445982</v>
      </c>
      <c r="V351" s="332">
        <f t="shared" si="172"/>
        <v>-126.31848637874235</v>
      </c>
      <c r="W351" s="334">
        <f t="shared" si="173"/>
        <v>53.68151362125765</v>
      </c>
      <c r="Y351" s="307">
        <f t="shared" si="174"/>
        <v>27228.5</v>
      </c>
      <c r="Z351" s="307">
        <f t="shared" si="175"/>
        <v>741391212.25</v>
      </c>
      <c r="AB351" s="333">
        <f t="shared" si="176"/>
        <v>16.001367939471777</v>
      </c>
      <c r="AC351" s="334">
        <f t="shared" si="177"/>
        <v>-25.377290157969167</v>
      </c>
      <c r="AE351" s="333">
        <f t="shared" si="178"/>
        <v>3.0612814734191822</v>
      </c>
      <c r="AF351" s="334">
        <f t="shared" si="179"/>
        <v>-95.064712595872507</v>
      </c>
      <c r="AH351">
        <f t="shared" si="180"/>
        <v>0</v>
      </c>
      <c r="AI351">
        <f t="shared" si="185"/>
        <v>0</v>
      </c>
    </row>
    <row r="352" spans="1:35" x14ac:dyDescent="0.25">
      <c r="A352" s="335">
        <v>27385.25</v>
      </c>
      <c r="B352" s="352">
        <f t="shared" si="181"/>
        <v>27.385249999999999</v>
      </c>
      <c r="C352" s="325">
        <f t="shared" si="156"/>
        <v>17.100018763514598</v>
      </c>
      <c r="D352" s="326">
        <f t="shared" si="157"/>
        <v>1.5122834755825418</v>
      </c>
      <c r="E352" s="326">
        <f t="shared" si="158"/>
        <v>1.0000644817817392</v>
      </c>
      <c r="F352" s="327">
        <f t="shared" si="159"/>
        <v>1.135590745058254E-2</v>
      </c>
      <c r="G352" s="326">
        <f t="shared" si="160"/>
        <v>1</v>
      </c>
      <c r="H352" s="327">
        <f t="shared" si="161"/>
        <v>0</v>
      </c>
      <c r="I352" s="325">
        <f t="shared" si="162"/>
        <v>42951.252546028743</v>
      </c>
      <c r="J352" s="328">
        <f t="shared" si="163"/>
        <v>1.5707730445867929</v>
      </c>
      <c r="K352" s="336">
        <f t="shared" si="183"/>
        <v>3.5719506683207976</v>
      </c>
      <c r="L352" s="337">
        <f t="shared" si="184"/>
        <v>1.2870448490022008</v>
      </c>
      <c r="M352" s="325">
        <f t="shared" si="164"/>
        <v>1.0126996509580677</v>
      </c>
      <c r="N352" s="337">
        <f t="shared" si="165"/>
        <v>0.15853511028819203</v>
      </c>
      <c r="O352" s="343">
        <f t="shared" si="166"/>
        <v>1.0125826651128442</v>
      </c>
      <c r="P352" s="691">
        <f t="shared" si="167"/>
        <v>0.1578108372404145</v>
      </c>
      <c r="Q352" s="336">
        <f t="shared" si="182"/>
        <v>4.3009376675106461</v>
      </c>
      <c r="R352" s="692">
        <f t="shared" si="168"/>
        <v>0.26091426928737482</v>
      </c>
      <c r="S352" s="329">
        <f t="shared" si="169"/>
        <v>0.99438917494170342</v>
      </c>
      <c r="T352" s="330">
        <f t="shared" si="170"/>
        <v>0.15946628509227254</v>
      </c>
      <c r="U352" s="331">
        <f t="shared" si="171"/>
        <v>-5.5955054305210092</v>
      </c>
      <c r="V352" s="332">
        <f t="shared" si="172"/>
        <v>-126.38077263324246</v>
      </c>
      <c r="W352" s="334">
        <f t="shared" si="173"/>
        <v>53.619227366757542</v>
      </c>
      <c r="Y352" s="307">
        <f t="shared" si="174"/>
        <v>27385.25</v>
      </c>
      <c r="Z352" s="307">
        <f t="shared" si="175"/>
        <v>749951917.5625</v>
      </c>
      <c r="AB352" s="333">
        <f t="shared" si="176"/>
        <v>15.996203575115103</v>
      </c>
      <c r="AC352" s="334">
        <f t="shared" si="177"/>
        <v>-25.339820888968887</v>
      </c>
      <c r="AE352" s="333">
        <f t="shared" si="178"/>
        <v>3.0121440259502807</v>
      </c>
      <c r="AF352" s="334">
        <f t="shared" si="179"/>
        <v>-95.133560227918693</v>
      </c>
      <c r="AH352">
        <f t="shared" si="180"/>
        <v>0</v>
      </c>
      <c r="AI352">
        <f t="shared" si="185"/>
        <v>0</v>
      </c>
    </row>
    <row r="353" spans="1:35" x14ac:dyDescent="0.25">
      <c r="A353" s="335">
        <v>27542</v>
      </c>
      <c r="B353" s="352">
        <f t="shared" si="181"/>
        <v>27.542000000000002</v>
      </c>
      <c r="C353" s="325">
        <f t="shared" si="156"/>
        <v>17.197563510449644</v>
      </c>
      <c r="D353" s="326">
        <f t="shared" si="157"/>
        <v>1.5126157370985245</v>
      </c>
      <c r="E353" s="326">
        <f t="shared" si="158"/>
        <v>1.0000652220427106</v>
      </c>
      <c r="F353" s="327">
        <f t="shared" si="159"/>
        <v>1.1420901713871598E-2</v>
      </c>
      <c r="G353" s="326">
        <f t="shared" si="160"/>
        <v>1</v>
      </c>
      <c r="H353" s="327">
        <f t="shared" si="161"/>
        <v>0</v>
      </c>
      <c r="I353" s="325">
        <f t="shared" si="162"/>
        <v>43197.100542046705</v>
      </c>
      <c r="J353" s="328">
        <f t="shared" si="163"/>
        <v>1.570773177093006</v>
      </c>
      <c r="K353" s="336">
        <f t="shared" si="183"/>
        <v>3.5907978515208394</v>
      </c>
      <c r="L353" s="337">
        <f t="shared" si="184"/>
        <v>1.2885751493786659</v>
      </c>
      <c r="M353" s="325">
        <f t="shared" si="164"/>
        <v>1.0128445251485931</v>
      </c>
      <c r="N353" s="337">
        <f t="shared" si="165"/>
        <v>0.1594272910001833</v>
      </c>
      <c r="O353" s="343">
        <f t="shared" si="166"/>
        <v>1.012726213092636</v>
      </c>
      <c r="P353" s="691">
        <f t="shared" si="167"/>
        <v>0.15869907972173522</v>
      </c>
      <c r="Q353" s="336">
        <f t="shared" si="182"/>
        <v>4.3025670096262401</v>
      </c>
      <c r="R353" s="692">
        <f t="shared" si="168"/>
        <v>0.26234113349957366</v>
      </c>
      <c r="S353" s="329">
        <f t="shared" si="169"/>
        <v>0.99432651591180399</v>
      </c>
      <c r="T353" s="330">
        <f t="shared" si="170"/>
        <v>0.16039713112232323</v>
      </c>
      <c r="U353" s="331">
        <f t="shared" si="171"/>
        <v>-5.6515246761584361</v>
      </c>
      <c r="V353" s="332">
        <f t="shared" si="172"/>
        <v>-126.44372624817571</v>
      </c>
      <c r="W353" s="334">
        <f t="shared" si="173"/>
        <v>53.556273751824293</v>
      </c>
      <c r="Y353" s="307">
        <f t="shared" si="174"/>
        <v>27542</v>
      </c>
      <c r="Z353" s="307">
        <f t="shared" si="175"/>
        <v>758561764</v>
      </c>
      <c r="AB353" s="333">
        <f t="shared" si="176"/>
        <v>15.991095890791158</v>
      </c>
      <c r="AC353" s="334">
        <f t="shared" si="177"/>
        <v>-25.303266917375236</v>
      </c>
      <c r="AE353" s="333">
        <f t="shared" si="178"/>
        <v>2.9632910922392504</v>
      </c>
      <c r="AF353" s="334">
        <f t="shared" si="179"/>
        <v>-95.202207062476944</v>
      </c>
      <c r="AH353">
        <f t="shared" si="180"/>
        <v>0</v>
      </c>
      <c r="AI353">
        <f t="shared" si="185"/>
        <v>0</v>
      </c>
    </row>
    <row r="354" spans="1:35" x14ac:dyDescent="0.25">
      <c r="A354" s="335">
        <v>27702.5</v>
      </c>
      <c r="B354" s="352">
        <f t="shared" si="181"/>
        <v>27.702500000000001</v>
      </c>
      <c r="C354" s="325">
        <f t="shared" si="156"/>
        <v>17.297443808563138</v>
      </c>
      <c r="D354" s="326">
        <f t="shared" si="157"/>
        <v>1.5129520644506751</v>
      </c>
      <c r="E354" s="326">
        <f t="shared" si="158"/>
        <v>1.0000659843906048</v>
      </c>
      <c r="F354" s="327">
        <f t="shared" si="159"/>
        <v>1.1487450763853732E-2</v>
      </c>
      <c r="G354" s="326">
        <f t="shared" si="160"/>
        <v>1</v>
      </c>
      <c r="H354" s="327">
        <f t="shared" si="161"/>
        <v>0</v>
      </c>
      <c r="I354" s="325">
        <f t="shared" si="162"/>
        <v>43448.830069070667</v>
      </c>
      <c r="J354" s="328">
        <f t="shared" si="163"/>
        <v>1.5707733112154554</v>
      </c>
      <c r="K354" s="336">
        <f t="shared" si="183"/>
        <v>3.6101045453577063</v>
      </c>
      <c r="L354" s="337">
        <f t="shared" si="184"/>
        <v>1.29012549972359</v>
      </c>
      <c r="M354" s="325">
        <f t="shared" si="164"/>
        <v>1.0129937003588418</v>
      </c>
      <c r="N354" s="337">
        <f t="shared" si="165"/>
        <v>0.16034055057834923</v>
      </c>
      <c r="O354" s="343">
        <f t="shared" si="166"/>
        <v>1.0128740229135704</v>
      </c>
      <c r="P354" s="691">
        <f t="shared" si="167"/>
        <v>0.15960831040931989</v>
      </c>
      <c r="Q354" s="336">
        <f t="shared" si="182"/>
        <v>4.3042443225366798</v>
      </c>
      <c r="R354" s="692">
        <f t="shared" si="168"/>
        <v>0.26380101574636372</v>
      </c>
      <c r="S354" s="329">
        <f t="shared" si="169"/>
        <v>0.99426202920295337</v>
      </c>
      <c r="T354" s="330">
        <f t="shared" si="170"/>
        <v>0.16135056687997992</v>
      </c>
      <c r="U354" s="331">
        <f t="shared" si="171"/>
        <v>-5.7085452009355233</v>
      </c>
      <c r="V354" s="332">
        <f t="shared" si="172"/>
        <v>-126.50886633419221</v>
      </c>
      <c r="W354" s="334">
        <f t="shared" si="173"/>
        <v>53.491133665807794</v>
      </c>
      <c r="Y354" s="307">
        <f t="shared" si="174"/>
        <v>27702.5</v>
      </c>
      <c r="Z354" s="307">
        <f t="shared" si="175"/>
        <v>767428506.25</v>
      </c>
      <c r="AB354" s="333">
        <f t="shared" si="176"/>
        <v>15.985923349592742</v>
      </c>
      <c r="AC354" s="334">
        <f t="shared" si="177"/>
        <v>-25.266771989881828</v>
      </c>
      <c r="AE354" s="333">
        <f t="shared" si="178"/>
        <v>2.9135609224762931</v>
      </c>
      <c r="AF354" s="334">
        <f t="shared" si="179"/>
        <v>-95.272292065626075</v>
      </c>
      <c r="AH354">
        <f t="shared" si="180"/>
        <v>0</v>
      </c>
      <c r="AI354">
        <f t="shared" si="185"/>
        <v>0</v>
      </c>
    </row>
    <row r="355" spans="1:35" x14ac:dyDescent="0.25">
      <c r="A355" s="335">
        <v>27863</v>
      </c>
      <c r="B355" s="352">
        <f t="shared" si="181"/>
        <v>27.863</v>
      </c>
      <c r="C355" s="325">
        <f t="shared" si="156"/>
        <v>17.397326040829267</v>
      </c>
      <c r="D355" s="326">
        <f t="shared" si="157"/>
        <v>1.513284529967666</v>
      </c>
      <c r="E355" s="326">
        <f t="shared" si="158"/>
        <v>1.0000667511675605</v>
      </c>
      <c r="F355" s="327">
        <f t="shared" si="159"/>
        <v>1.1553999712080855E-2</v>
      </c>
      <c r="G355" s="326">
        <f t="shared" si="160"/>
        <v>1</v>
      </c>
      <c r="H355" s="327">
        <f t="shared" si="161"/>
        <v>0</v>
      </c>
      <c r="I355" s="325">
        <f t="shared" si="162"/>
        <v>43700.559596095394</v>
      </c>
      <c r="J355" s="328">
        <f t="shared" si="163"/>
        <v>1.5707734437927261</v>
      </c>
      <c r="K355" s="336">
        <f t="shared" si="183"/>
        <v>3.6294198240632394</v>
      </c>
      <c r="L355" s="337">
        <f t="shared" si="184"/>
        <v>1.291659352215258</v>
      </c>
      <c r="M355" s="325">
        <f t="shared" si="164"/>
        <v>1.0131437202002418</v>
      </c>
      <c r="N355" s="337">
        <f t="shared" si="165"/>
        <v>0.16125354045852741</v>
      </c>
      <c r="O355" s="343">
        <f t="shared" si="166"/>
        <v>1.0130226698331515</v>
      </c>
      <c r="P355" s="691">
        <f t="shared" si="167"/>
        <v>0.16051727501436927</v>
      </c>
      <c r="Q355" s="336">
        <f t="shared" si="182"/>
        <v>4.3059307224976289</v>
      </c>
      <c r="R355" s="692">
        <f t="shared" si="168"/>
        <v>0.26525976253185279</v>
      </c>
      <c r="S355" s="329">
        <f t="shared" si="169"/>
        <v>0.99419721069391287</v>
      </c>
      <c r="T355" s="330">
        <f t="shared" si="170"/>
        <v>0.16230432898296546</v>
      </c>
      <c r="U355" s="331">
        <f t="shared" si="171"/>
        <v>-5.765227493411901</v>
      </c>
      <c r="V355" s="332">
        <f t="shared" si="172"/>
        <v>-126.57468376193373</v>
      </c>
      <c r="W355" s="334">
        <f t="shared" si="173"/>
        <v>53.425316238066273</v>
      </c>
      <c r="Y355" s="307">
        <f t="shared" si="174"/>
        <v>27863</v>
      </c>
      <c r="Z355" s="307">
        <f t="shared" si="175"/>
        <v>776346769</v>
      </c>
      <c r="AB355" s="333">
        <f t="shared" si="176"/>
        <v>15.980807438846298</v>
      </c>
      <c r="AC355" s="334">
        <f t="shared" si="177"/>
        <v>-25.23120677866342</v>
      </c>
      <c r="AE355" s="333">
        <f t="shared" si="178"/>
        <v>2.8641223733907073</v>
      </c>
      <c r="AF355" s="334">
        <f t="shared" si="179"/>
        <v>-95.342174505959292</v>
      </c>
      <c r="AH355">
        <f t="shared" si="180"/>
        <v>0</v>
      </c>
      <c r="AI355">
        <f t="shared" si="185"/>
        <v>0</v>
      </c>
    </row>
    <row r="356" spans="1:35" x14ac:dyDescent="0.25">
      <c r="A356" s="335">
        <v>28023.5</v>
      </c>
      <c r="B356" s="352">
        <f t="shared" si="181"/>
        <v>28.023499999999999</v>
      </c>
      <c r="C356" s="325">
        <f t="shared" si="156"/>
        <v>17.497210174124898</v>
      </c>
      <c r="D356" s="326">
        <f t="shared" si="157"/>
        <v>1.5136131997120881</v>
      </c>
      <c r="E356" s="326">
        <f t="shared" si="158"/>
        <v>1.0000675223735676</v>
      </c>
      <c r="F356" s="327">
        <f t="shared" si="159"/>
        <v>1.1620548557963741E-2</v>
      </c>
      <c r="G356" s="326">
        <f t="shared" si="160"/>
        <v>1</v>
      </c>
      <c r="H356" s="327">
        <f t="shared" si="161"/>
        <v>0</v>
      </c>
      <c r="I356" s="325">
        <f t="shared" si="162"/>
        <v>43952.289123120878</v>
      </c>
      <c r="J356" s="328">
        <f t="shared" si="163"/>
        <v>1.5707735748513678</v>
      </c>
      <c r="K356" s="336">
        <f t="shared" si="183"/>
        <v>3.6487435513008126</v>
      </c>
      <c r="L356" s="337">
        <f t="shared" si="184"/>
        <v>1.2931769616960231</v>
      </c>
      <c r="M356" s="325">
        <f t="shared" si="164"/>
        <v>1.0132945842976464</v>
      </c>
      <c r="N356" s="337">
        <f t="shared" si="165"/>
        <v>0.16216625923879865</v>
      </c>
      <c r="O356" s="343">
        <f t="shared" si="166"/>
        <v>1.0131721534829365</v>
      </c>
      <c r="P356" s="691">
        <f t="shared" si="167"/>
        <v>0.16142597215232643</v>
      </c>
      <c r="Q356" s="336">
        <f t="shared" si="182"/>
        <v>4.3076261988373847</v>
      </c>
      <c r="R356" s="692">
        <f t="shared" si="168"/>
        <v>0.26671736906553034</v>
      </c>
      <c r="S356" s="329">
        <f t="shared" si="169"/>
        <v>0.99413206113885544</v>
      </c>
      <c r="T356" s="330">
        <f t="shared" si="170"/>
        <v>0.1632584193166956</v>
      </c>
      <c r="U356" s="331">
        <f t="shared" si="171"/>
        <v>-5.8215761646127664</v>
      </c>
      <c r="V356" s="332">
        <f t="shared" si="172"/>
        <v>-126.64116754922701</v>
      </c>
      <c r="W356" s="334">
        <f t="shared" si="173"/>
        <v>53.358832450772994</v>
      </c>
      <c r="Y356" s="307">
        <f t="shared" si="174"/>
        <v>28023.5</v>
      </c>
      <c r="Z356" s="307">
        <f t="shared" si="175"/>
        <v>785316552.25</v>
      </c>
      <c r="AB356" s="333">
        <f t="shared" si="176"/>
        <v>15.975746800723689</v>
      </c>
      <c r="AC356" s="334">
        <f t="shared" si="177"/>
        <v>-25.196556603525856</v>
      </c>
      <c r="AE356" s="333">
        <f t="shared" si="178"/>
        <v>2.8149721560296386</v>
      </c>
      <c r="AF356" s="334">
        <f t="shared" si="179"/>
        <v>-95.411858276644352</v>
      </c>
      <c r="AH356">
        <f t="shared" si="180"/>
        <v>0</v>
      </c>
      <c r="AI356">
        <f t="shared" si="185"/>
        <v>0</v>
      </c>
    </row>
    <row r="357" spans="1:35" x14ac:dyDescent="0.25">
      <c r="A357" s="335">
        <v>28184</v>
      </c>
      <c r="B357" s="352">
        <f t="shared" si="181"/>
        <v>28.184000000000001</v>
      </c>
      <c r="C357" s="325">
        <f t="shared" si="156"/>
        <v>17.597096176078331</v>
      </c>
      <c r="D357" s="326">
        <f t="shared" si="157"/>
        <v>1.5139381382498973</v>
      </c>
      <c r="E357" s="326">
        <f t="shared" si="158"/>
        <v>1.0000682980086157</v>
      </c>
      <c r="F357" s="327">
        <f t="shared" si="159"/>
        <v>1.1687097300913168E-2</v>
      </c>
      <c r="G357" s="326">
        <f t="shared" si="160"/>
        <v>1</v>
      </c>
      <c r="H357" s="327">
        <f t="shared" si="161"/>
        <v>0</v>
      </c>
      <c r="I357" s="325">
        <f t="shared" si="162"/>
        <v>44204.018650147111</v>
      </c>
      <c r="J357" s="328">
        <f t="shared" si="163"/>
        <v>1.5707737044173251</v>
      </c>
      <c r="K357" s="336">
        <f t="shared" si="183"/>
        <v>3.6680755935477203</v>
      </c>
      <c r="L357" s="337">
        <f t="shared" si="184"/>
        <v>1.2946785779386207</v>
      </c>
      <c r="M357" s="325">
        <f t="shared" si="164"/>
        <v>1.0134462922740217</v>
      </c>
      <c r="N357" s="337">
        <f t="shared" si="165"/>
        <v>0.16307870551988279</v>
      </c>
      <c r="O357" s="343">
        <f t="shared" si="166"/>
        <v>1.0133224734926261</v>
      </c>
      <c r="P357" s="691">
        <f t="shared" si="167"/>
        <v>0.16233440044121586</v>
      </c>
      <c r="Q357" s="336">
        <f t="shared" si="182"/>
        <v>4.3093307408436514</v>
      </c>
      <c r="R357" s="692">
        <f t="shared" si="168"/>
        <v>0.26817383058361688</v>
      </c>
      <c r="S357" s="329">
        <f t="shared" si="169"/>
        <v>0.99406658129655234</v>
      </c>
      <c r="T357" s="330">
        <f t="shared" si="170"/>
        <v>0.16421283976639664</v>
      </c>
      <c r="U357" s="331">
        <f t="shared" si="171"/>
        <v>-5.8775957340793239</v>
      </c>
      <c r="V357" s="332">
        <f t="shared" si="172"/>
        <v>-126.70830692010512</v>
      </c>
      <c r="W357" s="334">
        <f t="shared" si="173"/>
        <v>53.291693079894884</v>
      </c>
      <c r="Y357" s="307">
        <f t="shared" si="174"/>
        <v>28184</v>
      </c>
      <c r="Z357" s="307">
        <f t="shared" si="175"/>
        <v>794337856</v>
      </c>
      <c r="AB357" s="333">
        <f t="shared" si="176"/>
        <v>15.97074011331358</v>
      </c>
      <c r="AC357" s="334">
        <f t="shared" si="177"/>
        <v>-25.162807074859206</v>
      </c>
      <c r="AE357" s="333">
        <f t="shared" si="178"/>
        <v>2.7661070369062593</v>
      </c>
      <c r="AF357" s="334">
        <f t="shared" si="179"/>
        <v>-95.481347185087316</v>
      </c>
      <c r="AH357">
        <f t="shared" si="180"/>
        <v>0</v>
      </c>
      <c r="AI357">
        <f t="shared" si="185"/>
        <v>0</v>
      </c>
    </row>
    <row r="358" spans="1:35" x14ac:dyDescent="0.25">
      <c r="A358" s="335">
        <v>28348</v>
      </c>
      <c r="B358" s="352">
        <f t="shared" si="181"/>
        <v>28.347999999999999</v>
      </c>
      <c r="C358" s="325">
        <f t="shared" si="156"/>
        <v>17.699162274760223</v>
      </c>
      <c r="D358" s="326">
        <f t="shared" si="157"/>
        <v>1.514266374188852</v>
      </c>
      <c r="E358" s="326">
        <f t="shared" si="158"/>
        <v>1.0000690951327822</v>
      </c>
      <c r="F358" s="327">
        <f t="shared" si="159"/>
        <v>1.1755097155618233E-2</v>
      </c>
      <c r="G358" s="326">
        <f t="shared" si="160"/>
        <v>1</v>
      </c>
      <c r="H358" s="327">
        <f t="shared" si="161"/>
        <v>0</v>
      </c>
      <c r="I358" s="325">
        <f t="shared" si="162"/>
        <v>44461.237606112365</v>
      </c>
      <c r="J358" s="328">
        <f t="shared" si="163"/>
        <v>1.5707738352932217</v>
      </c>
      <c r="K358" s="336">
        <f t="shared" si="183"/>
        <v>3.6878376597269198</v>
      </c>
      <c r="L358" s="337">
        <f t="shared" si="184"/>
        <v>1.2961966742242643</v>
      </c>
      <c r="M358" s="325">
        <f t="shared" si="164"/>
        <v>1.0136021798129047</v>
      </c>
      <c r="N358" s="337">
        <f t="shared" si="165"/>
        <v>0.16401076645279927</v>
      </c>
      <c r="O358" s="343">
        <f t="shared" si="166"/>
        <v>1.0134769350378727</v>
      </c>
      <c r="P358" s="691">
        <f t="shared" si="167"/>
        <v>0.16326235955049812</v>
      </c>
      <c r="Q358" s="336">
        <f t="shared" si="182"/>
        <v>4.3110818067225871</v>
      </c>
      <c r="R358" s="692">
        <f t="shared" si="168"/>
        <v>0.26966086527466188</v>
      </c>
      <c r="S358" s="329">
        <f t="shared" si="169"/>
        <v>0.99399933316963252</v>
      </c>
      <c r="T358" s="330">
        <f t="shared" si="170"/>
        <v>0.1651884160770424</v>
      </c>
      <c r="U358" s="331">
        <f t="shared" si="171"/>
        <v>-5.9345015782559773</v>
      </c>
      <c r="V358" s="332">
        <f t="shared" si="172"/>
        <v>-126.77757657222533</v>
      </c>
      <c r="W358" s="334">
        <f t="shared" si="173"/>
        <v>53.222423427774672</v>
      </c>
      <c r="Y358" s="307">
        <f t="shared" si="174"/>
        <v>28348</v>
      </c>
      <c r="Z358" s="307">
        <f t="shared" si="175"/>
        <v>803609104</v>
      </c>
      <c r="AB358" s="333">
        <f t="shared" si="176"/>
        <v>15.965678635100481</v>
      </c>
      <c r="AC358" s="334">
        <f t="shared" si="177"/>
        <v>-25.129237221100635</v>
      </c>
      <c r="AE358" s="333">
        <f t="shared" si="178"/>
        <v>2.7164675073729216</v>
      </c>
      <c r="AF358" s="334">
        <f t="shared" si="179"/>
        <v>-95.552154019665693</v>
      </c>
      <c r="AH358">
        <f t="shared" si="180"/>
        <v>0</v>
      </c>
      <c r="AI358">
        <f t="shared" si="185"/>
        <v>0</v>
      </c>
    </row>
    <row r="359" spans="1:35" x14ac:dyDescent="0.25">
      <c r="A359" s="335">
        <v>28512</v>
      </c>
      <c r="B359" s="352">
        <f t="shared" si="181"/>
        <v>28.512</v>
      </c>
      <c r="C359" s="325">
        <f t="shared" si="156"/>
        <v>17.801230258462194</v>
      </c>
      <c r="D359" s="326">
        <f t="shared" si="157"/>
        <v>1.5145908461101745</v>
      </c>
      <c r="E359" s="326">
        <f t="shared" si="158"/>
        <v>1.0000698968812411</v>
      </c>
      <c r="F359" s="327">
        <f t="shared" si="159"/>
        <v>1.182309690160779E-2</v>
      </c>
      <c r="G359" s="326">
        <f t="shared" si="160"/>
        <v>1</v>
      </c>
      <c r="H359" s="327">
        <f t="shared" si="161"/>
        <v>0</v>
      </c>
      <c r="I359" s="325">
        <f t="shared" si="162"/>
        <v>44718.456562078376</v>
      </c>
      <c r="J359" s="328">
        <f t="shared" si="163"/>
        <v>1.5707739646635315</v>
      </c>
      <c r="K359" s="336">
        <f t="shared" si="183"/>
        <v>3.7076081343434231</v>
      </c>
      <c r="L359" s="337">
        <f t="shared" si="184"/>
        <v>1.297698583726802</v>
      </c>
      <c r="M359" s="325">
        <f t="shared" si="164"/>
        <v>1.0137589476348403</v>
      </c>
      <c r="N359" s="337">
        <f t="shared" si="165"/>
        <v>0.16494253992691471</v>
      </c>
      <c r="O359" s="343">
        <f t="shared" si="166"/>
        <v>1.0136322690299122</v>
      </c>
      <c r="P359" s="691">
        <f t="shared" si="167"/>
        <v>0.16419003504837398</v>
      </c>
      <c r="Q359" s="336">
        <f t="shared" si="182"/>
        <v>4.3128423152250175</v>
      </c>
      <c r="R359" s="692">
        <f t="shared" si="168"/>
        <v>0.27114669449670886</v>
      </c>
      <c r="S359" s="329">
        <f t="shared" si="169"/>
        <v>0.99393174180977872</v>
      </c>
      <c r="T359" s="330">
        <f t="shared" si="170"/>
        <v>0.16616434103721359</v>
      </c>
      <c r="U359" s="331">
        <f t="shared" si="171"/>
        <v>-5.991073069242125</v>
      </c>
      <c r="V359" s="332">
        <f t="shared" si="172"/>
        <v>-126.84750860376398</v>
      </c>
      <c r="W359" s="334">
        <f t="shared" si="173"/>
        <v>53.152491396236016</v>
      </c>
      <c r="Y359" s="307">
        <f t="shared" si="174"/>
        <v>28512</v>
      </c>
      <c r="Z359" s="307">
        <f t="shared" si="175"/>
        <v>812934144</v>
      </c>
      <c r="AB359" s="333">
        <f t="shared" si="176"/>
        <v>15.960670805725305</v>
      </c>
      <c r="AC359" s="334">
        <f t="shared" si="177"/>
        <v>-25.096578245259114</v>
      </c>
      <c r="AE359" s="333">
        <f t="shared" si="178"/>
        <v>2.667118991964363</v>
      </c>
      <c r="AF359" s="334">
        <f t="shared" si="179"/>
        <v>-95.62276517429477</v>
      </c>
      <c r="AH359">
        <f t="shared" si="180"/>
        <v>0</v>
      </c>
      <c r="AI359">
        <f t="shared" si="185"/>
        <v>0</v>
      </c>
    </row>
    <row r="360" spans="1:35" x14ac:dyDescent="0.25">
      <c r="A360" s="335">
        <v>28676</v>
      </c>
      <c r="B360" s="352">
        <f t="shared" si="181"/>
        <v>28.675999999999998</v>
      </c>
      <c r="C360" s="325">
        <f t="shared" si="156"/>
        <v>17.903300094944356</v>
      </c>
      <c r="D360" s="326">
        <f t="shared" si="157"/>
        <v>1.5149116183229145</v>
      </c>
      <c r="E360" s="326">
        <f t="shared" si="158"/>
        <v>1.0000707032539815</v>
      </c>
      <c r="F360" s="327">
        <f t="shared" si="159"/>
        <v>1.1891096538253243E-2</v>
      </c>
      <c r="G360" s="326">
        <f t="shared" si="160"/>
        <v>1</v>
      </c>
      <c r="H360" s="327">
        <f t="shared" si="161"/>
        <v>0</v>
      </c>
      <c r="I360" s="325">
        <f t="shared" si="162"/>
        <v>44975.675518045122</v>
      </c>
      <c r="J360" s="328">
        <f t="shared" si="163"/>
        <v>1.5707740925540861</v>
      </c>
      <c r="K360" s="336">
        <f t="shared" si="183"/>
        <v>3.7273868835993738</v>
      </c>
      <c r="L360" s="337">
        <f t="shared" si="184"/>
        <v>1.2991845572932639</v>
      </c>
      <c r="M360" s="325">
        <f t="shared" si="164"/>
        <v>1.0139165953315108</v>
      </c>
      <c r="N360" s="337">
        <f t="shared" si="165"/>
        <v>0.16587402445800842</v>
      </c>
      <c r="O360" s="343">
        <f t="shared" si="166"/>
        <v>1.0137884750677122</v>
      </c>
      <c r="P360" s="691">
        <f t="shared" si="167"/>
        <v>0.16511742546889671</v>
      </c>
      <c r="Q360" s="336">
        <f t="shared" si="182"/>
        <v>4.3146122547930936</v>
      </c>
      <c r="R360" s="692">
        <f t="shared" si="168"/>
        <v>0.27263131325426015</v>
      </c>
      <c r="S360" s="329">
        <f t="shared" si="169"/>
        <v>0.99386380804139673</v>
      </c>
      <c r="T360" s="330">
        <f t="shared" si="170"/>
        <v>0.16714061665753904</v>
      </c>
      <c r="U360" s="331">
        <f t="shared" si="171"/>
        <v>-6.0473147478008702</v>
      </c>
      <c r="V360" s="332">
        <f t="shared" si="172"/>
        <v>-126.91809215633066</v>
      </c>
      <c r="W360" s="334">
        <f t="shared" si="173"/>
        <v>53.081907843669342</v>
      </c>
      <c r="Y360" s="307">
        <f t="shared" si="174"/>
        <v>28676</v>
      </c>
      <c r="Z360" s="307">
        <f t="shared" si="175"/>
        <v>822312976</v>
      </c>
      <c r="AB360" s="333">
        <f t="shared" si="176"/>
        <v>15.955715324010423</v>
      </c>
      <c r="AC360" s="334">
        <f t="shared" si="177"/>
        <v>-25.064815691298964</v>
      </c>
      <c r="AE360" s="333">
        <f t="shared" si="178"/>
        <v>2.6180582125230307</v>
      </c>
      <c r="AF360" s="334">
        <f t="shared" si="179"/>
        <v>-95.693184448848271</v>
      </c>
      <c r="AH360">
        <f t="shared" si="180"/>
        <v>0</v>
      </c>
      <c r="AI360">
        <f t="shared" si="185"/>
        <v>0</v>
      </c>
    </row>
    <row r="361" spans="1:35" x14ac:dyDescent="0.25">
      <c r="A361" s="335">
        <v>28840</v>
      </c>
      <c r="B361" s="352">
        <f t="shared" si="181"/>
        <v>28.84</v>
      </c>
      <c r="C361" s="325">
        <f t="shared" si="156"/>
        <v>18.005371752697275</v>
      </c>
      <c r="D361" s="326">
        <f t="shared" si="157"/>
        <v>1.5152287536809468</v>
      </c>
      <c r="E361" s="326">
        <f t="shared" si="158"/>
        <v>1.0000715142509917</v>
      </c>
      <c r="F361" s="327">
        <f t="shared" si="159"/>
        <v>1.1959096064926008E-2</v>
      </c>
      <c r="G361" s="326">
        <f t="shared" si="160"/>
        <v>1</v>
      </c>
      <c r="H361" s="327">
        <f t="shared" si="161"/>
        <v>0</v>
      </c>
      <c r="I361" s="325">
        <f t="shared" si="162"/>
        <v>45232.894474012603</v>
      </c>
      <c r="J361" s="328">
        <f t="shared" si="163"/>
        <v>1.5707742189901295</v>
      </c>
      <c r="K361" s="336">
        <f t="shared" si="183"/>
        <v>3.7471737764664064</v>
      </c>
      <c r="L361" s="337">
        <f t="shared" si="184"/>
        <v>1.3006548407571488</v>
      </c>
      <c r="M361" s="325">
        <f t="shared" si="164"/>
        <v>1.014075122492561</v>
      </c>
      <c r="N361" s="337">
        <f t="shared" si="165"/>
        <v>0.16680521856478572</v>
      </c>
      <c r="O361" s="343">
        <f t="shared" si="166"/>
        <v>1.0139455527482368</v>
      </c>
      <c r="P361" s="691">
        <f t="shared" si="167"/>
        <v>0.16604452934898167</v>
      </c>
      <c r="Q361" s="336">
        <f t="shared" si="182"/>
        <v>4.3163916138260614</v>
      </c>
      <c r="R361" s="692">
        <f t="shared" si="168"/>
        <v>0.27411471658114722</v>
      </c>
      <c r="S361" s="329">
        <f t="shared" si="169"/>
        <v>0.99379553269392296</v>
      </c>
      <c r="T361" s="330">
        <f t="shared" si="170"/>
        <v>0.16811724494842331</v>
      </c>
      <c r="U361" s="331">
        <f t="shared" si="171"/>
        <v>-6.1032310648618582</v>
      </c>
      <c r="V361" s="332">
        <f t="shared" si="172"/>
        <v>-126.98931657705134</v>
      </c>
      <c r="W361" s="334">
        <f t="shared" si="173"/>
        <v>53.010683422948659</v>
      </c>
      <c r="Y361" s="307">
        <f t="shared" si="174"/>
        <v>28840</v>
      </c>
      <c r="Z361" s="307">
        <f t="shared" si="175"/>
        <v>831745600</v>
      </c>
      <c r="AB361" s="333">
        <f t="shared" si="176"/>
        <v>15.95081092328401</v>
      </c>
      <c r="AC361" s="334">
        <f t="shared" si="177"/>
        <v>-25.033935390572658</v>
      </c>
      <c r="AE361" s="333">
        <f t="shared" si="178"/>
        <v>2.5692819461151761</v>
      </c>
      <c r="AF361" s="334">
        <f t="shared" si="179"/>
        <v>-95.763415559811648</v>
      </c>
      <c r="AH361">
        <f t="shared" si="180"/>
        <v>0</v>
      </c>
      <c r="AI361">
        <f t="shared" si="185"/>
        <v>0</v>
      </c>
    </row>
    <row r="362" spans="1:35" x14ac:dyDescent="0.25">
      <c r="A362" s="335">
        <v>29008</v>
      </c>
      <c r="B362" s="352">
        <f t="shared" si="181"/>
        <v>29.007999999999999</v>
      </c>
      <c r="C362" s="325">
        <f t="shared" si="156"/>
        <v>18.109934819331954</v>
      </c>
      <c r="D362" s="326">
        <f t="shared" si="157"/>
        <v>1.515549917270361</v>
      </c>
      <c r="E362" s="326">
        <f t="shared" si="158"/>
        <v>1.0000723498232311</v>
      </c>
      <c r="F362" s="327">
        <f t="shared" si="159"/>
        <v>1.2028754001953712E-2</v>
      </c>
      <c r="G362" s="326">
        <f t="shared" si="160"/>
        <v>1</v>
      </c>
      <c r="H362" s="327">
        <f t="shared" si="161"/>
        <v>0</v>
      </c>
      <c r="I362" s="325">
        <f t="shared" si="162"/>
        <v>45496.387063053196</v>
      </c>
      <c r="J362" s="328">
        <f t="shared" si="163"/>
        <v>1.5707743470276088</v>
      </c>
      <c r="K362" s="336">
        <f t="shared" si="183"/>
        <v>3.7674515863200733</v>
      </c>
      <c r="L362" s="337">
        <f t="shared" si="184"/>
        <v>1.3021449678235721</v>
      </c>
      <c r="M362" s="325">
        <f t="shared" si="164"/>
        <v>1.0142384276401437</v>
      </c>
      <c r="N362" s="337">
        <f t="shared" si="165"/>
        <v>0.16775882204164111</v>
      </c>
      <c r="O362" s="343">
        <f t="shared" si="166"/>
        <v>1.0141073649596566</v>
      </c>
      <c r="P362" s="691">
        <f t="shared" si="167"/>
        <v>0.1669939468836131</v>
      </c>
      <c r="Q362" s="336">
        <f t="shared" si="182"/>
        <v>4.3182241265698549</v>
      </c>
      <c r="R362" s="692">
        <f t="shared" si="168"/>
        <v>0.27563303505751585</v>
      </c>
      <c r="S362" s="329">
        <f t="shared" si="169"/>
        <v>0.99372523878890062</v>
      </c>
      <c r="T362" s="330">
        <f t="shared" si="170"/>
        <v>0.16911806122082429</v>
      </c>
      <c r="U362" s="331">
        <f t="shared" si="171"/>
        <v>-6.1601783933656389</v>
      </c>
      <c r="V362" s="332">
        <f t="shared" si="172"/>
        <v>-127.06293175965575</v>
      </c>
      <c r="W362" s="334">
        <f t="shared" si="173"/>
        <v>52.937068240344246</v>
      </c>
      <c r="Y362" s="307">
        <f t="shared" si="174"/>
        <v>29008</v>
      </c>
      <c r="Z362" s="307">
        <f t="shared" si="175"/>
        <v>841464064</v>
      </c>
      <c r="AB362" s="333">
        <f t="shared" si="176"/>
        <v>15.945838579115058</v>
      </c>
      <c r="AC362" s="334">
        <f t="shared" si="177"/>
        <v>-25.003202189253265</v>
      </c>
      <c r="AE362" s="333">
        <f t="shared" si="178"/>
        <v>2.5196077091464768</v>
      </c>
      <c r="AF362" s="334">
        <f t="shared" si="179"/>
        <v>-95.835168320775665</v>
      </c>
      <c r="AH362">
        <f t="shared" si="180"/>
        <v>0</v>
      </c>
      <c r="AI362">
        <f t="shared" si="185"/>
        <v>0</v>
      </c>
    </row>
    <row r="363" spans="1:35" x14ac:dyDescent="0.25">
      <c r="A363" s="335">
        <v>29176</v>
      </c>
      <c r="B363" s="352">
        <f t="shared" si="181"/>
        <v>29.175999999999998</v>
      </c>
      <c r="C363" s="325">
        <f t="shared" si="156"/>
        <v>18.214499732488086</v>
      </c>
      <c r="D363" s="326">
        <f t="shared" si="157"/>
        <v>1.5158673934516174</v>
      </c>
      <c r="E363" s="326">
        <f t="shared" si="158"/>
        <v>1.0000731902480418</v>
      </c>
      <c r="F363" s="327">
        <f t="shared" si="159"/>
        <v>1.2098411822243464E-2</v>
      </c>
      <c r="G363" s="326">
        <f t="shared" si="160"/>
        <v>1</v>
      </c>
      <c r="H363" s="327">
        <f t="shared" si="161"/>
        <v>0</v>
      </c>
      <c r="I363" s="325">
        <f t="shared" si="162"/>
        <v>45759.879652094525</v>
      </c>
      <c r="J363" s="328">
        <f t="shared" si="163"/>
        <v>1.5707744735905682</v>
      </c>
      <c r="K363" s="336">
        <f t="shared" si="183"/>
        <v>3.7877376721382854</v>
      </c>
      <c r="L363" s="337">
        <f t="shared" si="184"/>
        <v>1.3036191367091194</v>
      </c>
      <c r="M363" s="325">
        <f t="shared" si="164"/>
        <v>1.014402654797721</v>
      </c>
      <c r="N363" s="337">
        <f t="shared" si="165"/>
        <v>0.16871211761705507</v>
      </c>
      <c r="O363" s="343">
        <f t="shared" si="166"/>
        <v>1.0142700909888738</v>
      </c>
      <c r="P363" s="691">
        <f t="shared" si="167"/>
        <v>0.16794306063092831</v>
      </c>
      <c r="Q363" s="336">
        <f t="shared" si="182"/>
        <v>4.3200664990875639</v>
      </c>
      <c r="R363" s="692">
        <f t="shared" si="168"/>
        <v>0.27715006763555661</v>
      </c>
      <c r="S363" s="329">
        <f t="shared" si="169"/>
        <v>0.99365458821740416</v>
      </c>
      <c r="T363" s="330">
        <f t="shared" si="170"/>
        <v>0.17011925184707591</v>
      </c>
      <c r="U363" s="331">
        <f t="shared" si="171"/>
        <v>-6.2167934717592654</v>
      </c>
      <c r="V363" s="332">
        <f t="shared" si="172"/>
        <v>-127.13719746458048</v>
      </c>
      <c r="W363" s="334">
        <f t="shared" si="173"/>
        <v>52.862802535419519</v>
      </c>
      <c r="Y363" s="307">
        <f t="shared" si="174"/>
        <v>29176</v>
      </c>
      <c r="Z363" s="307">
        <f t="shared" si="175"/>
        <v>851238976</v>
      </c>
      <c r="AB363" s="333">
        <f t="shared" si="176"/>
        <v>15.94091725363552</v>
      </c>
      <c r="AC363" s="334">
        <f t="shared" si="177"/>
        <v>-24.97336559841094</v>
      </c>
      <c r="AE363" s="333">
        <f t="shared" si="178"/>
        <v>2.4702253588692127</v>
      </c>
      <c r="AF363" s="334">
        <f t="shared" si="179"/>
        <v>-95.906731264398957</v>
      </c>
      <c r="AH363">
        <f t="shared" si="180"/>
        <v>0</v>
      </c>
      <c r="AI363">
        <f t="shared" si="185"/>
        <v>0</v>
      </c>
    </row>
    <row r="364" spans="1:35" x14ac:dyDescent="0.25">
      <c r="A364" s="335">
        <v>29344</v>
      </c>
      <c r="B364" s="352">
        <f t="shared" si="181"/>
        <v>29.344000000000001</v>
      </c>
      <c r="C364" s="325">
        <f t="shared" si="156"/>
        <v>18.319066460545923</v>
      </c>
      <c r="D364" s="326">
        <f t="shared" si="157"/>
        <v>1.5161812453042449</v>
      </c>
      <c r="E364" s="326">
        <f t="shared" si="158"/>
        <v>1.0000740355254114</v>
      </c>
      <c r="F364" s="327">
        <f t="shared" si="159"/>
        <v>1.2168069525119568E-2</v>
      </c>
      <c r="G364" s="326">
        <f t="shared" si="160"/>
        <v>1</v>
      </c>
      <c r="H364" s="327">
        <f t="shared" si="161"/>
        <v>0</v>
      </c>
      <c r="I364" s="325">
        <f t="shared" si="162"/>
        <v>46023.372241136582</v>
      </c>
      <c r="J364" s="328">
        <f t="shared" si="163"/>
        <v>1.5707745987043333</v>
      </c>
      <c r="K364" s="336">
        <f t="shared" si="183"/>
        <v>3.8080319016582913</v>
      </c>
      <c r="L364" s="337">
        <f t="shared" si="184"/>
        <v>1.3050775960936891</v>
      </c>
      <c r="M364" s="325">
        <f t="shared" si="164"/>
        <v>1.014567803517558</v>
      </c>
      <c r="N364" s="337">
        <f t="shared" si="165"/>
        <v>0.16966510370831178</v>
      </c>
      <c r="O364" s="343">
        <f t="shared" si="166"/>
        <v>1.0144337303961299</v>
      </c>
      <c r="P364" s="691">
        <f t="shared" si="167"/>
        <v>0.16889186902757736</v>
      </c>
      <c r="Q364" s="336">
        <f t="shared" si="182"/>
        <v>4.3219187187709167</v>
      </c>
      <c r="R364" s="692">
        <f t="shared" si="168"/>
        <v>0.27866580907280897</v>
      </c>
      <c r="S364" s="329">
        <f t="shared" si="169"/>
        <v>0.99358358188750551</v>
      </c>
      <c r="T364" s="330">
        <f t="shared" si="170"/>
        <v>0.17112081898753981</v>
      </c>
      <c r="U364" s="331">
        <f t="shared" si="171"/>
        <v>-6.2730808063146259</v>
      </c>
      <c r="V364" s="332">
        <f t="shared" si="172"/>
        <v>-127.21210288149656</v>
      </c>
      <c r="W364" s="334">
        <f t="shared" si="173"/>
        <v>52.787897118503437</v>
      </c>
      <c r="Y364" s="307">
        <f t="shared" si="174"/>
        <v>29344</v>
      </c>
      <c r="Z364" s="307">
        <f t="shared" si="175"/>
        <v>861070336</v>
      </c>
      <c r="AB364" s="333">
        <f t="shared" si="176"/>
        <v>15.936045690948381</v>
      </c>
      <c r="AC364" s="334">
        <f t="shared" si="177"/>
        <v>-24.944411280505157</v>
      </c>
      <c r="AE364" s="333">
        <f t="shared" si="178"/>
        <v>2.4211316030046377</v>
      </c>
      <c r="AF364" s="334">
        <f t="shared" si="179"/>
        <v>-95.978108128690607</v>
      </c>
      <c r="AH364">
        <f t="shared" si="180"/>
        <v>0</v>
      </c>
      <c r="AI364">
        <f t="shared" si="185"/>
        <v>0</v>
      </c>
    </row>
    <row r="365" spans="1:35" x14ac:dyDescent="0.25">
      <c r="A365" s="335">
        <v>29512</v>
      </c>
      <c r="B365" s="352">
        <f t="shared" si="181"/>
        <v>29.512</v>
      </c>
      <c r="C365" s="325">
        <f t="shared" si="156"/>
        <v>18.423634972603047</v>
      </c>
      <c r="D365" s="326">
        <f t="shared" si="157"/>
        <v>1.5164915344785641</v>
      </c>
      <c r="E365" s="326">
        <f t="shared" si="158"/>
        <v>1.0000748856553274</v>
      </c>
      <c r="F365" s="327">
        <f t="shared" si="159"/>
        <v>1.223772710990634E-2</v>
      </c>
      <c r="G365" s="326">
        <f t="shared" si="160"/>
        <v>1</v>
      </c>
      <c r="H365" s="327">
        <f t="shared" si="161"/>
        <v>0</v>
      </c>
      <c r="I365" s="325">
        <f t="shared" si="162"/>
        <v>46286.864830179351</v>
      </c>
      <c r="J365" s="328">
        <f t="shared" si="163"/>
        <v>1.5707747223936535</v>
      </c>
      <c r="K365" s="336">
        <f t="shared" si="183"/>
        <v>3.8283341453693356</v>
      </c>
      <c r="L365" s="337">
        <f t="shared" si="184"/>
        <v>1.3065205896525414</v>
      </c>
      <c r="M365" s="325">
        <f t="shared" si="164"/>
        <v>1.0147338733497</v>
      </c>
      <c r="N365" s="337">
        <f t="shared" si="165"/>
        <v>0.17061777873597139</v>
      </c>
      <c r="O365" s="343">
        <f t="shared" si="166"/>
        <v>1.0145982827394833</v>
      </c>
      <c r="P365" s="691">
        <f t="shared" si="167"/>
        <v>0.16984037051341508</v>
      </c>
      <c r="Q365" s="336">
        <f t="shared" si="182"/>
        <v>4.3237807729659146</v>
      </c>
      <c r="R365" s="692">
        <f t="shared" si="168"/>
        <v>0.28018025415929487</v>
      </c>
      <c r="S365" s="329">
        <f t="shared" si="169"/>
        <v>0.9935122207128364</v>
      </c>
      <c r="T365" s="330">
        <f t="shared" si="170"/>
        <v>0.17212276480230945</v>
      </c>
      <c r="U365" s="331">
        <f t="shared" si="171"/>
        <v>-6.3290448141869948</v>
      </c>
      <c r="V365" s="332">
        <f t="shared" si="172"/>
        <v>-127.28763740674889</v>
      </c>
      <c r="W365" s="334">
        <f t="shared" si="173"/>
        <v>52.712362593251115</v>
      </c>
      <c r="Y365" s="307">
        <f t="shared" si="174"/>
        <v>29512</v>
      </c>
      <c r="Z365" s="307">
        <f t="shared" si="175"/>
        <v>870958144</v>
      </c>
      <c r="AB365" s="333">
        <f t="shared" si="176"/>
        <v>15.931222668628653</v>
      </c>
      <c r="AC365" s="334">
        <f t="shared" si="177"/>
        <v>-24.916325184894674</v>
      </c>
      <c r="AE365" s="333">
        <f t="shared" si="178"/>
        <v>2.3723232048114218</v>
      </c>
      <c r="AF365" s="334">
        <f t="shared" si="179"/>
        <v>-96.04930256975679</v>
      </c>
      <c r="AH365">
        <f t="shared" si="180"/>
        <v>0</v>
      </c>
      <c r="AI365">
        <f t="shared" si="185"/>
        <v>0</v>
      </c>
    </row>
    <row r="366" spans="1:35" x14ac:dyDescent="0.25">
      <c r="A366" s="335">
        <v>29684</v>
      </c>
      <c r="B366" s="352">
        <f t="shared" si="181"/>
        <v>29.684000000000001</v>
      </c>
      <c r="C366" s="325">
        <f t="shared" si="156"/>
        <v>18.530695027820173</v>
      </c>
      <c r="D366" s="326">
        <f t="shared" si="157"/>
        <v>1.5168055834813536</v>
      </c>
      <c r="E366" s="326">
        <f t="shared" si="158"/>
        <v>1.0000757610536464</v>
      </c>
      <c r="F366" s="327">
        <f t="shared" si="159"/>
        <v>1.2309043085570764E-2</v>
      </c>
      <c r="G366" s="326">
        <f t="shared" si="160"/>
        <v>1</v>
      </c>
      <c r="H366" s="327">
        <f t="shared" si="161"/>
        <v>0</v>
      </c>
      <c r="I366" s="325">
        <f t="shared" si="162"/>
        <v>46556.631052295299</v>
      </c>
      <c r="J366" s="328">
        <f t="shared" si="163"/>
        <v>1.5707748475774903</v>
      </c>
      <c r="K366" s="336">
        <f t="shared" si="183"/>
        <v>3.8491279460985233</v>
      </c>
      <c r="L366" s="337">
        <f t="shared" si="184"/>
        <v>1.307982166962373</v>
      </c>
      <c r="M366" s="325">
        <f t="shared" si="164"/>
        <v>1.0149048510235459</v>
      </c>
      <c r="N366" s="337">
        <f t="shared" si="165"/>
        <v>0.17159281259537651</v>
      </c>
      <c r="O366" s="343">
        <f t="shared" si="166"/>
        <v>1.0147676983317264</v>
      </c>
      <c r="P366" s="691">
        <f t="shared" si="167"/>
        <v>0.17081113578330454</v>
      </c>
      <c r="Q366" s="336">
        <f t="shared" si="182"/>
        <v>4.3256973370551846</v>
      </c>
      <c r="R366" s="692">
        <f t="shared" si="168"/>
        <v>0.28172940903947369</v>
      </c>
      <c r="S366" s="329">
        <f t="shared" si="169"/>
        <v>0.99343879380408173</v>
      </c>
      <c r="T366" s="330">
        <f t="shared" si="170"/>
        <v>0.17314896103085933</v>
      </c>
      <c r="U366" s="331">
        <f t="shared" si="171"/>
        <v>-6.3860108540132963</v>
      </c>
      <c r="V366" s="332">
        <f t="shared" si="172"/>
        <v>-127.365611267519</v>
      </c>
      <c r="W366" s="334">
        <f t="shared" si="173"/>
        <v>52.634388732481</v>
      </c>
      <c r="Y366" s="307">
        <f t="shared" si="174"/>
        <v>29684</v>
      </c>
      <c r="Z366" s="307">
        <f t="shared" si="175"/>
        <v>881139856</v>
      </c>
      <c r="AB366" s="333">
        <f t="shared" si="176"/>
        <v>15.926333857732264</v>
      </c>
      <c r="AC366" s="334">
        <f t="shared" si="177"/>
        <v>-24.888455471109175</v>
      </c>
      <c r="AE366" s="333">
        <f t="shared" si="178"/>
        <v>2.3226450089563948</v>
      </c>
      <c r="AF366" s="334">
        <f t="shared" si="179"/>
        <v>-96.122006860690732</v>
      </c>
      <c r="AH366">
        <f t="shared" si="180"/>
        <v>0</v>
      </c>
      <c r="AI366">
        <f t="shared" si="185"/>
        <v>0</v>
      </c>
    </row>
    <row r="367" spans="1:35" x14ac:dyDescent="0.25">
      <c r="A367" s="335">
        <v>29856</v>
      </c>
      <c r="B367" s="352">
        <f t="shared" si="181"/>
        <v>29.856000000000002</v>
      </c>
      <c r="C367" s="325">
        <f t="shared" si="156"/>
        <v>18.637756889663237</v>
      </c>
      <c r="D367" s="326">
        <f t="shared" si="157"/>
        <v>1.5171160244975652</v>
      </c>
      <c r="E367" s="326">
        <f t="shared" si="158"/>
        <v>1.00007664153831</v>
      </c>
      <c r="F367" s="327">
        <f t="shared" si="159"/>
        <v>1.2380358936022278E-2</v>
      </c>
      <c r="G367" s="326">
        <f t="shared" si="160"/>
        <v>1</v>
      </c>
      <c r="H367" s="327">
        <f t="shared" si="161"/>
        <v>0</v>
      </c>
      <c r="I367" s="325">
        <f t="shared" si="162"/>
        <v>46826.397274411953</v>
      </c>
      <c r="J367" s="328">
        <f t="shared" si="163"/>
        <v>1.5707749713189625</v>
      </c>
      <c r="K367" s="336">
        <f t="shared" si="183"/>
        <v>3.8699298809940976</v>
      </c>
      <c r="L367" s="337">
        <f t="shared" si="184"/>
        <v>1.3094280345751714</v>
      </c>
      <c r="M367" s="325">
        <f t="shared" si="164"/>
        <v>1.0150767932327529</v>
      </c>
      <c r="N367" s="337">
        <f t="shared" si="165"/>
        <v>0.17256751706236012</v>
      </c>
      <c r="O367" s="343">
        <f t="shared" si="166"/>
        <v>1.0149380699062578</v>
      </c>
      <c r="P367" s="691">
        <f t="shared" si="167"/>
        <v>0.17178157605436498</v>
      </c>
      <c r="Q367" s="336">
        <f t="shared" si="182"/>
        <v>4.3276241825528254</v>
      </c>
      <c r="R367" s="692">
        <f t="shared" si="168"/>
        <v>0.28327719415542524</v>
      </c>
      <c r="S367" s="329">
        <f t="shared" si="169"/>
        <v>0.99336499690802116</v>
      </c>
      <c r="T367" s="330">
        <f t="shared" si="170"/>
        <v>0.17417555876187699</v>
      </c>
      <c r="U367" s="331">
        <f t="shared" si="171"/>
        <v>-6.4426470811981602</v>
      </c>
      <c r="V367" s="332">
        <f t="shared" si="172"/>
        <v>-127.44422270070994</v>
      </c>
      <c r="W367" s="334">
        <f t="shared" si="173"/>
        <v>52.555777299290057</v>
      </c>
      <c r="Y367" s="307">
        <f t="shared" si="174"/>
        <v>29856</v>
      </c>
      <c r="Z367" s="307">
        <f t="shared" si="175"/>
        <v>891380736</v>
      </c>
      <c r="AB367" s="333">
        <f t="shared" si="176"/>
        <v>15.921493436030945</v>
      </c>
      <c r="AC367" s="334">
        <f t="shared" si="177"/>
        <v>-24.861466901225153</v>
      </c>
      <c r="AE367" s="333">
        <f t="shared" si="178"/>
        <v>2.2732592278386674</v>
      </c>
      <c r="AF367" s="334">
        <f t="shared" si="179"/>
        <v>-96.194527440792029</v>
      </c>
      <c r="AH367">
        <f t="shared" si="180"/>
        <v>0</v>
      </c>
      <c r="AI367">
        <f t="shared" si="185"/>
        <v>0</v>
      </c>
    </row>
    <row r="368" spans="1:35" x14ac:dyDescent="0.25">
      <c r="A368" s="335">
        <v>30028</v>
      </c>
      <c r="B368" s="352">
        <f t="shared" si="181"/>
        <v>30.027999999999999</v>
      </c>
      <c r="C368" s="325">
        <f t="shared" si="156"/>
        <v>18.744820527176369</v>
      </c>
      <c r="D368" s="326">
        <f t="shared" si="157"/>
        <v>1.5174229192893882</v>
      </c>
      <c r="E368" s="326">
        <f t="shared" si="158"/>
        <v>1.0000775271093052</v>
      </c>
      <c r="F368" s="327">
        <f t="shared" si="159"/>
        <v>1.2451674660535792E-2</v>
      </c>
      <c r="G368" s="326">
        <f t="shared" si="160"/>
        <v>1</v>
      </c>
      <c r="H368" s="327">
        <f t="shared" si="161"/>
        <v>0</v>
      </c>
      <c r="I368" s="325">
        <f t="shared" si="162"/>
        <v>47096.163496529327</v>
      </c>
      <c r="J368" s="328">
        <f t="shared" si="163"/>
        <v>1.5707750936428555</v>
      </c>
      <c r="K368" s="336">
        <f t="shared" si="183"/>
        <v>3.8907398195875054</v>
      </c>
      <c r="L368" s="337">
        <f t="shared" si="184"/>
        <v>1.3108584384704687</v>
      </c>
      <c r="M368" s="325">
        <f t="shared" si="164"/>
        <v>1.0152496994872617</v>
      </c>
      <c r="N368" s="337">
        <f t="shared" si="165"/>
        <v>0.17354189045271837</v>
      </c>
      <c r="O368" s="343">
        <f t="shared" si="166"/>
        <v>1.0151093969817337</v>
      </c>
      <c r="P368" s="691">
        <f t="shared" si="167"/>
        <v>0.17275168966286511</v>
      </c>
      <c r="Q368" s="336">
        <f t="shared" si="182"/>
        <v>4.3295612957328649</v>
      </c>
      <c r="R368" s="692">
        <f t="shared" si="168"/>
        <v>0.28482360402219031</v>
      </c>
      <c r="S368" s="329">
        <f t="shared" si="169"/>
        <v>0.99329083102326177</v>
      </c>
      <c r="T368" s="330">
        <f t="shared" si="170"/>
        <v>0.17520256031254172</v>
      </c>
      <c r="U368" s="331">
        <f t="shared" si="171"/>
        <v>-6.4989579604057859</v>
      </c>
      <c r="V368" s="332">
        <f t="shared" si="172"/>
        <v>-127.52346097023381</v>
      </c>
      <c r="W368" s="334">
        <f t="shared" si="173"/>
        <v>52.476539029766187</v>
      </c>
      <c r="Y368" s="307">
        <f t="shared" si="174"/>
        <v>30028</v>
      </c>
      <c r="Z368" s="307">
        <f t="shared" si="175"/>
        <v>901680784</v>
      </c>
      <c r="AB368" s="333">
        <f t="shared" si="176"/>
        <v>15.91670019402547</v>
      </c>
      <c r="AC368" s="334">
        <f t="shared" si="177"/>
        <v>-24.83534528657588</v>
      </c>
      <c r="AE368" s="333">
        <f t="shared" si="178"/>
        <v>2.2241625608722089</v>
      </c>
      <c r="AF368" s="334">
        <f t="shared" si="179"/>
        <v>-96.266867981579637</v>
      </c>
      <c r="AH368">
        <f t="shared" si="180"/>
        <v>0</v>
      </c>
      <c r="AI368">
        <f t="shared" si="185"/>
        <v>0</v>
      </c>
    </row>
    <row r="369" spans="1:35" x14ac:dyDescent="0.25">
      <c r="A369" s="335">
        <v>30200</v>
      </c>
      <c r="B369" s="352">
        <f t="shared" si="181"/>
        <v>30.2</v>
      </c>
      <c r="C369" s="325">
        <f t="shared" si="156"/>
        <v>18.851885910106411</v>
      </c>
      <c r="D369" s="326">
        <f t="shared" si="157"/>
        <v>1.5177263282186562</v>
      </c>
      <c r="E369" s="326">
        <f t="shared" si="158"/>
        <v>1.000078417766618</v>
      </c>
      <c r="F369" s="327">
        <f t="shared" si="159"/>
        <v>1.252299025838623E-2</v>
      </c>
      <c r="G369" s="326">
        <f t="shared" si="160"/>
        <v>1</v>
      </c>
      <c r="H369" s="327">
        <f t="shared" si="161"/>
        <v>0</v>
      </c>
      <c r="I369" s="325">
        <f t="shared" si="162"/>
        <v>47365.9297186474</v>
      </c>
      <c r="J369" s="328">
        <f t="shared" si="163"/>
        <v>1.5707752145733902</v>
      </c>
      <c r="K369" s="336">
        <f t="shared" si="183"/>
        <v>3.9115576341369578</v>
      </c>
      <c r="L369" s="337">
        <f t="shared" si="184"/>
        <v>1.3122736196474059</v>
      </c>
      <c r="M369" s="325">
        <f t="shared" si="164"/>
        <v>1.0154235692945992</v>
      </c>
      <c r="N369" s="337">
        <f t="shared" si="165"/>
        <v>0.17451593108590596</v>
      </c>
      <c r="O369" s="343">
        <f t="shared" si="166"/>
        <v>1.0152816790744363</v>
      </c>
      <c r="P369" s="691">
        <f t="shared" si="167"/>
        <v>0.17372147494865303</v>
      </c>
      <c r="Q369" s="336">
        <f t="shared" si="182"/>
        <v>4.3315086628208093</v>
      </c>
      <c r="R369" s="692">
        <f t="shared" si="168"/>
        <v>0.28636863319067413</v>
      </c>
      <c r="S369" s="329">
        <f t="shared" si="169"/>
        <v>0.99321629715454318</v>
      </c>
      <c r="T369" s="330">
        <f t="shared" si="170"/>
        <v>0.17622996799971363</v>
      </c>
      <c r="U369" s="331">
        <f t="shared" si="171"/>
        <v>-6.5549478680944437</v>
      </c>
      <c r="V369" s="332">
        <f t="shared" si="172"/>
        <v>-127.60331554713211</v>
      </c>
      <c r="W369" s="334">
        <f t="shared" si="173"/>
        <v>52.396684452867888</v>
      </c>
      <c r="Y369" s="307">
        <f t="shared" si="174"/>
        <v>30200</v>
      </c>
      <c r="Z369" s="307">
        <f t="shared" si="175"/>
        <v>912040000</v>
      </c>
      <c r="AB369" s="333">
        <f t="shared" si="176"/>
        <v>15.911952954594664</v>
      </c>
      <c r="AC369" s="334">
        <f t="shared" si="177"/>
        <v>-24.810076724027297</v>
      </c>
      <c r="AE369" s="333">
        <f t="shared" si="178"/>
        <v>2.1753517631892043</v>
      </c>
      <c r="AF369" s="334">
        <f t="shared" si="179"/>
        <v>-96.33903207431969</v>
      </c>
      <c r="AH369">
        <f t="shared" si="180"/>
        <v>0</v>
      </c>
      <c r="AI369">
        <f t="shared" si="185"/>
        <v>0</v>
      </c>
    </row>
    <row r="370" spans="1:35" x14ac:dyDescent="0.25">
      <c r="A370" s="335">
        <v>30375.75</v>
      </c>
      <c r="B370" s="352">
        <f t="shared" si="181"/>
        <v>30.37575</v>
      </c>
      <c r="C370" s="325">
        <f t="shared" si="156"/>
        <v>18.961287339524031</v>
      </c>
      <c r="D370" s="326">
        <f t="shared" si="157"/>
        <v>1.518032812857109</v>
      </c>
      <c r="E370" s="326">
        <f t="shared" si="158"/>
        <v>1.0000793330961846</v>
      </c>
      <c r="F370" s="327">
        <f t="shared" si="159"/>
        <v>1.2595860570530132E-2</v>
      </c>
      <c r="G370" s="326">
        <f t="shared" si="160"/>
        <v>1</v>
      </c>
      <c r="H370" s="327">
        <f t="shared" si="161"/>
        <v>0</v>
      </c>
      <c r="I370" s="325">
        <f t="shared" si="162"/>
        <v>47641.577471771656</v>
      </c>
      <c r="J370" s="328">
        <f t="shared" si="163"/>
        <v>1.5707753367258614</v>
      </c>
      <c r="K370" s="336">
        <f t="shared" si="183"/>
        <v>3.9328373307270161</v>
      </c>
      <c r="L370" s="337">
        <f t="shared" si="184"/>
        <v>1.313704176557885</v>
      </c>
      <c r="M370" s="325">
        <f t="shared" si="164"/>
        <v>1.0156022246465515</v>
      </c>
      <c r="N370" s="337">
        <f t="shared" si="165"/>
        <v>0.17551086260685297</v>
      </c>
      <c r="O370" s="343">
        <f t="shared" si="166"/>
        <v>1.015458703288258</v>
      </c>
      <c r="P370" s="691">
        <f t="shared" si="167"/>
        <v>0.17471206294740055</v>
      </c>
      <c r="Q370" s="336">
        <f t="shared" si="182"/>
        <v>4.3335090643415946</v>
      </c>
      <c r="R370" s="692">
        <f t="shared" si="168"/>
        <v>0.28794591577610035</v>
      </c>
      <c r="S370" s="329">
        <f t="shared" si="169"/>
        <v>0.99313975922017572</v>
      </c>
      <c r="T370" s="330">
        <f t="shared" si="170"/>
        <v>0.17728019748913226</v>
      </c>
      <c r="U370" s="331">
        <f t="shared" si="171"/>
        <v>-6.6118314048699176</v>
      </c>
      <c r="V370" s="332">
        <f t="shared" si="172"/>
        <v>-127.68553700565325</v>
      </c>
      <c r="W370" s="334">
        <f t="shared" si="173"/>
        <v>52.314462994346755</v>
      </c>
      <c r="Y370" s="307">
        <f t="shared" si="174"/>
        <v>30375.75</v>
      </c>
      <c r="Z370" s="307">
        <f t="shared" si="175"/>
        <v>922686188.0625</v>
      </c>
      <c r="AB370" s="333">
        <f t="shared" si="176"/>
        <v>15.907148540329423</v>
      </c>
      <c r="AC370" s="334">
        <f t="shared" si="177"/>
        <v>-24.785124226550913</v>
      </c>
      <c r="AE370" s="333">
        <f t="shared" si="178"/>
        <v>2.1257687436118395</v>
      </c>
      <c r="AF370" s="334">
        <f t="shared" si="179"/>
        <v>-96.412590906598908</v>
      </c>
      <c r="AH370">
        <f t="shared" si="180"/>
        <v>0</v>
      </c>
      <c r="AI370">
        <f t="shared" si="185"/>
        <v>0</v>
      </c>
    </row>
    <row r="371" spans="1:35" x14ac:dyDescent="0.25">
      <c r="A371" s="335">
        <v>30551.5</v>
      </c>
      <c r="B371" s="352">
        <f t="shared" si="181"/>
        <v>30.551500000000001</v>
      </c>
      <c r="C371" s="325">
        <f t="shared" si="156"/>
        <v>19.070690529594131</v>
      </c>
      <c r="D371" s="326">
        <f t="shared" si="157"/>
        <v>1.5183357810913363</v>
      </c>
      <c r="E371" s="326">
        <f t="shared" si="158"/>
        <v>1.000080253736245</v>
      </c>
      <c r="F371" s="327">
        <f t="shared" si="159"/>
        <v>1.2668730748897093E-2</v>
      </c>
      <c r="G371" s="326">
        <f t="shared" si="160"/>
        <v>1</v>
      </c>
      <c r="H371" s="327">
        <f t="shared" si="161"/>
        <v>0</v>
      </c>
      <c r="I371" s="325">
        <f t="shared" si="162"/>
        <v>47917.225224896611</v>
      </c>
      <c r="J371" s="328">
        <f t="shared" si="163"/>
        <v>1.5707754574729487</v>
      </c>
      <c r="K371" s="336">
        <f t="shared" si="183"/>
        <v>3.9541249892032853</v>
      </c>
      <c r="L371" s="337">
        <f t="shared" si="184"/>
        <v>1.3151193330788997</v>
      </c>
      <c r="M371" s="325">
        <f t="shared" si="164"/>
        <v>1.0157818849774858</v>
      </c>
      <c r="N371" s="337">
        <f t="shared" si="165"/>
        <v>0.17650544316693903</v>
      </c>
      <c r="O371" s="343">
        <f t="shared" si="166"/>
        <v>1.0156367235878165</v>
      </c>
      <c r="P371" s="691">
        <f t="shared" si="167"/>
        <v>0.17570230465801101</v>
      </c>
      <c r="Q371" s="336">
        <f t="shared" si="182"/>
        <v>4.3355201425324852</v>
      </c>
      <c r="R371" s="692">
        <f t="shared" si="168"/>
        <v>0.2895217454141466</v>
      </c>
      <c r="S371" s="329">
        <f t="shared" si="169"/>
        <v>0.99306283922165672</v>
      </c>
      <c r="T371" s="330">
        <f t="shared" si="170"/>
        <v>0.17833085590721889</v>
      </c>
      <c r="U371" s="331">
        <f t="shared" si="171"/>
        <v>-6.6683887880428516</v>
      </c>
      <c r="V371" s="332">
        <f t="shared" si="172"/>
        <v>-127.76838035383757</v>
      </c>
      <c r="W371" s="334">
        <f t="shared" si="173"/>
        <v>52.231619646162429</v>
      </c>
      <c r="Y371" s="307">
        <f t="shared" si="174"/>
        <v>30551.5</v>
      </c>
      <c r="Z371" s="307">
        <f t="shared" si="175"/>
        <v>933394152.25</v>
      </c>
      <c r="AB371" s="333">
        <f t="shared" si="176"/>
        <v>15.902389770702207</v>
      </c>
      <c r="AC371" s="334">
        <f t="shared" si="177"/>
        <v>-24.761033917296004</v>
      </c>
      <c r="AE371" s="333">
        <f t="shared" si="178"/>
        <v>2.0764775173716039</v>
      </c>
      <c r="AF371" s="334">
        <f t="shared" si="179"/>
        <v>-96.485972847223977</v>
      </c>
      <c r="AH371">
        <f t="shared" si="180"/>
        <v>0</v>
      </c>
      <c r="AI371">
        <f t="shared" si="185"/>
        <v>0</v>
      </c>
    </row>
    <row r="372" spans="1:35" x14ac:dyDescent="0.25">
      <c r="A372" s="335">
        <v>30727.25</v>
      </c>
      <c r="B372" s="352">
        <f t="shared" si="181"/>
        <v>30.727250000000002</v>
      </c>
      <c r="C372" s="325">
        <f t="shared" si="156"/>
        <v>19.18009545018845</v>
      </c>
      <c r="D372" s="326">
        <f t="shared" si="157"/>
        <v>1.5186352930388578</v>
      </c>
      <c r="E372" s="326">
        <f t="shared" si="158"/>
        <v>1.0000811796867846</v>
      </c>
      <c r="F372" s="327">
        <f t="shared" si="159"/>
        <v>1.2741600792713586E-2</v>
      </c>
      <c r="G372" s="326">
        <f t="shared" si="160"/>
        <v>1</v>
      </c>
      <c r="H372" s="327">
        <f t="shared" si="161"/>
        <v>0</v>
      </c>
      <c r="I372" s="325">
        <f t="shared" si="162"/>
        <v>48192.872978022257</v>
      </c>
      <c r="J372" s="328">
        <f t="shared" si="163"/>
        <v>1.5707755768387666</v>
      </c>
      <c r="K372" s="336">
        <f t="shared" si="183"/>
        <v>3.9754204816623808</v>
      </c>
      <c r="L372" s="337">
        <f t="shared" si="184"/>
        <v>1.3165193309862302</v>
      </c>
      <c r="M372" s="325">
        <f t="shared" si="164"/>
        <v>1.0159625497542484</v>
      </c>
      <c r="N372" s="337">
        <f t="shared" si="165"/>
        <v>0.17749967098521818</v>
      </c>
      <c r="O372" s="343">
        <f t="shared" si="166"/>
        <v>1.0158157394494238</v>
      </c>
      <c r="P372" s="691">
        <f t="shared" si="167"/>
        <v>0.17669219832103691</v>
      </c>
      <c r="Q372" s="336">
        <f t="shared" si="182"/>
        <v>4.3375418825440981</v>
      </c>
      <c r="R372" s="692">
        <f t="shared" si="168"/>
        <v>0.29109611640777028</v>
      </c>
      <c r="S372" s="329">
        <f t="shared" si="169"/>
        <v>0.99298553825076741</v>
      </c>
      <c r="T372" s="330">
        <f t="shared" si="170"/>
        <v>0.17938194572462454</v>
      </c>
      <c r="U372" s="331">
        <f t="shared" si="171"/>
        <v>-6.7246244157028858</v>
      </c>
      <c r="V372" s="332">
        <f t="shared" si="172"/>
        <v>-127.85183499876919</v>
      </c>
      <c r="W372" s="334">
        <f t="shared" si="173"/>
        <v>52.148165001230808</v>
      </c>
      <c r="Y372" s="307">
        <f t="shared" si="174"/>
        <v>30727.25</v>
      </c>
      <c r="Z372" s="307">
        <f t="shared" si="175"/>
        <v>944163892.5625</v>
      </c>
      <c r="AB372" s="333">
        <f t="shared" si="176"/>
        <v>15.897675488203857</v>
      </c>
      <c r="AC372" s="334">
        <f t="shared" si="177"/>
        <v>-24.737791842871736</v>
      </c>
      <c r="AE372" s="333">
        <f t="shared" si="178"/>
        <v>2.027474794972246</v>
      </c>
      <c r="AF372" s="334">
        <f t="shared" si="179"/>
        <v>-96.559181482277253</v>
      </c>
      <c r="AH372">
        <f t="shared" si="180"/>
        <v>0</v>
      </c>
      <c r="AI372">
        <f t="shared" si="185"/>
        <v>0</v>
      </c>
    </row>
    <row r="373" spans="1:35" x14ac:dyDescent="0.25">
      <c r="A373" s="335">
        <v>30903</v>
      </c>
      <c r="B373" s="352">
        <f t="shared" si="181"/>
        <v>30.902999999999999</v>
      </c>
      <c r="C373" s="325">
        <f t="shared" si="156"/>
        <v>19.289502071861772</v>
      </c>
      <c r="D373" s="326">
        <f t="shared" si="157"/>
        <v>1.5189314074558034</v>
      </c>
      <c r="E373" s="326">
        <f t="shared" si="158"/>
        <v>1.0000821109477889</v>
      </c>
      <c r="F373" s="327">
        <f t="shared" si="159"/>
        <v>1.2814470701206107E-2</v>
      </c>
      <c r="G373" s="326">
        <f t="shared" si="160"/>
        <v>1</v>
      </c>
      <c r="H373" s="327">
        <f t="shared" si="161"/>
        <v>0</v>
      </c>
      <c r="I373" s="325">
        <f t="shared" si="162"/>
        <v>48468.520731148594</v>
      </c>
      <c r="J373" s="328">
        <f t="shared" si="163"/>
        <v>1.5707756948468821</v>
      </c>
      <c r="K373" s="336">
        <f t="shared" si="183"/>
        <v>3.9967236828803436</v>
      </c>
      <c r="L373" s="337">
        <f t="shared" si="184"/>
        <v>1.3179044071413759</v>
      </c>
      <c r="M373" s="325">
        <f t="shared" si="164"/>
        <v>1.016144218441084</v>
      </c>
      <c r="N373" s="337">
        <f t="shared" si="165"/>
        <v>0.17849354428479702</v>
      </c>
      <c r="O373" s="343">
        <f t="shared" si="166"/>
        <v>1.0159957503468335</v>
      </c>
      <c r="P373" s="691">
        <f t="shared" si="167"/>
        <v>0.17768174218099572</v>
      </c>
      <c r="Q373" s="336">
        <f t="shared" si="182"/>
        <v>4.3395742694760715</v>
      </c>
      <c r="R373" s="692">
        <f t="shared" si="168"/>
        <v>0.2926690230991858</v>
      </c>
      <c r="S373" s="329">
        <f t="shared" si="169"/>
        <v>0.99290785740600118</v>
      </c>
      <c r="T373" s="330">
        <f t="shared" si="170"/>
        <v>0.18043346941162303</v>
      </c>
      <c r="U373" s="331">
        <f t="shared" si="171"/>
        <v>-6.780542599304499</v>
      </c>
      <c r="V373" s="332">
        <f t="shared" si="172"/>
        <v>-127.93589055329895</v>
      </c>
      <c r="W373" s="334">
        <f t="shared" si="173"/>
        <v>52.064109446701053</v>
      </c>
      <c r="Y373" s="307">
        <f t="shared" si="174"/>
        <v>30903</v>
      </c>
      <c r="Z373" s="307">
        <f t="shared" si="175"/>
        <v>954995409</v>
      </c>
      <c r="AB373" s="333">
        <f t="shared" si="176"/>
        <v>15.893004566388738</v>
      </c>
      <c r="AC373" s="334">
        <f t="shared" si="177"/>
        <v>-24.715384331655653</v>
      </c>
      <c r="AE373" s="333">
        <f t="shared" si="178"/>
        <v>1.9787573423785512</v>
      </c>
      <c r="AF373" s="334">
        <f t="shared" si="179"/>
        <v>-96.632220319817591</v>
      </c>
      <c r="AH373">
        <f t="shared" si="180"/>
        <v>0</v>
      </c>
      <c r="AI373">
        <f t="shared" si="185"/>
        <v>0</v>
      </c>
    </row>
    <row r="374" spans="1:35" x14ac:dyDescent="0.25">
      <c r="A374" s="335">
        <v>31083</v>
      </c>
      <c r="B374" s="352">
        <f t="shared" si="181"/>
        <v>31.082999999999998</v>
      </c>
      <c r="C374" s="325">
        <f t="shared" si="156"/>
        <v>19.401556106073937</v>
      </c>
      <c r="D374" s="326">
        <f t="shared" si="157"/>
        <v>1.5192312207761391</v>
      </c>
      <c r="E374" s="326">
        <f t="shared" si="158"/>
        <v>1.0000830702332468</v>
      </c>
      <c r="F374" s="327">
        <f t="shared" si="159"/>
        <v>1.2889102614342783E-2</v>
      </c>
      <c r="G374" s="326">
        <f t="shared" si="160"/>
        <v>1</v>
      </c>
      <c r="H374" s="327">
        <f t="shared" si="161"/>
        <v>0</v>
      </c>
      <c r="I374" s="325">
        <f t="shared" si="162"/>
        <v>48750.834219415221</v>
      </c>
      <c r="J374" s="328">
        <f t="shared" si="163"/>
        <v>1.5707758143253956</v>
      </c>
      <c r="K374" s="336">
        <f t="shared" si="183"/>
        <v>4.0185499022751818</v>
      </c>
      <c r="L374" s="337">
        <f t="shared" si="184"/>
        <v>1.3193077524042016</v>
      </c>
      <c r="M374" s="325">
        <f t="shared" si="164"/>
        <v>1.0163313203100615</v>
      </c>
      <c r="N374" s="337">
        <f t="shared" si="165"/>
        <v>0.17951108217055878</v>
      </c>
      <c r="O374" s="343">
        <f t="shared" si="166"/>
        <v>1.0161811451488094</v>
      </c>
      <c r="P374" s="691">
        <f t="shared" si="167"/>
        <v>0.17869485084263906</v>
      </c>
      <c r="Q374" s="336">
        <f t="shared" si="182"/>
        <v>4.3416668243525187</v>
      </c>
      <c r="R374" s="692">
        <f t="shared" si="168"/>
        <v>0.29427844222524857</v>
      </c>
      <c r="S374" s="329">
        <f t="shared" si="169"/>
        <v>0.99282790546782629</v>
      </c>
      <c r="T374" s="330">
        <f t="shared" si="170"/>
        <v>0.18151087344028011</v>
      </c>
      <c r="U374" s="331">
        <f t="shared" si="171"/>
        <v>-6.8374883655564105</v>
      </c>
      <c r="V374" s="332">
        <f t="shared" si="172"/>
        <v>-128.02259098542228</v>
      </c>
      <c r="W374" s="334">
        <f t="shared" si="173"/>
        <v>51.977409014577717</v>
      </c>
      <c r="Y374" s="307">
        <f t="shared" si="174"/>
        <v>31083</v>
      </c>
      <c r="Z374" s="307">
        <f t="shared" si="175"/>
        <v>966152889</v>
      </c>
      <c r="AB374" s="333">
        <f t="shared" si="176"/>
        <v>15.888264492750952</v>
      </c>
      <c r="AC374" s="334">
        <f t="shared" si="177"/>
        <v>-24.693286042834192</v>
      </c>
      <c r="AE374" s="333">
        <f t="shared" si="178"/>
        <v>1.9291541791227809</v>
      </c>
      <c r="AF374" s="334">
        <f t="shared" si="179"/>
        <v>-96.706852967832646</v>
      </c>
      <c r="AH374">
        <f t="shared" si="180"/>
        <v>0</v>
      </c>
      <c r="AI374">
        <f t="shared" si="185"/>
        <v>0</v>
      </c>
    </row>
    <row r="375" spans="1:35" x14ac:dyDescent="0.25">
      <c r="A375" s="335">
        <v>31263</v>
      </c>
      <c r="B375" s="352">
        <f t="shared" si="181"/>
        <v>31.263000000000002</v>
      </c>
      <c r="C375" s="325">
        <f t="shared" si="156"/>
        <v>19.513611864224654</v>
      </c>
      <c r="D375" s="326">
        <f t="shared" si="157"/>
        <v>1.5195275908024597</v>
      </c>
      <c r="E375" s="326">
        <f t="shared" si="158"/>
        <v>1.0000840350890794</v>
      </c>
      <c r="F375" s="327">
        <f t="shared" si="159"/>
        <v>1.296373438388918E-2</v>
      </c>
      <c r="G375" s="326">
        <f t="shared" si="160"/>
        <v>1</v>
      </c>
      <c r="H375" s="327">
        <f t="shared" si="161"/>
        <v>0</v>
      </c>
      <c r="I375" s="325">
        <f t="shared" si="162"/>
        <v>49033.147707682539</v>
      </c>
      <c r="J375" s="328">
        <f t="shared" si="163"/>
        <v>1.5707759324280892</v>
      </c>
      <c r="K375" s="336">
        <f t="shared" si="183"/>
        <v>4.0403839502008809</v>
      </c>
      <c r="L375" s="337">
        <f t="shared" si="184"/>
        <v>1.3206959331505741</v>
      </c>
      <c r="M375" s="325">
        <f t="shared" si="164"/>
        <v>1.0165194740835568</v>
      </c>
      <c r="N375" s="337">
        <f t="shared" si="165"/>
        <v>0.18052824442459436</v>
      </c>
      <c r="O375" s="343">
        <f t="shared" si="166"/>
        <v>1.0163675825669685</v>
      </c>
      <c r="P375" s="691">
        <f t="shared" si="167"/>
        <v>0.17970758886419291</v>
      </c>
      <c r="Q375" s="336">
        <f t="shared" si="182"/>
        <v>4.3437705155054633</v>
      </c>
      <c r="R375" s="692">
        <f t="shared" si="168"/>
        <v>0.29588631348646777</v>
      </c>
      <c r="S375" s="329">
        <f t="shared" si="169"/>
        <v>0.99274755741535503</v>
      </c>
      <c r="T375" s="330">
        <f t="shared" si="170"/>
        <v>0.18258873781977741</v>
      </c>
      <c r="U375" s="331">
        <f t="shared" si="171"/>
        <v>-6.8941100345482624</v>
      </c>
      <c r="V375" s="332">
        <f t="shared" si="172"/>
        <v>-128.10990032755896</v>
      </c>
      <c r="W375" s="334">
        <f t="shared" si="173"/>
        <v>51.890099672441039</v>
      </c>
      <c r="Y375" s="307">
        <f t="shared" si="174"/>
        <v>31263</v>
      </c>
      <c r="Z375" s="307">
        <f t="shared" si="175"/>
        <v>977375169</v>
      </c>
      <c r="AB375" s="333">
        <f t="shared" si="176"/>
        <v>15.883567606207691</v>
      </c>
      <c r="AC375" s="334">
        <f t="shared" si="177"/>
        <v>-24.672035015863592</v>
      </c>
      <c r="AE375" s="333">
        <f t="shared" si="178"/>
        <v>1.8798435555849904</v>
      </c>
      <c r="AF375" s="334">
        <f t="shared" si="179"/>
        <v>-96.781314714020169</v>
      </c>
      <c r="AH375">
        <f t="shared" si="180"/>
        <v>0</v>
      </c>
      <c r="AI375">
        <f t="shared" si="185"/>
        <v>0</v>
      </c>
    </row>
    <row r="376" spans="1:35" x14ac:dyDescent="0.25">
      <c r="A376" s="335">
        <v>31443</v>
      </c>
      <c r="B376" s="352">
        <f t="shared" si="181"/>
        <v>31.443000000000001</v>
      </c>
      <c r="C376" s="325">
        <f t="shared" si="156"/>
        <v>19.625669316784656</v>
      </c>
      <c r="D376" s="326">
        <f t="shared" si="157"/>
        <v>1.5198205764631827</v>
      </c>
      <c r="E376" s="326">
        <f t="shared" si="158"/>
        <v>1.0000850055152704</v>
      </c>
      <c r="F376" s="327">
        <f t="shared" si="159"/>
        <v>1.3038366009014332E-2</v>
      </c>
      <c r="G376" s="326">
        <f t="shared" si="160"/>
        <v>1</v>
      </c>
      <c r="H376" s="327">
        <f t="shared" si="161"/>
        <v>0</v>
      </c>
      <c r="I376" s="325">
        <f t="shared" si="162"/>
        <v>49315.461195950535</v>
      </c>
      <c r="J376" s="328">
        <f t="shared" si="163"/>
        <v>1.5707760491785909</v>
      </c>
      <c r="K376" s="336">
        <f t="shared" si="183"/>
        <v>4.0622257004247793</v>
      </c>
      <c r="L376" s="337">
        <f t="shared" si="184"/>
        <v>1.322069188596172</v>
      </c>
      <c r="M376" s="325">
        <f t="shared" si="164"/>
        <v>1.0167086791775688</v>
      </c>
      <c r="N376" s="337">
        <f t="shared" si="165"/>
        <v>0.18154502915128468</v>
      </c>
      <c r="O376" s="343">
        <f t="shared" si="166"/>
        <v>1.01655506202766</v>
      </c>
      <c r="P376" s="691">
        <f t="shared" si="167"/>
        <v>0.18071995437275304</v>
      </c>
      <c r="Q376" s="336">
        <f t="shared" si="182"/>
        <v>4.3458853267641322</v>
      </c>
      <c r="R376" s="692">
        <f t="shared" si="168"/>
        <v>0.29749263093287698</v>
      </c>
      <c r="S376" s="329">
        <f t="shared" si="169"/>
        <v>0.99266681445065452</v>
      </c>
      <c r="T376" s="330">
        <f t="shared" si="170"/>
        <v>0.18366706520268508</v>
      </c>
      <c r="U376" s="331">
        <f t="shared" si="171"/>
        <v>-6.9504119698570292</v>
      </c>
      <c r="V376" s="332">
        <f t="shared" si="172"/>
        <v>-128.19780806118277</v>
      </c>
      <c r="W376" s="334">
        <f t="shared" si="173"/>
        <v>51.802191938817231</v>
      </c>
      <c r="Y376" s="307">
        <f t="shared" si="174"/>
        <v>31443</v>
      </c>
      <c r="Z376" s="307">
        <f t="shared" si="175"/>
        <v>988662249</v>
      </c>
      <c r="AB376" s="333">
        <f t="shared" si="176"/>
        <v>15.878912791661728</v>
      </c>
      <c r="AC376" s="334">
        <f t="shared" si="177"/>
        <v>-24.651617437437878</v>
      </c>
      <c r="AE376" s="333">
        <f t="shared" si="178"/>
        <v>1.8308221702696974</v>
      </c>
      <c r="AF376" s="334">
        <f t="shared" si="179"/>
        <v>-96.855609086758463</v>
      </c>
      <c r="AH376">
        <f t="shared" si="180"/>
        <v>0</v>
      </c>
      <c r="AI376">
        <f t="shared" si="185"/>
        <v>0</v>
      </c>
    </row>
    <row r="377" spans="1:35" x14ac:dyDescent="0.25">
      <c r="A377" s="335">
        <v>31623</v>
      </c>
      <c r="B377" s="352">
        <f t="shared" si="181"/>
        <v>31.623000000000001</v>
      </c>
      <c r="C377" s="325">
        <f t="shared" si="156"/>
        <v>19.737728434894823</v>
      </c>
      <c r="D377" s="326">
        <f t="shared" si="157"/>
        <v>1.5201102353508376</v>
      </c>
      <c r="E377" s="326">
        <f t="shared" si="158"/>
        <v>1.0000859815118035</v>
      </c>
      <c r="F377" s="327">
        <f t="shared" si="159"/>
        <v>1.3112997488887281E-2</v>
      </c>
      <c r="G377" s="326">
        <f t="shared" si="160"/>
        <v>1</v>
      </c>
      <c r="H377" s="327">
        <f t="shared" si="161"/>
        <v>0</v>
      </c>
      <c r="I377" s="325">
        <f t="shared" si="162"/>
        <v>49597.774684219199</v>
      </c>
      <c r="J377" s="328">
        <f t="shared" si="163"/>
        <v>1.5707761645999909</v>
      </c>
      <c r="K377" s="336">
        <f t="shared" si="183"/>
        <v>4.0840750293705472</v>
      </c>
      <c r="L377" s="337">
        <f t="shared" si="184"/>
        <v>1.3234277530654592</v>
      </c>
      <c r="M377" s="325">
        <f t="shared" si="164"/>
        <v>1.0168989350052684</v>
      </c>
      <c r="N377" s="337">
        <f t="shared" si="165"/>
        <v>0.18256143445953998</v>
      </c>
      <c r="O377" s="343">
        <f t="shared" si="166"/>
        <v>1.0167435829544502</v>
      </c>
      <c r="P377" s="691">
        <f t="shared" si="167"/>
        <v>0.18173194549984681</v>
      </c>
      <c r="Q377" s="336">
        <f t="shared" si="182"/>
        <v>4.3480112419038202</v>
      </c>
      <c r="R377" s="692">
        <f t="shared" si="168"/>
        <v>0.29909738865784541</v>
      </c>
      <c r="S377" s="329">
        <f t="shared" si="169"/>
        <v>0.99258567778320739</v>
      </c>
      <c r="T377" s="330">
        <f t="shared" si="170"/>
        <v>0.18474585824112366</v>
      </c>
      <c r="U377" s="331">
        <f t="shared" si="171"/>
        <v>-7.0063984491595015</v>
      </c>
      <c r="V377" s="332">
        <f t="shared" si="172"/>
        <v>-128.28630387390481</v>
      </c>
      <c r="W377" s="334">
        <f t="shared" si="173"/>
        <v>51.713696126095186</v>
      </c>
      <c r="Y377" s="307">
        <f t="shared" si="174"/>
        <v>31623</v>
      </c>
      <c r="Z377" s="307">
        <f t="shared" si="175"/>
        <v>1000014129</v>
      </c>
      <c r="AB377" s="333">
        <f t="shared" si="176"/>
        <v>15.874298964085661</v>
      </c>
      <c r="AC377" s="334">
        <f t="shared" si="177"/>
        <v>-24.632019774725698</v>
      </c>
      <c r="AE377" s="333">
        <f t="shared" si="178"/>
        <v>1.7820867774000799</v>
      </c>
      <c r="AF377" s="334">
        <f t="shared" si="179"/>
        <v>-96.929739537859334</v>
      </c>
      <c r="AH377">
        <f t="shared" si="180"/>
        <v>0</v>
      </c>
      <c r="AI377">
        <f t="shared" si="185"/>
        <v>0</v>
      </c>
    </row>
    <row r="378" spans="1:35" x14ac:dyDescent="0.25">
      <c r="A378" s="335">
        <v>31807</v>
      </c>
      <c r="B378" s="352">
        <f t="shared" si="181"/>
        <v>31.806999999999999</v>
      </c>
      <c r="C378" s="325">
        <f t="shared" si="156"/>
        <v>19.852279447742021</v>
      </c>
      <c r="D378" s="326">
        <f t="shared" si="157"/>
        <v>1.5204029512240167</v>
      </c>
      <c r="E378" s="326">
        <f t="shared" si="158"/>
        <v>1.0000869849545269</v>
      </c>
      <c r="F378" s="327">
        <f t="shared" si="159"/>
        <v>1.3189287295095721E-2</v>
      </c>
      <c r="G378" s="326">
        <f t="shared" si="160"/>
        <v>1</v>
      </c>
      <c r="H378" s="327">
        <f t="shared" si="161"/>
        <v>0</v>
      </c>
      <c r="I378" s="325">
        <f t="shared" si="162"/>
        <v>49886.361805561181</v>
      </c>
      <c r="J378" s="328">
        <f t="shared" si="163"/>
        <v>1.570776281236073</v>
      </c>
      <c r="K378" s="336">
        <f t="shared" si="183"/>
        <v>4.1064176062139524</v>
      </c>
      <c r="L378" s="337">
        <f t="shared" si="184"/>
        <v>1.3248015625468705</v>
      </c>
      <c r="M378" s="325">
        <f t="shared" si="164"/>
        <v>1.0170945041438559</v>
      </c>
      <c r="N378" s="337">
        <f t="shared" si="165"/>
        <v>0.18360003242871273</v>
      </c>
      <c r="O378" s="343">
        <f t="shared" si="166"/>
        <v>1.0169373690708499</v>
      </c>
      <c r="P378" s="691">
        <f t="shared" si="167"/>
        <v>0.18276603642450207</v>
      </c>
      <c r="Q378" s="336">
        <f t="shared" si="182"/>
        <v>4.3501958594046037</v>
      </c>
      <c r="R378" s="692">
        <f t="shared" si="168"/>
        <v>0.30073618946352393</v>
      </c>
      <c r="S378" s="329">
        <f t="shared" si="169"/>
        <v>0.99250233242245423</v>
      </c>
      <c r="T378" s="330">
        <f t="shared" si="170"/>
        <v>0.18584910851155692</v>
      </c>
      <c r="U378" s="331">
        <f t="shared" si="171"/>
        <v>-7.0633073897962992</v>
      </c>
      <c r="V378" s="332">
        <f t="shared" si="172"/>
        <v>-128.37736356033767</v>
      </c>
      <c r="W378" s="334">
        <f t="shared" si="173"/>
        <v>51.62263643966233</v>
      </c>
      <c r="Y378" s="307">
        <f t="shared" si="174"/>
        <v>31807</v>
      </c>
      <c r="Z378" s="307">
        <f t="shared" si="175"/>
        <v>1011685249</v>
      </c>
      <c r="AB378" s="333">
        <f t="shared" si="176"/>
        <v>15.869623871048056</v>
      </c>
      <c r="AC378" s="334">
        <f t="shared" si="177"/>
        <v>-24.612820252563537</v>
      </c>
      <c r="AE378" s="333">
        <f t="shared" si="178"/>
        <v>1.7325606493457291</v>
      </c>
      <c r="AF378" s="334">
        <f t="shared" si="179"/>
        <v>-97.005351422402256</v>
      </c>
      <c r="AH378">
        <f t="shared" si="180"/>
        <v>0</v>
      </c>
      <c r="AI378">
        <f t="shared" si="185"/>
        <v>0</v>
      </c>
    </row>
    <row r="379" spans="1:35" x14ac:dyDescent="0.25">
      <c r="A379" s="335">
        <v>31991</v>
      </c>
      <c r="B379" s="352">
        <f t="shared" si="181"/>
        <v>31.991</v>
      </c>
      <c r="C379" s="325">
        <f t="shared" si="156"/>
        <v>19.966832142066274</v>
      </c>
      <c r="D379" s="326">
        <f t="shared" si="157"/>
        <v>1.5206923084124984</v>
      </c>
      <c r="E379" s="326">
        <f t="shared" si="158"/>
        <v>1.0000879942178795</v>
      </c>
      <c r="F379" s="327">
        <f t="shared" si="159"/>
        <v>1.3265576947768714E-2</v>
      </c>
      <c r="G379" s="326">
        <f t="shared" si="160"/>
        <v>1</v>
      </c>
      <c r="H379" s="327">
        <f t="shared" si="161"/>
        <v>0</v>
      </c>
      <c r="I379" s="325">
        <f t="shared" si="162"/>
        <v>50174.948926903817</v>
      </c>
      <c r="J379" s="328">
        <f t="shared" si="163"/>
        <v>1.5707763965304629</v>
      </c>
      <c r="K379" s="336">
        <f t="shared" si="183"/>
        <v>4.1287678494262803</v>
      </c>
      <c r="L379" s="337">
        <f t="shared" si="184"/>
        <v>1.3261605008947659</v>
      </c>
      <c r="M379" s="325">
        <f t="shared" si="164"/>
        <v>1.0172911699852591</v>
      </c>
      <c r="N379" s="337">
        <f t="shared" si="165"/>
        <v>0.18463822994754039</v>
      </c>
      <c r="O379" s="343">
        <f t="shared" si="166"/>
        <v>1.0171322422281179</v>
      </c>
      <c r="P379" s="691">
        <f t="shared" si="167"/>
        <v>0.18379973220961285</v>
      </c>
      <c r="Q379" s="336">
        <f t="shared" si="182"/>
        <v>4.3523920453211593</v>
      </c>
      <c r="R379" s="692">
        <f t="shared" si="168"/>
        <v>0.30237334811395827</v>
      </c>
      <c r="S379" s="329">
        <f t="shared" si="169"/>
        <v>0.99241857824613089</v>
      </c>
      <c r="T379" s="330">
        <f t="shared" si="170"/>
        <v>0.18695285096598821</v>
      </c>
      <c r="U379" s="331">
        <f t="shared" si="171"/>
        <v>-7.1198954722681371</v>
      </c>
      <c r="V379" s="332">
        <f t="shared" si="172"/>
        <v>-128.46901660063855</v>
      </c>
      <c r="W379" s="334">
        <f t="shared" si="173"/>
        <v>51.530983399361446</v>
      </c>
      <c r="Y379" s="307">
        <f t="shared" si="174"/>
        <v>31991</v>
      </c>
      <c r="Z379" s="307">
        <f t="shared" si="175"/>
        <v>1023424081</v>
      </c>
      <c r="AB379" s="333">
        <f t="shared" si="176"/>
        <v>15.8649894062013</v>
      </c>
      <c r="AC379" s="334">
        <f t="shared" si="177"/>
        <v>-24.594449762601375</v>
      </c>
      <c r="AE379" s="333">
        <f t="shared" si="178"/>
        <v>1.6833266799071258</v>
      </c>
      <c r="AF379" s="334">
        <f t="shared" si="179"/>
        <v>-97.08079907734988</v>
      </c>
      <c r="AH379">
        <f t="shared" si="180"/>
        <v>0</v>
      </c>
      <c r="AI379">
        <f t="shared" si="185"/>
        <v>0</v>
      </c>
    </row>
    <row r="380" spans="1:35" x14ac:dyDescent="0.25">
      <c r="A380" s="335">
        <v>32175</v>
      </c>
      <c r="B380" s="352">
        <f t="shared" si="181"/>
        <v>32.174999999999997</v>
      </c>
      <c r="C380" s="325">
        <f t="shared" si="156"/>
        <v>20.081386489092022</v>
      </c>
      <c r="D380" s="326">
        <f t="shared" si="157"/>
        <v>1.520978364346298</v>
      </c>
      <c r="E380" s="326">
        <f t="shared" si="158"/>
        <v>1.0000890093018435</v>
      </c>
      <c r="F380" s="327">
        <f t="shared" si="159"/>
        <v>1.3341866446018699E-2</v>
      </c>
      <c r="G380" s="326">
        <f t="shared" si="160"/>
        <v>1</v>
      </c>
      <c r="H380" s="327">
        <f t="shared" si="161"/>
        <v>0</v>
      </c>
      <c r="I380" s="325">
        <f t="shared" si="162"/>
        <v>50463.536048247122</v>
      </c>
      <c r="J380" s="328">
        <f t="shared" si="163"/>
        <v>1.5707765105061786</v>
      </c>
      <c r="K380" s="336">
        <f t="shared" si="183"/>
        <v>4.1511256351771122</v>
      </c>
      <c r="L380" s="337">
        <f t="shared" si="184"/>
        <v>1.3275048033349208</v>
      </c>
      <c r="M380" s="325">
        <f t="shared" si="164"/>
        <v>1.0174889318935476</v>
      </c>
      <c r="N380" s="337">
        <f t="shared" si="165"/>
        <v>0.1856760250108275</v>
      </c>
      <c r="O380" s="343">
        <f t="shared" si="166"/>
        <v>1.0173282018015735</v>
      </c>
      <c r="P380" s="691">
        <f t="shared" si="167"/>
        <v>0.18483303087382444</v>
      </c>
      <c r="Q380" s="336">
        <f t="shared" si="182"/>
        <v>4.3545997821517357</v>
      </c>
      <c r="R380" s="692">
        <f t="shared" si="168"/>
        <v>0.30400885844051789</v>
      </c>
      <c r="S380" s="329">
        <f t="shared" si="169"/>
        <v>0.99233441657023669</v>
      </c>
      <c r="T380" s="330">
        <f t="shared" si="170"/>
        <v>0.18805708843578761</v>
      </c>
      <c r="U380" s="331">
        <f t="shared" si="171"/>
        <v>-7.1761670015739565</v>
      </c>
      <c r="V380" s="332">
        <f t="shared" si="172"/>
        <v>-128.56125261665358</v>
      </c>
      <c r="W380" s="334">
        <f t="shared" si="173"/>
        <v>51.438747383346424</v>
      </c>
      <c r="Y380" s="307">
        <f t="shared" si="174"/>
        <v>32175</v>
      </c>
      <c r="Z380" s="307">
        <f t="shared" si="175"/>
        <v>1035230625</v>
      </c>
      <c r="AB380" s="333">
        <f t="shared" si="176"/>
        <v>15.860394501948283</v>
      </c>
      <c r="AC380" s="334">
        <f t="shared" si="177"/>
        <v>-24.576894713824643</v>
      </c>
      <c r="AE380" s="333">
        <f t="shared" si="178"/>
        <v>1.6343815745884418</v>
      </c>
      <c r="AF380" s="334">
        <f t="shared" si="179"/>
        <v>-97.156085955476115</v>
      </c>
      <c r="AH380">
        <f t="shared" si="180"/>
        <v>0</v>
      </c>
      <c r="AI380">
        <f t="shared" si="185"/>
        <v>0</v>
      </c>
    </row>
    <row r="381" spans="1:35" x14ac:dyDescent="0.25">
      <c r="A381" s="335">
        <v>32359</v>
      </c>
      <c r="B381" s="352">
        <f t="shared" si="181"/>
        <v>32.359000000000002</v>
      </c>
      <c r="C381" s="325">
        <f t="shared" si="156"/>
        <v>20.195942460696159</v>
      </c>
      <c r="D381" s="326">
        <f t="shared" si="157"/>
        <v>1.5212611751545968</v>
      </c>
      <c r="E381" s="326">
        <f t="shared" si="158"/>
        <v>1.0000900302064013</v>
      </c>
      <c r="F381" s="327">
        <f t="shared" si="159"/>
        <v>1.3418155788958122E-2</v>
      </c>
      <c r="G381" s="326">
        <f t="shared" si="160"/>
        <v>1</v>
      </c>
      <c r="H381" s="327">
        <f t="shared" si="161"/>
        <v>0</v>
      </c>
      <c r="I381" s="325">
        <f t="shared" si="162"/>
        <v>50752.123169591076</v>
      </c>
      <c r="J381" s="328">
        <f t="shared" si="163"/>
        <v>1.5707766231857152</v>
      </c>
      <c r="K381" s="336">
        <f t="shared" si="183"/>
        <v>4.1734908422481736</v>
      </c>
      <c r="L381" s="337">
        <f t="shared" si="184"/>
        <v>1.3288347002650869</v>
      </c>
      <c r="M381" s="325">
        <f t="shared" si="164"/>
        <v>1.0176877892297429</v>
      </c>
      <c r="N381" s="337">
        <f t="shared" si="165"/>
        <v>0.18671341561840038</v>
      </c>
      <c r="O381" s="343">
        <f t="shared" si="166"/>
        <v>1.0175252471635361</v>
      </c>
      <c r="P381" s="691">
        <f t="shared" si="167"/>
        <v>0.18586593044069633</v>
      </c>
      <c r="Q381" s="336">
        <f t="shared" si="182"/>
        <v>4.356819052338099</v>
      </c>
      <c r="R381" s="692">
        <f t="shared" si="168"/>
        <v>0.30564271432200274</v>
      </c>
      <c r="S381" s="329">
        <f t="shared" si="169"/>
        <v>0.99224984871890287</v>
      </c>
      <c r="T381" s="330">
        <f t="shared" si="170"/>
        <v>0.18916182375179352</v>
      </c>
      <c r="U381" s="331">
        <f t="shared" si="171"/>
        <v>-7.2321261981801532</v>
      </c>
      <c r="V381" s="332">
        <f t="shared" si="172"/>
        <v>-128.65406143498521</v>
      </c>
      <c r="W381" s="334">
        <f t="shared" si="173"/>
        <v>51.345938565014791</v>
      </c>
      <c r="Y381" s="307">
        <f t="shared" si="174"/>
        <v>32359</v>
      </c>
      <c r="Z381" s="307">
        <f t="shared" si="175"/>
        <v>1047104881</v>
      </c>
      <c r="AB381" s="333">
        <f t="shared" si="176"/>
        <v>15.855838119566652</v>
      </c>
      <c r="AC381" s="334">
        <f t="shared" si="177"/>
        <v>-24.560141792101906</v>
      </c>
      <c r="AE381" s="333">
        <f t="shared" si="178"/>
        <v>1.5857220944407482</v>
      </c>
      <c r="AF381" s="334">
        <f t="shared" si="179"/>
        <v>-97.231215434992109</v>
      </c>
      <c r="AH381">
        <f t="shared" si="180"/>
        <v>0</v>
      </c>
      <c r="AI381">
        <f t="shared" si="185"/>
        <v>0</v>
      </c>
    </row>
    <row r="382" spans="1:35" x14ac:dyDescent="0.25">
      <c r="A382" s="335">
        <v>32547.5</v>
      </c>
      <c r="B382" s="352">
        <f t="shared" si="181"/>
        <v>32.547499999999999</v>
      </c>
      <c r="C382" s="325">
        <f t="shared" si="156"/>
        <v>20.313301728837654</v>
      </c>
      <c r="D382" s="326">
        <f t="shared" si="157"/>
        <v>1.5215475947388308</v>
      </c>
      <c r="E382" s="326">
        <f t="shared" si="158"/>
        <v>1.0000910821145765</v>
      </c>
      <c r="F382" s="327">
        <f t="shared" si="159"/>
        <v>1.3496310741889197E-2</v>
      </c>
      <c r="G382" s="326">
        <f t="shared" si="160"/>
        <v>1</v>
      </c>
      <c r="H382" s="327">
        <f t="shared" si="161"/>
        <v>0</v>
      </c>
      <c r="I382" s="325">
        <f t="shared" si="162"/>
        <v>51047.768128142467</v>
      </c>
      <c r="J382" s="328">
        <f t="shared" si="163"/>
        <v>1.5707767372998662</v>
      </c>
      <c r="K382" s="336">
        <f t="shared" si="183"/>
        <v>4.1964105962314644</v>
      </c>
      <c r="L382" s="337">
        <f t="shared" si="184"/>
        <v>1.3301824194827012</v>
      </c>
      <c r="M382" s="325">
        <f t="shared" si="164"/>
        <v>1.0178926451945358</v>
      </c>
      <c r="N382" s="337">
        <f t="shared" si="165"/>
        <v>0.1877757556921241</v>
      </c>
      <c r="O382" s="343">
        <f t="shared" si="166"/>
        <v>1.0177282368554696</v>
      </c>
      <c r="P382" s="691">
        <f t="shared" si="167"/>
        <v>0.18692367521972997</v>
      </c>
      <c r="Q382" s="336">
        <f t="shared" si="182"/>
        <v>4.3591045396428303</v>
      </c>
      <c r="R382" s="692">
        <f t="shared" si="168"/>
        <v>0.30731480665313776</v>
      </c>
      <c r="S382" s="329">
        <f t="shared" si="169"/>
        <v>0.99216279282756581</v>
      </c>
      <c r="T382" s="330">
        <f t="shared" si="170"/>
        <v>0.19029409626843818</v>
      </c>
      <c r="U382" s="331">
        <f t="shared" si="171"/>
        <v>-7.2891344037342787</v>
      </c>
      <c r="V382" s="332">
        <f t="shared" si="172"/>
        <v>-128.74972359559533</v>
      </c>
      <c r="W382" s="334">
        <f t="shared" si="173"/>
        <v>51.250276404404673</v>
      </c>
      <c r="Y382" s="307">
        <f t="shared" si="174"/>
        <v>32547.5</v>
      </c>
      <c r="Z382" s="307">
        <f t="shared" si="175"/>
        <v>1059339756.25</v>
      </c>
      <c r="AB382" s="333">
        <f t="shared" si="176"/>
        <v>15.851209193967454</v>
      </c>
      <c r="AC382" s="334">
        <f t="shared" si="177"/>
        <v>-24.543797309836467</v>
      </c>
      <c r="AE382" s="333">
        <f t="shared" si="178"/>
        <v>1.5361654323369642</v>
      </c>
      <c r="AF382" s="334">
        <f t="shared" si="179"/>
        <v>-97.308022555937768</v>
      </c>
      <c r="AH382">
        <f t="shared" si="180"/>
        <v>0</v>
      </c>
      <c r="AI382">
        <f t="shared" si="185"/>
        <v>0</v>
      </c>
    </row>
    <row r="383" spans="1:35" x14ac:dyDescent="0.25">
      <c r="A383" s="335">
        <v>32736</v>
      </c>
      <c r="B383" s="352">
        <f t="shared" si="181"/>
        <v>32.735999999999997</v>
      </c>
      <c r="C383" s="325">
        <f t="shared" si="156"/>
        <v>20.430662644259908</v>
      </c>
      <c r="D383" s="326">
        <f t="shared" si="157"/>
        <v>1.5218307237563142</v>
      </c>
      <c r="E383" s="326">
        <f t="shared" si="158"/>
        <v>1.0000921401314919</v>
      </c>
      <c r="F383" s="327">
        <f t="shared" si="159"/>
        <v>1.357446552993437E-2</v>
      </c>
      <c r="G383" s="326">
        <f t="shared" si="160"/>
        <v>1</v>
      </c>
      <c r="H383" s="327">
        <f t="shared" si="161"/>
        <v>0</v>
      </c>
      <c r="I383" s="325">
        <f t="shared" si="162"/>
        <v>51343.413086694512</v>
      </c>
      <c r="J383" s="328">
        <f t="shared" si="163"/>
        <v>1.570776850099836</v>
      </c>
      <c r="K383" s="336">
        <f t="shared" si="183"/>
        <v>4.2193378895368721</v>
      </c>
      <c r="L383" s="337">
        <f t="shared" si="184"/>
        <v>1.331515494463442</v>
      </c>
      <c r="M383" s="325">
        <f t="shared" si="164"/>
        <v>1.0180986494557502</v>
      </c>
      <c r="N383" s="337">
        <f t="shared" si="165"/>
        <v>0.18883766705155072</v>
      </c>
      <c r="O383" s="343">
        <f t="shared" si="166"/>
        <v>1.0179323647513265</v>
      </c>
      <c r="P383" s="691">
        <f t="shared" si="167"/>
        <v>0.18798099695821749</v>
      </c>
      <c r="Q383" s="336">
        <f t="shared" si="182"/>
        <v>4.361402093848338</v>
      </c>
      <c r="R383" s="692">
        <f t="shared" si="168"/>
        <v>0.30898514977273112</v>
      </c>
      <c r="S383" s="329">
        <f t="shared" si="169"/>
        <v>0.99207531349014044</v>
      </c>
      <c r="T383" s="330">
        <f t="shared" si="170"/>
        <v>0.19142689729313156</v>
      </c>
      <c r="U383" s="331">
        <f t="shared" si="171"/>
        <v>-7.3458235171067994</v>
      </c>
      <c r="V383" s="332">
        <f t="shared" si="172"/>
        <v>-128.8459659414961</v>
      </c>
      <c r="W383" s="334">
        <f t="shared" si="173"/>
        <v>51.154034058503896</v>
      </c>
      <c r="Y383" s="307">
        <f t="shared" si="174"/>
        <v>32736</v>
      </c>
      <c r="Z383" s="307">
        <f t="shared" si="175"/>
        <v>1071645696</v>
      </c>
      <c r="AB383" s="333">
        <f t="shared" si="176"/>
        <v>15.846618579536976</v>
      </c>
      <c r="AC383" s="334">
        <f t="shared" si="177"/>
        <v>-24.528267241722144</v>
      </c>
      <c r="AE383" s="333">
        <f t="shared" si="178"/>
        <v>1.4869018286434386</v>
      </c>
      <c r="AF383" s="334">
        <f t="shared" si="179"/>
        <v>-97.384671432024135</v>
      </c>
      <c r="AH383">
        <f t="shared" si="180"/>
        <v>0</v>
      </c>
      <c r="AI383">
        <f t="shared" si="185"/>
        <v>0</v>
      </c>
    </row>
    <row r="384" spans="1:35" x14ac:dyDescent="0.25">
      <c r="A384" s="335">
        <v>32924.5</v>
      </c>
      <c r="B384" s="352">
        <f t="shared" si="181"/>
        <v>32.924500000000002</v>
      </c>
      <c r="C384" s="325">
        <f t="shared" si="156"/>
        <v>20.548025178737383</v>
      </c>
      <c r="D384" s="326">
        <f t="shared" si="157"/>
        <v>1.5221106185446727</v>
      </c>
      <c r="E384" s="326">
        <f t="shared" si="158"/>
        <v>1.0000932042571282</v>
      </c>
      <c r="F384" s="327">
        <f t="shared" si="159"/>
        <v>1.3652620152139397E-2</v>
      </c>
      <c r="G384" s="326">
        <f t="shared" si="160"/>
        <v>1</v>
      </c>
      <c r="H384" s="327">
        <f t="shared" si="161"/>
        <v>0</v>
      </c>
      <c r="I384" s="325">
        <f t="shared" si="162"/>
        <v>51639.058045247213</v>
      </c>
      <c r="J384" s="328">
        <f t="shared" si="163"/>
        <v>1.5707769616081966</v>
      </c>
      <c r="K384" s="336">
        <f t="shared" si="183"/>
        <v>4.2422725999259674</v>
      </c>
      <c r="L384" s="337">
        <f t="shared" si="184"/>
        <v>1.3328341579409422</v>
      </c>
      <c r="M384" s="325">
        <f t="shared" si="164"/>
        <v>1.0183058013164814</v>
      </c>
      <c r="N384" s="337">
        <f t="shared" si="165"/>
        <v>0.18989914756265713</v>
      </c>
      <c r="O384" s="343">
        <f t="shared" si="166"/>
        <v>1.0181376301665064</v>
      </c>
      <c r="P384" s="691">
        <f t="shared" si="167"/>
        <v>0.18903789354729919</v>
      </c>
      <c r="Q384" s="336">
        <f t="shared" si="182"/>
        <v>4.3637116958959812</v>
      </c>
      <c r="R384" s="692">
        <f t="shared" si="168"/>
        <v>0.31065373725438472</v>
      </c>
      <c r="S384" s="329">
        <f t="shared" si="169"/>
        <v>0.99198741215691433</v>
      </c>
      <c r="T384" s="330">
        <f t="shared" si="170"/>
        <v>0.19256022986772384</v>
      </c>
      <c r="U384" s="331">
        <f t="shared" si="171"/>
        <v>-7.4021978140026743</v>
      </c>
      <c r="V384" s="332">
        <f t="shared" si="172"/>
        <v>-128.94277817192682</v>
      </c>
      <c r="W384" s="334">
        <f t="shared" si="173"/>
        <v>51.057221828073182</v>
      </c>
      <c r="Y384" s="307">
        <f t="shared" si="174"/>
        <v>32924.5</v>
      </c>
      <c r="Z384" s="307">
        <f t="shared" si="175"/>
        <v>1084022700.25</v>
      </c>
      <c r="AB384" s="333">
        <f t="shared" si="176"/>
        <v>15.842065247874572</v>
      </c>
      <c r="AC384" s="334">
        <f t="shared" si="177"/>
        <v>-24.513538132126737</v>
      </c>
      <c r="AE384" s="333">
        <f t="shared" si="178"/>
        <v>1.4379279742067921</v>
      </c>
      <c r="AF384" s="334">
        <f t="shared" si="179"/>
        <v>-97.461165465499235</v>
      </c>
      <c r="AH384">
        <f t="shared" si="180"/>
        <v>0</v>
      </c>
      <c r="AI384">
        <f t="shared" si="185"/>
        <v>0</v>
      </c>
    </row>
    <row r="385" spans="1:35" x14ac:dyDescent="0.25">
      <c r="A385" s="335">
        <v>33113</v>
      </c>
      <c r="B385" s="352">
        <f t="shared" si="181"/>
        <v>33.113</v>
      </c>
      <c r="C385" s="325">
        <f t="shared" si="156"/>
        <v>20.665389304685341</v>
      </c>
      <c r="D385" s="326">
        <f t="shared" si="157"/>
        <v>1.522387334163761</v>
      </c>
      <c r="E385" s="326">
        <f t="shared" si="158"/>
        <v>1.0000942744914656</v>
      </c>
      <c r="F385" s="327">
        <f t="shared" si="159"/>
        <v>1.3730774607550051E-2</v>
      </c>
      <c r="G385" s="326">
        <f t="shared" si="160"/>
        <v>1</v>
      </c>
      <c r="H385" s="327">
        <f t="shared" si="161"/>
        <v>0</v>
      </c>
      <c r="I385" s="325">
        <f t="shared" si="162"/>
        <v>51934.703003800547</v>
      </c>
      <c r="J385" s="328">
        <f t="shared" si="163"/>
        <v>1.5707770718470058</v>
      </c>
      <c r="K385" s="336">
        <f t="shared" si="183"/>
        <v>4.2652146077503748</v>
      </c>
      <c r="L385" s="337">
        <f t="shared" si="184"/>
        <v>1.3341386378443807</v>
      </c>
      <c r="M385" s="325">
        <f t="shared" si="164"/>
        <v>1.0185141000765114</v>
      </c>
      <c r="N385" s="337">
        <f t="shared" si="165"/>
        <v>0.19096019509703527</v>
      </c>
      <c r="O385" s="343">
        <f t="shared" si="166"/>
        <v>1.0183440324131472</v>
      </c>
      <c r="P385" s="691">
        <f t="shared" si="167"/>
        <v>0.19009436288361006</v>
      </c>
      <c r="Q385" s="336">
        <f t="shared" si="182"/>
        <v>4.3660333266676163</v>
      </c>
      <c r="R385" s="692">
        <f t="shared" si="168"/>
        <v>0.31232056272401859</v>
      </c>
      <c r="S385" s="329">
        <f t="shared" si="169"/>
        <v>0.99189909028717238</v>
      </c>
      <c r="T385" s="330">
        <f t="shared" si="170"/>
        <v>0.1936940970334311</v>
      </c>
      <c r="U385" s="331">
        <f t="shared" si="171"/>
        <v>-7.4582614862000574</v>
      </c>
      <c r="V385" s="332">
        <f t="shared" si="172"/>
        <v>-129.0401501911293</v>
      </c>
      <c r="W385" s="334">
        <f t="shared" si="173"/>
        <v>50.9598498088707</v>
      </c>
      <c r="Y385" s="307">
        <f t="shared" si="174"/>
        <v>33113</v>
      </c>
      <c r="Z385" s="307">
        <f t="shared" si="175"/>
        <v>1096470769</v>
      </c>
      <c r="AB385" s="333">
        <f t="shared" si="176"/>
        <v>15.83754819853935</v>
      </c>
      <c r="AC385" s="334">
        <f t="shared" si="177"/>
        <v>-24.499596800985273</v>
      </c>
      <c r="AE385" s="333">
        <f t="shared" si="178"/>
        <v>1.3892406157309536</v>
      </c>
      <c r="AF385" s="334">
        <f t="shared" si="179"/>
        <v>-97.537507985363902</v>
      </c>
      <c r="AH385">
        <f t="shared" si="180"/>
        <v>0</v>
      </c>
      <c r="AI385">
        <f t="shared" si="185"/>
        <v>0</v>
      </c>
    </row>
    <row r="386" spans="1:35" x14ac:dyDescent="0.25">
      <c r="A386" s="335">
        <v>33305.75</v>
      </c>
      <c r="B386" s="352">
        <f t="shared" si="181"/>
        <v>33.305750000000003</v>
      </c>
      <c r="C386" s="325">
        <f t="shared" si="156"/>
        <v>20.785401189015282</v>
      </c>
      <c r="D386" s="326">
        <f t="shared" si="157"/>
        <v>1.5226670572965106</v>
      </c>
      <c r="E386" s="326">
        <f t="shared" si="158"/>
        <v>1.0000953751725825</v>
      </c>
      <c r="F386" s="327">
        <f t="shared" si="159"/>
        <v>1.3810690992594944E-2</v>
      </c>
      <c r="G386" s="326">
        <f t="shared" si="160"/>
        <v>1</v>
      </c>
      <c r="H386" s="327">
        <f t="shared" si="161"/>
        <v>0</v>
      </c>
      <c r="I386" s="325">
        <f t="shared" si="162"/>
        <v>52237.013697494316</v>
      </c>
      <c r="J386" s="328">
        <f t="shared" si="163"/>
        <v>1.5707771832809536</v>
      </c>
      <c r="K386" s="336">
        <f t="shared" si="183"/>
        <v>4.2886812997726231</v>
      </c>
      <c r="L386" s="337">
        <f t="shared" si="184"/>
        <v>1.3354580947962615</v>
      </c>
      <c r="M386" s="325">
        <f t="shared" si="164"/>
        <v>1.0187282804732183</v>
      </c>
      <c r="N386" s="337">
        <f t="shared" si="165"/>
        <v>0.19204471551234864</v>
      </c>
      <c r="O386" s="343">
        <f t="shared" si="166"/>
        <v>1.01855626313892</v>
      </c>
      <c r="P386" s="691">
        <f t="shared" si="167"/>
        <v>0.19117420782384317</v>
      </c>
      <c r="Q386" s="336">
        <f t="shared" si="182"/>
        <v>4.3684197205081592</v>
      </c>
      <c r="R386" s="692">
        <f t="shared" si="168"/>
        <v>0.31402314050281127</v>
      </c>
      <c r="S386" s="329">
        <f t="shared" si="169"/>
        <v>0.99180834373953275</v>
      </c>
      <c r="T386" s="330">
        <f t="shared" si="170"/>
        <v>0.19485408481792296</v>
      </c>
      <c r="U386" s="331">
        <f t="shared" si="171"/>
        <v>-7.5152722660941436</v>
      </c>
      <c r="V386" s="332">
        <f t="shared" si="172"/>
        <v>-129.14028615505339</v>
      </c>
      <c r="W386" s="334">
        <f t="shared" si="173"/>
        <v>50.859713844946612</v>
      </c>
      <c r="Y386" s="307">
        <f t="shared" si="174"/>
        <v>33305.75</v>
      </c>
      <c r="Z386" s="307">
        <f t="shared" si="175"/>
        <v>1109272983.0625</v>
      </c>
      <c r="AB386" s="333">
        <f t="shared" si="176"/>
        <v>15.832965810577717</v>
      </c>
      <c r="AC386" s="334">
        <f t="shared" si="177"/>
        <v>-24.486142313666065</v>
      </c>
      <c r="AE386" s="333">
        <f t="shared" si="178"/>
        <v>1.3397484574032792</v>
      </c>
      <c r="AF386" s="334">
        <f t="shared" si="179"/>
        <v>-97.615418473152758</v>
      </c>
      <c r="AH386">
        <f t="shared" si="180"/>
        <v>0</v>
      </c>
      <c r="AI386">
        <f t="shared" si="185"/>
        <v>0</v>
      </c>
    </row>
    <row r="387" spans="1:35" x14ac:dyDescent="0.25">
      <c r="A387" s="335">
        <v>33498.5</v>
      </c>
      <c r="B387" s="352">
        <f t="shared" si="181"/>
        <v>33.4985</v>
      </c>
      <c r="C387" s="325">
        <f t="shared" si="156"/>
        <v>20.905414681026652</v>
      </c>
      <c r="D387" s="326">
        <f t="shared" si="157"/>
        <v>1.5229435687899335</v>
      </c>
      <c r="E387" s="326">
        <f t="shared" si="158"/>
        <v>1.0000964822409231</v>
      </c>
      <c r="F387" s="327">
        <f t="shared" si="159"/>
        <v>1.3890607201221502E-2</v>
      </c>
      <c r="G387" s="326">
        <f t="shared" si="160"/>
        <v>1</v>
      </c>
      <c r="H387" s="327">
        <f t="shared" si="161"/>
        <v>0</v>
      </c>
      <c r="I387" s="325">
        <f t="shared" si="162"/>
        <v>52539.324391188733</v>
      </c>
      <c r="J387" s="328">
        <f t="shared" si="163"/>
        <v>1.5707772934325219</v>
      </c>
      <c r="K387" s="336">
        <f t="shared" si="183"/>
        <v>4.3121553769737879</v>
      </c>
      <c r="L387" s="337">
        <f t="shared" si="184"/>
        <v>1.336763188545933</v>
      </c>
      <c r="M387" s="325">
        <f t="shared" si="164"/>
        <v>1.0189436585778235</v>
      </c>
      <c r="N387" s="337">
        <f t="shared" si="165"/>
        <v>0.19312877872363227</v>
      </c>
      <c r="O387" s="343">
        <f t="shared" si="166"/>
        <v>1.0187696810719449</v>
      </c>
      <c r="P387" s="691">
        <f t="shared" si="167"/>
        <v>0.19225360159759813</v>
      </c>
      <c r="Q387" s="336">
        <f t="shared" si="182"/>
        <v>4.3708186509786042</v>
      </c>
      <c r="R387" s="692">
        <f t="shared" si="168"/>
        <v>0.31572386260746088</v>
      </c>
      <c r="S387" s="329">
        <f t="shared" si="169"/>
        <v>0.99171716059331194</v>
      </c>
      <c r="T387" s="330">
        <f t="shared" si="170"/>
        <v>0.19601463800092594</v>
      </c>
      <c r="U387" s="331">
        <f t="shared" si="171"/>
        <v>-7.5719668616884706</v>
      </c>
      <c r="V387" s="332">
        <f t="shared" si="172"/>
        <v>-129.240986719825</v>
      </c>
      <c r="W387" s="334">
        <f t="shared" si="173"/>
        <v>50.759013280174997</v>
      </c>
      <c r="Y387" s="307">
        <f t="shared" si="174"/>
        <v>33498.5</v>
      </c>
      <c r="Z387" s="307">
        <f t="shared" si="175"/>
        <v>1122149502.25</v>
      </c>
      <c r="AB387" s="333">
        <f t="shared" si="176"/>
        <v>15.828419329450444</v>
      </c>
      <c r="AC387" s="334">
        <f t="shared" si="177"/>
        <v>-24.473484507878446</v>
      </c>
      <c r="AE387" s="333">
        <f t="shared" si="178"/>
        <v>1.290549152981707</v>
      </c>
      <c r="AF387" s="334">
        <f t="shared" si="179"/>
        <v>-97.693177352619159</v>
      </c>
      <c r="AH387">
        <f t="shared" si="180"/>
        <v>0</v>
      </c>
      <c r="AI387">
        <f t="shared" si="185"/>
        <v>0</v>
      </c>
    </row>
    <row r="388" spans="1:35" x14ac:dyDescent="0.25">
      <c r="A388" s="335">
        <v>33691.25</v>
      </c>
      <c r="B388" s="352">
        <f t="shared" si="181"/>
        <v>33.691249999999997</v>
      </c>
      <c r="C388" s="325">
        <f t="shared" si="156"/>
        <v>21.025429753189446</v>
      </c>
      <c r="D388" s="326">
        <f t="shared" si="157"/>
        <v>1.5232169235983715</v>
      </c>
      <c r="E388" s="326">
        <f t="shared" si="158"/>
        <v>1.0000975956964659</v>
      </c>
      <c r="F388" s="327">
        <f t="shared" si="159"/>
        <v>1.3970523232409526E-2</v>
      </c>
      <c r="G388" s="326">
        <f t="shared" si="160"/>
        <v>1</v>
      </c>
      <c r="H388" s="327">
        <f t="shared" si="161"/>
        <v>0</v>
      </c>
      <c r="I388" s="325">
        <f t="shared" si="162"/>
        <v>52841.635084883776</v>
      </c>
      <c r="J388" s="328">
        <f t="shared" si="163"/>
        <v>1.5707774023237207</v>
      </c>
      <c r="K388" s="336">
        <f t="shared" si="183"/>
        <v>4.3356367193989911</v>
      </c>
      <c r="L388" s="337">
        <f t="shared" si="184"/>
        <v>1.338054147979733</v>
      </c>
      <c r="M388" s="325">
        <f t="shared" si="164"/>
        <v>1.0191602336309959</v>
      </c>
      <c r="N388" s="337">
        <f t="shared" si="165"/>
        <v>0.1942123824735916</v>
      </c>
      <c r="O388" s="343">
        <f t="shared" si="166"/>
        <v>1.018984285466269</v>
      </c>
      <c r="P388" s="691">
        <f t="shared" si="167"/>
        <v>0.19333254197396407</v>
      </c>
      <c r="Q388" s="336">
        <f t="shared" si="182"/>
        <v>4.3732300974497536</v>
      </c>
      <c r="R388" s="692">
        <f t="shared" si="168"/>
        <v>0.31742272239271624</v>
      </c>
      <c r="S388" s="329">
        <f t="shared" si="169"/>
        <v>0.99162554243799239</v>
      </c>
      <c r="T388" s="330">
        <f t="shared" si="170"/>
        <v>0.1971757598318952</v>
      </c>
      <c r="U388" s="331">
        <f t="shared" si="171"/>
        <v>-7.6283494962420928</v>
      </c>
      <c r="V388" s="332">
        <f t="shared" si="172"/>
        <v>-129.34224172511801</v>
      </c>
      <c r="W388" s="334">
        <f t="shared" si="173"/>
        <v>50.657758274881985</v>
      </c>
      <c r="Y388" s="307">
        <f t="shared" si="174"/>
        <v>33691.25</v>
      </c>
      <c r="Z388" s="307">
        <f t="shared" si="175"/>
        <v>1135100326.5625</v>
      </c>
      <c r="AB388" s="333">
        <f t="shared" si="176"/>
        <v>15.823907770544634</v>
      </c>
      <c r="AC388" s="334">
        <f t="shared" si="177"/>
        <v>-24.461610141328872</v>
      </c>
      <c r="AE388" s="333">
        <f t="shared" si="178"/>
        <v>1.2416393972396518</v>
      </c>
      <c r="AF388" s="334">
        <f t="shared" si="179"/>
        <v>-97.770787958653486</v>
      </c>
      <c r="AH388">
        <f t="shared" si="180"/>
        <v>0</v>
      </c>
      <c r="AI388">
        <f t="shared" si="185"/>
        <v>0</v>
      </c>
    </row>
    <row r="389" spans="1:35" x14ac:dyDescent="0.25">
      <c r="A389" s="335">
        <v>33884</v>
      </c>
      <c r="B389" s="352">
        <f t="shared" si="181"/>
        <v>33.884</v>
      </c>
      <c r="C389" s="325">
        <f t="shared" si="156"/>
        <v>21.145446378598297</v>
      </c>
      <c r="D389" s="326">
        <f t="shared" si="157"/>
        <v>1.5234871754304455</v>
      </c>
      <c r="E389" s="326">
        <f t="shared" si="158"/>
        <v>1.0000987155391901</v>
      </c>
      <c r="F389" s="327">
        <f t="shared" si="159"/>
        <v>1.4050439085138833E-2</v>
      </c>
      <c r="G389" s="326">
        <f t="shared" si="160"/>
        <v>1</v>
      </c>
      <c r="H389" s="327">
        <f t="shared" si="161"/>
        <v>0</v>
      </c>
      <c r="I389" s="325">
        <f t="shared" si="162"/>
        <v>53143.945778579437</v>
      </c>
      <c r="J389" s="328">
        <f t="shared" si="163"/>
        <v>1.5707775099760586</v>
      </c>
      <c r="K389" s="336">
        <f t="shared" si="183"/>
        <v>4.3591252096412756</v>
      </c>
      <c r="L389" s="337">
        <f t="shared" si="184"/>
        <v>1.3393311972414657</v>
      </c>
      <c r="M389" s="325">
        <f t="shared" si="164"/>
        <v>1.0193780048698313</v>
      </c>
      <c r="N389" s="337">
        <f t="shared" si="165"/>
        <v>0.19529552451116092</v>
      </c>
      <c r="O389" s="343">
        <f t="shared" si="166"/>
        <v>1.0192000755724231</v>
      </c>
      <c r="P389" s="691">
        <f t="shared" si="167"/>
        <v>0.19441102672812638</v>
      </c>
      <c r="Q389" s="336">
        <f t="shared" si="182"/>
        <v>4.3756540392303789</v>
      </c>
      <c r="R389" s="692">
        <f t="shared" si="168"/>
        <v>0.31911971327055083</v>
      </c>
      <c r="S389" s="329">
        <f t="shared" si="169"/>
        <v>0.99153349087293818</v>
      </c>
      <c r="T389" s="330">
        <f t="shared" si="170"/>
        <v>0.19833745355953569</v>
      </c>
      <c r="U389" s="331">
        <f t="shared" si="171"/>
        <v>-7.6844243102986534</v>
      </c>
      <c r="V389" s="332">
        <f t="shared" si="172"/>
        <v>-129.44404121417321</v>
      </c>
      <c r="W389" s="334">
        <f t="shared" si="173"/>
        <v>50.555958785826789</v>
      </c>
      <c r="Y389" s="307">
        <f t="shared" si="174"/>
        <v>33884</v>
      </c>
      <c r="Z389" s="307">
        <f t="shared" si="175"/>
        <v>1148125456</v>
      </c>
      <c r="AB389" s="333">
        <f t="shared" si="176"/>
        <v>15.819430176109478</v>
      </c>
      <c r="AC389" s="334">
        <f t="shared" si="177"/>
        <v>-24.450506243779152</v>
      </c>
      <c r="AE389" s="333">
        <f t="shared" si="178"/>
        <v>1.1930159406975869</v>
      </c>
      <c r="AF389" s="334">
        <f t="shared" si="179"/>
        <v>-97.848253554728558</v>
      </c>
      <c r="AH389">
        <f t="shared" si="180"/>
        <v>0</v>
      </c>
      <c r="AI389">
        <f t="shared" si="185"/>
        <v>0</v>
      </c>
    </row>
    <row r="390" spans="1:35" x14ac:dyDescent="0.25">
      <c r="A390" s="335">
        <v>34081.5</v>
      </c>
      <c r="B390" s="352">
        <f t="shared" si="181"/>
        <v>34.081499999999998</v>
      </c>
      <c r="C390" s="325">
        <f t="shared" si="156"/>
        <v>21.268422195790727</v>
      </c>
      <c r="D390" s="326">
        <f t="shared" si="157"/>
        <v>1.5237609234391543</v>
      </c>
      <c r="E390" s="326">
        <f t="shared" si="158"/>
        <v>1.0000998696037571</v>
      </c>
      <c r="F390" s="327">
        <f t="shared" si="159"/>
        <v>1.4132324143652531E-2</v>
      </c>
      <c r="G390" s="326">
        <f t="shared" si="160"/>
        <v>1</v>
      </c>
      <c r="H390" s="327">
        <f t="shared" si="161"/>
        <v>0</v>
      </c>
      <c r="I390" s="325">
        <f t="shared" si="162"/>
        <v>53453.706411549691</v>
      </c>
      <c r="J390" s="328">
        <f t="shared" si="163"/>
        <v>1.5707776190182579</v>
      </c>
      <c r="K390" s="336">
        <f t="shared" si="183"/>
        <v>4.3831998283078049</v>
      </c>
      <c r="L390" s="337">
        <f t="shared" si="184"/>
        <v>1.3406255181955897</v>
      </c>
      <c r="M390" s="325">
        <f t="shared" si="164"/>
        <v>1.019602382679349</v>
      </c>
      <c r="N390" s="337">
        <f t="shared" si="165"/>
        <v>0.19640487749762184</v>
      </c>
      <c r="O390" s="343">
        <f t="shared" si="166"/>
        <v>1.0194224125775015</v>
      </c>
      <c r="P390" s="691">
        <f t="shared" si="167"/>
        <v>0.19551561400472525</v>
      </c>
      <c r="Q390" s="336">
        <f t="shared" si="182"/>
        <v>4.3781506542742168</v>
      </c>
      <c r="R390" s="692">
        <f t="shared" si="168"/>
        <v>0.32085657824973118</v>
      </c>
      <c r="S390" s="329">
        <f t="shared" si="169"/>
        <v>0.9914387229723638</v>
      </c>
      <c r="T390" s="330">
        <f t="shared" si="170"/>
        <v>0.19952837188500133</v>
      </c>
      <c r="U390" s="331">
        <f t="shared" si="171"/>
        <v>-7.7415659467475937</v>
      </c>
      <c r="V390" s="332">
        <f t="shared" si="172"/>
        <v>-129.5489039529819</v>
      </c>
      <c r="W390" s="334">
        <f t="shared" si="173"/>
        <v>50.451096047018098</v>
      </c>
      <c r="Y390" s="307">
        <f t="shared" si="174"/>
        <v>34081.5</v>
      </c>
      <c r="Z390" s="307">
        <f t="shared" si="175"/>
        <v>1161548642.25</v>
      </c>
      <c r="AB390" s="333">
        <f t="shared" si="176"/>
        <v>15.814876494918186</v>
      </c>
      <c r="AC390" s="334">
        <f t="shared" si="177"/>
        <v>-24.439914607532646</v>
      </c>
      <c r="AE390" s="333">
        <f t="shared" si="178"/>
        <v>1.1434878689807066</v>
      </c>
      <c r="AF390" s="334">
        <f t="shared" si="179"/>
        <v>-97.927481085904148</v>
      </c>
      <c r="AH390">
        <f t="shared" si="180"/>
        <v>0</v>
      </c>
      <c r="AI390">
        <f t="shared" si="185"/>
        <v>0</v>
      </c>
    </row>
    <row r="391" spans="1:35" x14ac:dyDescent="0.25">
      <c r="A391" s="335">
        <v>34279</v>
      </c>
      <c r="B391" s="352">
        <f t="shared" si="181"/>
        <v>34.279000000000003</v>
      </c>
      <c r="C391" s="325">
        <f t="shared" si="156"/>
        <v>21.39139958847036</v>
      </c>
      <c r="D391" s="326">
        <f t="shared" si="157"/>
        <v>1.5240315239584801</v>
      </c>
      <c r="E391" s="326">
        <f t="shared" si="158"/>
        <v>1.0001010303741413</v>
      </c>
      <c r="F391" s="327">
        <f t="shared" si="159"/>
        <v>1.4214209012634982E-2</v>
      </c>
      <c r="G391" s="326">
        <f t="shared" si="160"/>
        <v>1</v>
      </c>
      <c r="H391" s="327">
        <f t="shared" si="161"/>
        <v>0</v>
      </c>
      <c r="I391" s="325">
        <f t="shared" si="162"/>
        <v>53763.467044520563</v>
      </c>
      <c r="J391" s="328">
        <f t="shared" si="163"/>
        <v>1.5707777268039542</v>
      </c>
      <c r="K391" s="336">
        <f t="shared" si="183"/>
        <v>4.4072817097739918</v>
      </c>
      <c r="L391" s="337">
        <f t="shared" si="184"/>
        <v>1.3419056966452081</v>
      </c>
      <c r="M391" s="325">
        <f t="shared" si="164"/>
        <v>1.019828014723817</v>
      </c>
      <c r="N391" s="337">
        <f t="shared" si="165"/>
        <v>0.19751374097019131</v>
      </c>
      <c r="O391" s="343">
        <f t="shared" si="166"/>
        <v>1.019645992849852</v>
      </c>
      <c r="P391" s="691">
        <f t="shared" si="167"/>
        <v>0.19661971821685403</v>
      </c>
      <c r="Q391" s="336">
        <f t="shared" si="182"/>
        <v>4.3806603438887439</v>
      </c>
      <c r="R391" s="692">
        <f t="shared" si="168"/>
        <v>0.32259146725463383</v>
      </c>
      <c r="S391" s="329">
        <f t="shared" si="169"/>
        <v>0.99134350346910349</v>
      </c>
      <c r="T391" s="330">
        <f t="shared" si="170"/>
        <v>0.20071989754447941</v>
      </c>
      <c r="U391" s="331">
        <f t="shared" si="171"/>
        <v>-7.798392948498801</v>
      </c>
      <c r="V391" s="332">
        <f t="shared" si="172"/>
        <v>-129.65431781178489</v>
      </c>
      <c r="W391" s="334">
        <f t="shared" si="173"/>
        <v>50.345682188215108</v>
      </c>
      <c r="Y391" s="307">
        <f t="shared" si="174"/>
        <v>34279</v>
      </c>
      <c r="Z391" s="307">
        <f t="shared" si="175"/>
        <v>1175049841</v>
      </c>
      <c r="AB391" s="333">
        <f t="shared" si="176"/>
        <v>15.810356519781772</v>
      </c>
      <c r="AC391" s="334">
        <f t="shared" si="177"/>
        <v>-24.430105158034642</v>
      </c>
      <c r="AE391" s="333">
        <f t="shared" si="178"/>
        <v>1.0942536478386742</v>
      </c>
      <c r="AF391" s="334">
        <f t="shared" si="179"/>
        <v>-98.006563087756902</v>
      </c>
      <c r="AH391">
        <f t="shared" si="180"/>
        <v>0</v>
      </c>
      <c r="AI391">
        <f t="shared" si="185"/>
        <v>0</v>
      </c>
    </row>
    <row r="392" spans="1:35" x14ac:dyDescent="0.25">
      <c r="A392" s="335">
        <v>34476.5</v>
      </c>
      <c r="B392" s="352">
        <f t="shared" si="181"/>
        <v>34.476500000000001</v>
      </c>
      <c r="C392" s="325">
        <f t="shared" si="156"/>
        <v>21.51437852962048</v>
      </c>
      <c r="D392" s="326">
        <f t="shared" si="157"/>
        <v>1.5242990309228062</v>
      </c>
      <c r="E392" s="326">
        <f t="shared" si="158"/>
        <v>1.0001021978503191</v>
      </c>
      <c r="F392" s="327">
        <f t="shared" si="159"/>
        <v>1.429609369098875E-2</v>
      </c>
      <c r="G392" s="326">
        <f t="shared" si="160"/>
        <v>1</v>
      </c>
      <c r="H392" s="327">
        <f t="shared" si="161"/>
        <v>0</v>
      </c>
      <c r="I392" s="325">
        <f t="shared" si="162"/>
        <v>54073.227677492061</v>
      </c>
      <c r="J392" s="328">
        <f t="shared" si="163"/>
        <v>1.5707778333547413</v>
      </c>
      <c r="K392" s="336">
        <f t="shared" si="183"/>
        <v>4.4313707356327656</v>
      </c>
      <c r="L392" s="337">
        <f t="shared" si="184"/>
        <v>1.3431719589965636</v>
      </c>
      <c r="M392" s="325">
        <f t="shared" si="164"/>
        <v>1.0200549001709402</v>
      </c>
      <c r="N392" s="337">
        <f t="shared" si="165"/>
        <v>0.19862211252774467</v>
      </c>
      <c r="O392" s="343">
        <f t="shared" si="166"/>
        <v>1.0198708155718124</v>
      </c>
      <c r="P392" s="691">
        <f t="shared" si="167"/>
        <v>0.19772333699119182</v>
      </c>
      <c r="Q392" s="336">
        <f t="shared" si="182"/>
        <v>4.3831830856173779</v>
      </c>
      <c r="R392" s="692">
        <f t="shared" si="168"/>
        <v>0.3243243733850048</v>
      </c>
      <c r="S392" s="329">
        <f t="shared" si="169"/>
        <v>0.99124783411606088</v>
      </c>
      <c r="T392" s="330">
        <f t="shared" si="170"/>
        <v>0.20191203403027005</v>
      </c>
      <c r="U392" s="331">
        <f t="shared" si="171"/>
        <v>-7.854909513201652</v>
      </c>
      <c r="V392" s="332">
        <f t="shared" si="172"/>
        <v>-129.76027271311835</v>
      </c>
      <c r="W392" s="334">
        <f t="shared" si="173"/>
        <v>50.239727286881646</v>
      </c>
      <c r="Y392" s="307">
        <f t="shared" si="174"/>
        <v>34476.5</v>
      </c>
      <c r="Z392" s="307">
        <f t="shared" si="175"/>
        <v>1188629052.25</v>
      </c>
      <c r="AB392" s="333">
        <f t="shared" si="176"/>
        <v>15.805869302653706</v>
      </c>
      <c r="AC392" s="334">
        <f t="shared" si="177"/>
        <v>-24.421064786825891</v>
      </c>
      <c r="AE392" s="333">
        <f t="shared" si="178"/>
        <v>1.0453099556048071</v>
      </c>
      <c r="AF392" s="334">
        <f t="shared" si="179"/>
        <v>-98.085502850656241</v>
      </c>
      <c r="AH392">
        <f t="shared" si="180"/>
        <v>0</v>
      </c>
      <c r="AI392">
        <f t="shared" si="185"/>
        <v>0</v>
      </c>
    </row>
    <row r="393" spans="1:35" x14ac:dyDescent="0.25">
      <c r="A393" s="335">
        <v>34674</v>
      </c>
      <c r="B393" s="352">
        <f t="shared" si="181"/>
        <v>34.673999999999999</v>
      </c>
      <c r="C393" s="325">
        <f t="shared" si="156"/>
        <v>21.637358992838248</v>
      </c>
      <c r="D393" s="326">
        <f t="shared" si="157"/>
        <v>1.5245634970421209</v>
      </c>
      <c r="E393" s="326">
        <f t="shared" si="158"/>
        <v>1.0001033720322667</v>
      </c>
      <c r="F393" s="327">
        <f t="shared" si="159"/>
        <v>1.4377978177616412E-2</v>
      </c>
      <c r="G393" s="326">
        <f t="shared" si="160"/>
        <v>1</v>
      </c>
      <c r="H393" s="327">
        <f t="shared" si="161"/>
        <v>0</v>
      </c>
      <c r="I393" s="325">
        <f t="shared" si="162"/>
        <v>54382.988310464156</v>
      </c>
      <c r="J393" s="328">
        <f t="shared" si="163"/>
        <v>1.5707779386917209</v>
      </c>
      <c r="K393" s="336">
        <f t="shared" si="183"/>
        <v>4.4554667900030305</v>
      </c>
      <c r="L393" s="337">
        <f t="shared" si="184"/>
        <v>1.344424526938792</v>
      </c>
      <c r="M393" s="325">
        <f t="shared" si="164"/>
        <v>1.0202830381845425</v>
      </c>
      <c r="N393" s="337">
        <f t="shared" si="165"/>
        <v>0.19972998977612166</v>
      </c>
      <c r="O393" s="343">
        <f t="shared" si="166"/>
        <v>1.0200968799218986</v>
      </c>
      <c r="P393" s="691">
        <f t="shared" si="167"/>
        <v>0.19882646796123427</v>
      </c>
      <c r="Q393" s="336">
        <f t="shared" si="182"/>
        <v>4.3857188569385475</v>
      </c>
      <c r="R393" s="692">
        <f t="shared" si="168"/>
        <v>0.32605528980363296</v>
      </c>
      <c r="S393" s="329">
        <f t="shared" si="169"/>
        <v>0.99115171667708402</v>
      </c>
      <c r="T393" s="330">
        <f t="shared" si="170"/>
        <v>0.20310478483377931</v>
      </c>
      <c r="U393" s="331">
        <f t="shared" si="171"/>
        <v>-7.9111197563041111</v>
      </c>
      <c r="V393" s="332">
        <f t="shared" si="172"/>
        <v>-129.86675878317703</v>
      </c>
      <c r="W393" s="334">
        <f t="shared" si="173"/>
        <v>50.133241216822967</v>
      </c>
      <c r="Y393" s="307">
        <f t="shared" si="174"/>
        <v>34674</v>
      </c>
      <c r="Z393" s="307">
        <f t="shared" si="175"/>
        <v>1202286276</v>
      </c>
      <c r="AB393" s="333">
        <f t="shared" si="176"/>
        <v>15.801413921497435</v>
      </c>
      <c r="AC393" s="334">
        <f t="shared" si="177"/>
        <v>-24.412780656088266</v>
      </c>
      <c r="AE393" s="333">
        <f t="shared" si="178"/>
        <v>0.99665352670200824</v>
      </c>
      <c r="AF393" s="334">
        <f t="shared" si="179"/>
        <v>-98.164303594767787</v>
      </c>
      <c r="AH393">
        <f t="shared" si="180"/>
        <v>0</v>
      </c>
      <c r="AI393">
        <f t="shared" si="185"/>
        <v>0</v>
      </c>
    </row>
    <row r="394" spans="1:35" x14ac:dyDescent="0.25">
      <c r="A394" s="335">
        <v>34875.75</v>
      </c>
      <c r="B394" s="352">
        <f t="shared" si="181"/>
        <v>34.875749999999996</v>
      </c>
      <c r="C394" s="325">
        <f t="shared" si="156"/>
        <v>21.762987415804243</v>
      </c>
      <c r="D394" s="326">
        <f t="shared" si="157"/>
        <v>1.5248305680716818</v>
      </c>
      <c r="E394" s="326">
        <f t="shared" si="158"/>
        <v>1.0001045784051714</v>
      </c>
      <c r="F394" s="327">
        <f t="shared" si="159"/>
        <v>1.4461624536374973E-2</v>
      </c>
      <c r="G394" s="326">
        <f t="shared" si="160"/>
        <v>1</v>
      </c>
      <c r="H394" s="327">
        <f t="shared" si="161"/>
        <v>0</v>
      </c>
      <c r="I394" s="325">
        <f t="shared" si="162"/>
        <v>54699.414678576781</v>
      </c>
      <c r="J394" s="328">
        <f t="shared" si="163"/>
        <v>1.5707780450636215</v>
      </c>
      <c r="K394" s="336">
        <f t="shared" si="183"/>
        <v>4.4800885061357052</v>
      </c>
      <c r="L394" s="337">
        <f t="shared" si="184"/>
        <v>1.345690134992229</v>
      </c>
      <c r="M394" s="325">
        <f t="shared" si="164"/>
        <v>1.0205173779110093</v>
      </c>
      <c r="N394" s="337">
        <f t="shared" si="165"/>
        <v>0.20086119455938867</v>
      </c>
      <c r="O394" s="343">
        <f t="shared" si="166"/>
        <v>1.0203290900830932</v>
      </c>
      <c r="P394" s="691">
        <f t="shared" si="167"/>
        <v>0.19995283107602285</v>
      </c>
      <c r="Q394" s="336">
        <f t="shared" si="182"/>
        <v>4.3883226251878718</v>
      </c>
      <c r="R394" s="692">
        <f t="shared" si="168"/>
        <v>0.32782139234922869</v>
      </c>
      <c r="S394" s="329">
        <f t="shared" si="169"/>
        <v>0.99105307008065036</v>
      </c>
      <c r="T394" s="330">
        <f t="shared" si="170"/>
        <v>0.20432384034574397</v>
      </c>
      <c r="U394" s="331">
        <f t="shared" si="171"/>
        <v>-7.968227502774945</v>
      </c>
      <c r="V394" s="332">
        <f t="shared" si="172"/>
        <v>-129.97607470252609</v>
      </c>
      <c r="W394" s="334">
        <f t="shared" si="173"/>
        <v>50.023925297473909</v>
      </c>
      <c r="Y394" s="307">
        <f t="shared" si="174"/>
        <v>34875.75</v>
      </c>
      <c r="Z394" s="307">
        <f t="shared" si="175"/>
        <v>1216317938.0625</v>
      </c>
      <c r="AB394" s="333">
        <f t="shared" si="176"/>
        <v>15.79689460349298</v>
      </c>
      <c r="AC394" s="334">
        <f t="shared" si="177"/>
        <v>-24.405086010606951</v>
      </c>
      <c r="AE394" s="333">
        <f t="shared" si="178"/>
        <v>0.9472433243774786</v>
      </c>
      <c r="AF394" s="334">
        <f t="shared" si="179"/>
        <v>-98.244659790182894</v>
      </c>
      <c r="AH394">
        <f t="shared" si="180"/>
        <v>0</v>
      </c>
      <c r="AI394">
        <f t="shared" si="185"/>
        <v>0</v>
      </c>
    </row>
    <row r="395" spans="1:35" x14ac:dyDescent="0.25">
      <c r="A395" s="335">
        <v>35077.5</v>
      </c>
      <c r="B395" s="352">
        <f t="shared" si="181"/>
        <v>35.077500000000001</v>
      </c>
      <c r="C395" s="325">
        <f t="shared" si="156"/>
        <v>21.888617373238841</v>
      </c>
      <c r="D395" s="326">
        <f t="shared" si="157"/>
        <v>1.5250945734057371</v>
      </c>
      <c r="E395" s="326">
        <f t="shared" si="158"/>
        <v>1.0001057917755041</v>
      </c>
      <c r="F395" s="327">
        <f t="shared" si="159"/>
        <v>1.4545270692752233E-2</v>
      </c>
      <c r="G395" s="326">
        <f t="shared" si="160"/>
        <v>1</v>
      </c>
      <c r="H395" s="327">
        <f t="shared" si="161"/>
        <v>0</v>
      </c>
      <c r="I395" s="325">
        <f t="shared" si="162"/>
        <v>55015.841046690017</v>
      </c>
      <c r="J395" s="328">
        <f t="shared" si="163"/>
        <v>1.5707781502119156</v>
      </c>
      <c r="K395" s="336">
        <f t="shared" si="183"/>
        <v>4.504717319859961</v>
      </c>
      <c r="L395" s="337">
        <f t="shared" si="184"/>
        <v>1.3469419060176056</v>
      </c>
      <c r="M395" s="325">
        <f t="shared" si="164"/>
        <v>1.0207530229157025</v>
      </c>
      <c r="N395" s="337">
        <f t="shared" si="165"/>
        <v>0.20199187850246159</v>
      </c>
      <c r="O395" s="343">
        <f t="shared" si="166"/>
        <v>1.0205625941395162</v>
      </c>
      <c r="P395" s="691">
        <f t="shared" si="167"/>
        <v>0.2010786801963329</v>
      </c>
      <c r="Q395" s="336">
        <f t="shared" si="182"/>
        <v>4.3909399421186164</v>
      </c>
      <c r="R395" s="692">
        <f t="shared" si="168"/>
        <v>0.32958540440680806</v>
      </c>
      <c r="S395" s="329">
        <f t="shared" si="169"/>
        <v>0.99095395966181599</v>
      </c>
      <c r="T395" s="330">
        <f t="shared" si="170"/>
        <v>0.20554354426093038</v>
      </c>
      <c r="U395" s="331">
        <f t="shared" si="171"/>
        <v>-8.0250240303244631</v>
      </c>
      <c r="V395" s="332">
        <f t="shared" si="172"/>
        <v>-130.08592469765586</v>
      </c>
      <c r="W395" s="334">
        <f t="shared" si="173"/>
        <v>49.914075302344145</v>
      </c>
      <c r="Y395" s="307">
        <f t="shared" si="174"/>
        <v>35077.5</v>
      </c>
      <c r="Z395" s="307">
        <f t="shared" si="175"/>
        <v>1230431006.25</v>
      </c>
      <c r="AB395" s="333">
        <f t="shared" si="176"/>
        <v>15.792406640834153</v>
      </c>
      <c r="AC395" s="334">
        <f t="shared" si="177"/>
        <v>-24.398154256382941</v>
      </c>
      <c r="AE395" s="333">
        <f t="shared" si="178"/>
        <v>0.8981261666354261</v>
      </c>
      <c r="AF395" s="334">
        <f t="shared" si="179"/>
        <v>-98.324877496547714</v>
      </c>
      <c r="AH395">
        <f t="shared" si="180"/>
        <v>0</v>
      </c>
      <c r="AI395">
        <f t="shared" si="185"/>
        <v>0</v>
      </c>
    </row>
    <row r="396" spans="1:35" x14ac:dyDescent="0.25">
      <c r="A396" s="335">
        <v>35279.25</v>
      </c>
      <c r="B396" s="352">
        <f t="shared" si="181"/>
        <v>35.279249999999998</v>
      </c>
      <c r="C396" s="325">
        <f t="shared" si="156"/>
        <v>22.014248838871524</v>
      </c>
      <c r="D396" s="326">
        <f t="shared" si="157"/>
        <v>1.5253555654933293</v>
      </c>
      <c r="E396" s="326">
        <f t="shared" si="158"/>
        <v>1.0001070121432392</v>
      </c>
      <c r="F396" s="327">
        <f t="shared" si="159"/>
        <v>1.4628916645578438E-2</v>
      </c>
      <c r="G396" s="326">
        <f t="shared" si="160"/>
        <v>1</v>
      </c>
      <c r="H396" s="327">
        <f t="shared" si="161"/>
        <v>0</v>
      </c>
      <c r="I396" s="325">
        <f t="shared" si="162"/>
        <v>55332.26741480385</v>
      </c>
      <c r="J396" s="328">
        <f t="shared" si="163"/>
        <v>1.5707782541575952</v>
      </c>
      <c r="K396" s="336">
        <f t="shared" si="183"/>
        <v>4.5293531153941915</v>
      </c>
      <c r="L396" s="337">
        <f t="shared" si="184"/>
        <v>1.3481800618443962</v>
      </c>
      <c r="M396" s="325">
        <f t="shared" si="164"/>
        <v>1.0209899722948457</v>
      </c>
      <c r="N396" s="337">
        <f t="shared" si="165"/>
        <v>0.20312203907593887</v>
      </c>
      <c r="O396" s="343">
        <f t="shared" si="166"/>
        <v>1.0207973912032442</v>
      </c>
      <c r="P396" s="691">
        <f t="shared" si="167"/>
        <v>0.20220401282176223</v>
      </c>
      <c r="Q396" s="336">
        <f t="shared" si="182"/>
        <v>4.3935707835193085</v>
      </c>
      <c r="R396" s="692">
        <f t="shared" si="168"/>
        <v>0.33134731889183472</v>
      </c>
      <c r="S396" s="329">
        <f t="shared" si="169"/>
        <v>0.99085438733622766</v>
      </c>
      <c r="T396" s="330">
        <f t="shared" si="170"/>
        <v>0.20676390029801794</v>
      </c>
      <c r="U396" s="331">
        <f t="shared" si="171"/>
        <v>-8.0815134735219338</v>
      </c>
      <c r="V396" s="332">
        <f t="shared" si="172"/>
        <v>-130.1962988705414</v>
      </c>
      <c r="W396" s="334">
        <f t="shared" si="173"/>
        <v>49.803701129458602</v>
      </c>
      <c r="Y396" s="307">
        <f t="shared" si="174"/>
        <v>35279.25</v>
      </c>
      <c r="Z396" s="307">
        <f t="shared" si="175"/>
        <v>1244625480.5625</v>
      </c>
      <c r="AB396" s="333">
        <f t="shared" si="176"/>
        <v>15.787949129469423</v>
      </c>
      <c r="AC396" s="334">
        <f t="shared" si="177"/>
        <v>-24.391972539802328</v>
      </c>
      <c r="AE396" s="333">
        <f t="shared" si="178"/>
        <v>0.84929874572836017</v>
      </c>
      <c r="AF396" s="334">
        <f t="shared" si="179"/>
        <v>-98.404959932102699</v>
      </c>
      <c r="AH396">
        <f t="shared" si="180"/>
        <v>0</v>
      </c>
      <c r="AI396">
        <f t="shared" si="185"/>
        <v>0</v>
      </c>
    </row>
    <row r="397" spans="1:35" x14ac:dyDescent="0.25">
      <c r="A397" s="335">
        <v>35481</v>
      </c>
      <c r="B397" s="352">
        <f t="shared" si="181"/>
        <v>35.481000000000002</v>
      </c>
      <c r="C397" s="325">
        <f t="shared" ref="C397:C460" si="186">SQRT(1+(A397/pole1)^2)</f>
        <v>22.139881787027743</v>
      </c>
      <c r="D397" s="326">
        <f t="shared" ref="D397:D460" si="187">ATAN(A397/pole1)</f>
        <v>1.525613595594675</v>
      </c>
      <c r="E397" s="326">
        <f t="shared" ref="E397:E460" si="188">SQRT(1+(A397/Zero1)^2)</f>
        <v>1.0001082395083516</v>
      </c>
      <c r="F397" s="327">
        <f t="shared" ref="F397:F460" si="189">ATAN(A397/Zero1)</f>
        <v>1.4712562393683858E-2</v>
      </c>
      <c r="G397" s="326">
        <f t="shared" ref="G397:G460" si="190">IF(VIN_nom&gt;Vout, 1, SQRT(1+(A397/z_RHP)^2))</f>
        <v>1</v>
      </c>
      <c r="H397" s="327">
        <f t="shared" ref="H397:H460" si="191">IF(VIN_nom&gt;Vout, 0, -ATAN(A397/z_RHP))</f>
        <v>0</v>
      </c>
      <c r="I397" s="325">
        <f t="shared" ref="I397:I460" si="192">SQRT(1+(A397/Pole2)^2)</f>
        <v>55648.693782918272</v>
      </c>
      <c r="J397" s="328">
        <f t="shared" ref="J397:J460" si="193">ATAN(A397/Pole2)</f>
        <v>1.5707783569211751</v>
      </c>
      <c r="K397" s="336">
        <f t="shared" si="183"/>
        <v>4.553995779429699</v>
      </c>
      <c r="L397" s="337">
        <f t="shared" si="184"/>
        <v>1.3494048196696333</v>
      </c>
      <c r="M397" s="325">
        <f t="shared" ref="M397:M460" si="194">SQRT(1+(A397/pole4)^2)</f>
        <v>1.0212282251405005</v>
      </c>
      <c r="N397" s="337">
        <f t="shared" ref="N397:N460" si="195">ATAN(A397/pole4)</f>
        <v>0.20425167375810788</v>
      </c>
      <c r="O397" s="343">
        <f t="shared" ref="O397:O460" si="196">IF(VOUT_setting=1,1,SQRT(1+(A397*zterm1)^2))</f>
        <v>1.0210334803822569</v>
      </c>
      <c r="P397" s="691">
        <f t="shared" ref="P397:P460" si="197">IF(VOUT_setting=1,0,ATAN(((A397*zterm1))))</f>
        <v>0.20332882645943501</v>
      </c>
      <c r="Q397" s="336">
        <f t="shared" si="182"/>
        <v>4.3962151251114703</v>
      </c>
      <c r="R397" s="692">
        <f t="shared" ref="R397:R460" si="198">IF(VOUT_setting=1,0,ATAN(A397*$Q$4/(1+Afbr-$Q$5*(A397)^2)))</f>
        <v>0.33310712878830939</v>
      </c>
      <c r="S397" s="329">
        <f t="shared" ref="S397:S460" si="199">SQRT((1-(Z397/pterm2))^2+(A397/pterm1)^2)</f>
        <v>0.99075435503150733</v>
      </c>
      <c r="T397" s="330">
        <f t="shared" ref="T397:T460" si="200">IF((ATAN((A397/pterm1)/(1-A397^2/pterm2))&gt;0),ATAN((A397/pterm1)/(1-A397^2/pterm2)),PI()+ATAN((A397/pterm1)/(1-A397^2/pterm2)))</f>
        <v>0.20798491217463305</v>
      </c>
      <c r="U397" s="331">
        <f t="shared" ref="U397:U460" si="201">20*LOG10(((E397*K397*G397*O397)/(C397*I397*S397*M397*Q397))*Adc)</f>
        <v>-8.1376998862241354</v>
      </c>
      <c r="V397" s="332">
        <f t="shared" ref="V397:V460" si="202">((F397+L397+H397+P397)-(D397+J397+T397+N397+R397))*radconv</f>
        <v>-130.30718752431079</v>
      </c>
      <c r="W397" s="334">
        <f t="shared" ref="W397:W460" si="203">IF(V397&gt;0,V397,V397+180)</f>
        <v>49.692812475689209</v>
      </c>
      <c r="Y397" s="307">
        <f t="shared" ref="Y397:Y460" si="204">IF(U397&lt;0,A397,1000000000)</f>
        <v>35481</v>
      </c>
      <c r="Z397" s="307">
        <f t="shared" ref="Z397:Z460" si="205">A397^2</f>
        <v>1258901361</v>
      </c>
      <c r="AB397" s="333">
        <f t="shared" ref="AB397:AB460" si="206">20*LOG10((K397/(I397*M397))*AEA)</f>
        <v>15.783521190219004</v>
      </c>
      <c r="AC397" s="334">
        <f t="shared" ref="AC397:AC460" si="207">(L397-(J397+N397))*radconv</f>
        <v>-24.386528273083695</v>
      </c>
      <c r="AE397" s="333">
        <f t="shared" ref="AE397:AE460" si="208">20*LOG10((E397*G397/(C397*S397))*Acs*Am)</f>
        <v>0.80075780965535093</v>
      </c>
      <c r="AF397" s="334">
        <f t="shared" ref="AF397:AF460" si="209">(F397+H397-(D397+T397))*radconv</f>
        <v>-98.484910246913245</v>
      </c>
      <c r="AH397">
        <f t="shared" ref="AH397:AH460" si="210">SUM((U398&lt;0)*(U397&gt;0))*A397</f>
        <v>0</v>
      </c>
      <c r="AI397">
        <f t="shared" si="185"/>
        <v>0</v>
      </c>
    </row>
    <row r="398" spans="1:35" x14ac:dyDescent="0.25">
      <c r="A398" s="335">
        <v>35687.75</v>
      </c>
      <c r="B398" s="352">
        <f t="shared" ref="B398:B461" si="211">A398/1000</f>
        <v>35.687750000000001</v>
      </c>
      <c r="C398" s="325">
        <f t="shared" si="186"/>
        <v>22.268629826907738</v>
      </c>
      <c r="D398" s="326">
        <f t="shared" si="187"/>
        <v>1.5258749998921755</v>
      </c>
      <c r="E398" s="326">
        <f t="shared" si="188"/>
        <v>1.0001095045510591</v>
      </c>
      <c r="F398" s="327">
        <f t="shared" si="189"/>
        <v>1.4798280933081269E-2</v>
      </c>
      <c r="G398" s="326">
        <f t="shared" si="190"/>
        <v>1</v>
      </c>
      <c r="H398" s="327">
        <f t="shared" si="191"/>
        <v>0</v>
      </c>
      <c r="I398" s="325">
        <f t="shared" si="192"/>
        <v>55972.962192374427</v>
      </c>
      <c r="J398" s="328">
        <f t="shared" si="193"/>
        <v>1.570778461026124</v>
      </c>
      <c r="K398" s="336">
        <f t="shared" si="183"/>
        <v>4.5792561761944555</v>
      </c>
      <c r="L398" s="337">
        <f t="shared" si="184"/>
        <v>1.3506462531140844</v>
      </c>
      <c r="M398" s="325">
        <f t="shared" si="194"/>
        <v>1.0214737340102615</v>
      </c>
      <c r="N398" s="337">
        <f t="shared" si="195"/>
        <v>0.20540875611078366</v>
      </c>
      <c r="O398" s="343">
        <f t="shared" si="196"/>
        <v>1.0212767602029313</v>
      </c>
      <c r="P398" s="691">
        <f t="shared" si="197"/>
        <v>0.20448097547926056</v>
      </c>
      <c r="Q398" s="336">
        <f t="shared" si="182"/>
        <v>4.3989389825484295</v>
      </c>
      <c r="R398" s="692">
        <f t="shared" si="198"/>
        <v>0.33490836157357273</v>
      </c>
      <c r="S398" s="329">
        <f t="shared" si="199"/>
        <v>0.99065136842045542</v>
      </c>
      <c r="T398" s="330">
        <f t="shared" si="200"/>
        <v>0.20923686887792786</v>
      </c>
      <c r="U398" s="331">
        <f t="shared" si="201"/>
        <v>-8.1949685442106706</v>
      </c>
      <c r="V398" s="332">
        <f t="shared" si="202"/>
        <v>-130.42134817566128</v>
      </c>
      <c r="W398" s="334">
        <f t="shared" si="203"/>
        <v>49.578651824338721</v>
      </c>
      <c r="Y398" s="307">
        <f t="shared" si="204"/>
        <v>35687.75</v>
      </c>
      <c r="Z398" s="307">
        <f t="shared" si="205"/>
        <v>1273615500.0625</v>
      </c>
      <c r="AB398" s="333">
        <f t="shared" si="206"/>
        <v>15.779013298899676</v>
      </c>
      <c r="AC398" s="334">
        <f t="shared" si="207"/>
        <v>-24.381701276296326</v>
      </c>
      <c r="AE398" s="333">
        <f t="shared" si="208"/>
        <v>0.75130775479902823</v>
      </c>
      <c r="AF398" s="334">
        <f t="shared" si="209"/>
        <v>-98.566708134698459</v>
      </c>
      <c r="AH398">
        <f t="shared" si="210"/>
        <v>0</v>
      </c>
      <c r="AI398">
        <f t="shared" si="185"/>
        <v>0</v>
      </c>
    </row>
    <row r="399" spans="1:35" x14ac:dyDescent="0.25">
      <c r="A399" s="335">
        <v>35894.5</v>
      </c>
      <c r="B399" s="352">
        <f t="shared" si="211"/>
        <v>35.894500000000001</v>
      </c>
      <c r="C399" s="325">
        <f t="shared" si="186"/>
        <v>22.397379370958152</v>
      </c>
      <c r="D399" s="326">
        <f t="shared" si="187"/>
        <v>1.5261333988837684</v>
      </c>
      <c r="E399" s="326">
        <f t="shared" si="188"/>
        <v>1.0001107769422206</v>
      </c>
      <c r="F399" s="327">
        <f t="shared" si="189"/>
        <v>1.4883999254997648E-2</v>
      </c>
      <c r="G399" s="326">
        <f t="shared" si="190"/>
        <v>1</v>
      </c>
      <c r="H399" s="327">
        <f t="shared" si="191"/>
        <v>0</v>
      </c>
      <c r="I399" s="325">
        <f t="shared" si="192"/>
        <v>56297.230601831187</v>
      </c>
      <c r="J399" s="328">
        <f t="shared" si="193"/>
        <v>1.5707785639317973</v>
      </c>
      <c r="K399" s="336">
        <f t="shared" si="183"/>
        <v>4.6045235528723918</v>
      </c>
      <c r="L399" s="337">
        <f t="shared" si="184"/>
        <v>1.3518740636725191</v>
      </c>
      <c r="M399" s="325">
        <f t="shared" si="194"/>
        <v>1.0217206098111751</v>
      </c>
      <c r="N399" s="337">
        <f t="shared" si="195"/>
        <v>0.2065652808453966</v>
      </c>
      <c r="O399" s="343">
        <f t="shared" si="196"/>
        <v>1.021521395067972</v>
      </c>
      <c r="P399" s="691">
        <f t="shared" si="197"/>
        <v>0.20563257419179137</v>
      </c>
      <c r="Q399" s="336">
        <f t="shared" ref="Q399:Q462" si="212">IF(VOUT_setting=1,1,SQRT((1+Afbr-$Q$5*(A399)^2)^2+(A399*$Q$4)^2))</f>
        <v>4.4016769657860815</v>
      </c>
      <c r="R399" s="692">
        <f t="shared" si="198"/>
        <v>0.33670736946278007</v>
      </c>
      <c r="S399" s="329">
        <f t="shared" si="199"/>
        <v>0.99054790288579364</v>
      </c>
      <c r="T399" s="330">
        <f t="shared" si="200"/>
        <v>0.21048952223274042</v>
      </c>
      <c r="U399" s="331">
        <f t="shared" si="201"/>
        <v>-8.2519273344371094</v>
      </c>
      <c r="V399" s="332">
        <f t="shared" si="202"/>
        <v>-130.53602913245018</v>
      </c>
      <c r="W399" s="334">
        <f t="shared" si="203"/>
        <v>49.463970867549818</v>
      </c>
      <c r="Y399" s="307">
        <f t="shared" si="204"/>
        <v>35894.5</v>
      </c>
      <c r="Z399" s="307">
        <f t="shared" si="205"/>
        <v>1288415130.25</v>
      </c>
      <c r="AB399" s="333">
        <f t="shared" si="206"/>
        <v>15.774534670856436</v>
      </c>
      <c r="AC399" s="334">
        <f t="shared" si="207"/>
        <v>-24.377622795508341</v>
      </c>
      <c r="AE399" s="333">
        <f t="shared" si="208"/>
        <v>0.70215181984804964</v>
      </c>
      <c r="AF399" s="334">
        <f t="shared" si="209"/>
        <v>-98.648373758791422</v>
      </c>
      <c r="AH399">
        <f t="shared" si="210"/>
        <v>0</v>
      </c>
      <c r="AI399">
        <f t="shared" si="185"/>
        <v>0</v>
      </c>
    </row>
    <row r="400" spans="1:35" x14ac:dyDescent="0.25">
      <c r="A400" s="335">
        <v>36101.25</v>
      </c>
      <c r="B400" s="352">
        <f t="shared" si="211"/>
        <v>36.10125</v>
      </c>
      <c r="C400" s="325">
        <f t="shared" si="186"/>
        <v>22.526130393387454</v>
      </c>
      <c r="D400" s="326">
        <f t="shared" si="187"/>
        <v>1.5263888440662956</v>
      </c>
      <c r="E400" s="326">
        <f t="shared" si="188"/>
        <v>1.0001120566818078</v>
      </c>
      <c r="F400" s="327">
        <f t="shared" si="189"/>
        <v>1.4969717358174171E-2</v>
      </c>
      <c r="G400" s="326">
        <f t="shared" si="190"/>
        <v>1</v>
      </c>
      <c r="H400" s="327">
        <f t="shared" si="191"/>
        <v>0</v>
      </c>
      <c r="I400" s="325">
        <f t="shared" si="192"/>
        <v>56621.499011288528</v>
      </c>
      <c r="J400" s="328">
        <f t="shared" si="193"/>
        <v>1.5707786656587996</v>
      </c>
      <c r="K400" s="336">
        <f t="shared" si="183"/>
        <v>4.6297977951837241</v>
      </c>
      <c r="L400" s="337">
        <f t="shared" si="184"/>
        <v>1.3530884707159718</v>
      </c>
      <c r="M400" s="325">
        <f t="shared" si="194"/>
        <v>1.0219688515526177</v>
      </c>
      <c r="N400" s="337">
        <f t="shared" si="195"/>
        <v>0.20772124527336366</v>
      </c>
      <c r="O400" s="343">
        <f t="shared" si="196"/>
        <v>1.0217673840040913</v>
      </c>
      <c r="P400" s="691">
        <f t="shared" si="197"/>
        <v>0.20678361993894454</v>
      </c>
      <c r="Q400" s="336">
        <f t="shared" si="212"/>
        <v>4.404429048482994</v>
      </c>
      <c r="R400" s="692">
        <f t="shared" si="198"/>
        <v>0.33850414512900467</v>
      </c>
      <c r="S400" s="329">
        <f t="shared" si="199"/>
        <v>0.99044396054128758</v>
      </c>
      <c r="T400" s="330">
        <f t="shared" si="200"/>
        <v>0.21174287623642843</v>
      </c>
      <c r="U400" s="331">
        <f t="shared" si="201"/>
        <v>-8.3085803691364397</v>
      </c>
      <c r="V400" s="332">
        <f t="shared" si="202"/>
        <v>-130.65122058492983</v>
      </c>
      <c r="W400" s="334">
        <f t="shared" si="203"/>
        <v>49.348779415070169</v>
      </c>
      <c r="Y400" s="307">
        <f t="shared" si="204"/>
        <v>36101.25</v>
      </c>
      <c r="Z400" s="307">
        <f t="shared" si="205"/>
        <v>1303300251.5625</v>
      </c>
      <c r="AB400" s="333">
        <f t="shared" si="206"/>
        <v>15.770084436097891</v>
      </c>
      <c r="AC400" s="334">
        <f t="shared" si="207"/>
        <v>-24.374280108821385</v>
      </c>
      <c r="AE400" s="333">
        <f t="shared" si="208"/>
        <v>0.65328667906415427</v>
      </c>
      <c r="AF400" s="334">
        <f t="shared" si="209"/>
        <v>-98.729910298847599</v>
      </c>
      <c r="AH400">
        <f t="shared" si="210"/>
        <v>0</v>
      </c>
      <c r="AI400">
        <f t="shared" si="185"/>
        <v>0</v>
      </c>
    </row>
    <row r="401" spans="1:35" x14ac:dyDescent="0.25">
      <c r="A401" s="335">
        <v>36308</v>
      </c>
      <c r="B401" s="352">
        <f t="shared" si="211"/>
        <v>36.308</v>
      </c>
      <c r="C401" s="325">
        <f t="shared" si="186"/>
        <v>22.654882868990097</v>
      </c>
      <c r="D401" s="326">
        <f t="shared" si="187"/>
        <v>1.5266413857674921</v>
      </c>
      <c r="E401" s="326">
        <f t="shared" si="188"/>
        <v>1.0001133437697931</v>
      </c>
      <c r="F401" s="327">
        <f t="shared" si="189"/>
        <v>1.5055435241352038E-2</v>
      </c>
      <c r="G401" s="326">
        <f t="shared" si="190"/>
        <v>1</v>
      </c>
      <c r="H401" s="327">
        <f t="shared" si="191"/>
        <v>0</v>
      </c>
      <c r="I401" s="325">
        <f t="shared" si="192"/>
        <v>56945.767420746452</v>
      </c>
      <c r="J401" s="328">
        <f t="shared" si="193"/>
        <v>1.5707787662272663</v>
      </c>
      <c r="K401" s="336">
        <f t="shared" si="183"/>
        <v>4.655078791299835</v>
      </c>
      <c r="L401" s="337">
        <f t="shared" si="184"/>
        <v>1.3542896890100879</v>
      </c>
      <c r="M401" s="325">
        <f t="shared" si="194"/>
        <v>1.0222184582394493</v>
      </c>
      <c r="N401" s="337">
        <f t="shared" si="195"/>
        <v>0.208876646714696</v>
      </c>
      <c r="O401" s="343">
        <f t="shared" si="196"/>
        <v>1.0220147260335541</v>
      </c>
      <c r="P401" s="691">
        <f t="shared" si="197"/>
        <v>0.20793411007105028</v>
      </c>
      <c r="Q401" s="336">
        <f t="shared" si="212"/>
        <v>4.4071952042280511</v>
      </c>
      <c r="R401" s="692">
        <f t="shared" si="198"/>
        <v>0.34029868132070257</v>
      </c>
      <c r="S401" s="329">
        <f t="shared" si="199"/>
        <v>0.99033954351397813</v>
      </c>
      <c r="T401" s="330">
        <f t="shared" si="200"/>
        <v>0.21299693488509419</v>
      </c>
      <c r="U401" s="331">
        <f t="shared" si="201"/>
        <v>-8.3649316802604119</v>
      </c>
      <c r="V401" s="332">
        <f t="shared" si="202"/>
        <v>-130.76691292446748</v>
      </c>
      <c r="W401" s="334">
        <f t="shared" si="203"/>
        <v>49.233087075532524</v>
      </c>
      <c r="Y401" s="307">
        <f t="shared" si="204"/>
        <v>36308</v>
      </c>
      <c r="Z401" s="307">
        <f t="shared" si="205"/>
        <v>1318270864</v>
      </c>
      <c r="AB401" s="333">
        <f t="shared" si="206"/>
        <v>15.765661748714429</v>
      </c>
      <c r="AC401" s="334">
        <f t="shared" si="207"/>
        <v>-24.371660758672004</v>
      </c>
      <c r="AE401" s="333">
        <f t="shared" si="208"/>
        <v>0.60470906282330106</v>
      </c>
      <c r="AF401" s="334">
        <f t="shared" si="209"/>
        <v>-98.811320867465781</v>
      </c>
      <c r="AH401">
        <f t="shared" si="210"/>
        <v>0</v>
      </c>
      <c r="AI401">
        <f t="shared" si="185"/>
        <v>0</v>
      </c>
    </row>
    <row r="402" spans="1:35" x14ac:dyDescent="0.25">
      <c r="A402" s="335">
        <v>36519.5</v>
      </c>
      <c r="B402" s="352">
        <f t="shared" si="211"/>
        <v>36.519500000000001</v>
      </c>
      <c r="C402" s="325">
        <f t="shared" si="186"/>
        <v>22.786594860074246</v>
      </c>
      <c r="D402" s="326">
        <f t="shared" si="187"/>
        <v>1.5268967764908734</v>
      </c>
      <c r="E402" s="326">
        <f t="shared" si="188"/>
        <v>1.0001146680316662</v>
      </c>
      <c r="F402" s="327">
        <f t="shared" si="189"/>
        <v>1.5143122230259171E-2</v>
      </c>
      <c r="G402" s="326">
        <f t="shared" si="190"/>
        <v>1</v>
      </c>
      <c r="H402" s="327">
        <f t="shared" si="191"/>
        <v>0</v>
      </c>
      <c r="I402" s="325">
        <f t="shared" si="192"/>
        <v>57277.485769479092</v>
      </c>
      <c r="J402" s="328">
        <f t="shared" si="193"/>
        <v>1.570778867928003</v>
      </c>
      <c r="K402" s="336">
        <f t="shared" si="183"/>
        <v>4.6809474826071247</v>
      </c>
      <c r="L402" s="337">
        <f t="shared" si="184"/>
        <v>1.3555050773032409</v>
      </c>
      <c r="M402" s="325">
        <f t="shared" si="194"/>
        <v>1.0224752108437669</v>
      </c>
      <c r="N402" s="337">
        <f t="shared" si="195"/>
        <v>0.21005800772802596</v>
      </c>
      <c r="O402" s="343">
        <f t="shared" si="196"/>
        <v>1.0222691497054908</v>
      </c>
      <c r="P402" s="691">
        <f t="shared" si="197"/>
        <v>0.20911045459874783</v>
      </c>
      <c r="Q402" s="336">
        <f t="shared" si="212"/>
        <v>4.4100394454511678</v>
      </c>
      <c r="R402" s="692">
        <f t="shared" si="198"/>
        <v>0.34213212155220402</v>
      </c>
      <c r="S402" s="329">
        <f t="shared" si="199"/>
        <v>0.99023223861164333</v>
      </c>
      <c r="T402" s="330">
        <f t="shared" si="200"/>
        <v>0.21428053831793578</v>
      </c>
      <c r="U402" s="331">
        <f t="shared" si="201"/>
        <v>-8.4222695613136942</v>
      </c>
      <c r="V402" s="332">
        <f t="shared" si="202"/>
        <v>-130.88577171813247</v>
      </c>
      <c r="W402" s="334">
        <f t="shared" si="203"/>
        <v>49.114228281867526</v>
      </c>
      <c r="Y402" s="307">
        <f t="shared" si="204"/>
        <v>36519.5</v>
      </c>
      <c r="Z402" s="307">
        <f t="shared" si="205"/>
        <v>1333673880.25</v>
      </c>
      <c r="AB402" s="333">
        <f t="shared" si="206"/>
        <v>15.761165098260445</v>
      </c>
      <c r="AC402" s="334">
        <f t="shared" si="207"/>
        <v>-24.369716966170593</v>
      </c>
      <c r="AE402" s="333">
        <f t="shared" si="208"/>
        <v>0.55530955244793356</v>
      </c>
      <c r="AF402" s="334">
        <f t="shared" si="209"/>
        <v>-98.894474643025077</v>
      </c>
      <c r="AH402">
        <f t="shared" si="210"/>
        <v>0</v>
      </c>
      <c r="AI402">
        <f t="shared" si="185"/>
        <v>0</v>
      </c>
    </row>
    <row r="403" spans="1:35" x14ac:dyDescent="0.25">
      <c r="A403" s="335">
        <v>36731</v>
      </c>
      <c r="B403" s="352">
        <f t="shared" si="211"/>
        <v>36.731000000000002</v>
      </c>
      <c r="C403" s="325">
        <f t="shared" si="186"/>
        <v>22.91830832031787</v>
      </c>
      <c r="D403" s="326">
        <f t="shared" si="187"/>
        <v>1.5271492317263005</v>
      </c>
      <c r="E403" s="326">
        <f t="shared" si="188"/>
        <v>1.0001159999834084</v>
      </c>
      <c r="F403" s="327">
        <f t="shared" si="189"/>
        <v>1.5230808986277943E-2</v>
      </c>
      <c r="G403" s="326">
        <f t="shared" si="190"/>
        <v>1</v>
      </c>
      <c r="H403" s="327">
        <f t="shared" si="191"/>
        <v>0</v>
      </c>
      <c r="I403" s="325">
        <f t="shared" si="192"/>
        <v>57609.204118212314</v>
      </c>
      <c r="J403" s="328">
        <f t="shared" si="193"/>
        <v>1.5707789684575379</v>
      </c>
      <c r="K403" s="336">
        <f t="shared" si="183"/>
        <v>4.7068230124529169</v>
      </c>
      <c r="L403" s="337">
        <f t="shared" si="184"/>
        <v>1.3567071042800836</v>
      </c>
      <c r="M403" s="325">
        <f t="shared" si="194"/>
        <v>1.022733389711008</v>
      </c>
      <c r="N403" s="337">
        <f t="shared" si="195"/>
        <v>0.21123877394289334</v>
      </c>
      <c r="O403" s="343">
        <f t="shared" si="196"/>
        <v>1.0225249872745212</v>
      </c>
      <c r="P403" s="691">
        <f t="shared" si="197"/>
        <v>0.21028621210578316</v>
      </c>
      <c r="Q403" s="336">
        <f t="shared" si="212"/>
        <v>4.412898357665223</v>
      </c>
      <c r="R403" s="692">
        <f t="shared" si="198"/>
        <v>0.34396320311475764</v>
      </c>
      <c r="S403" s="329">
        <f t="shared" si="199"/>
        <v>0.99012444151019552</v>
      </c>
      <c r="T403" s="330">
        <f t="shared" si="200"/>
        <v>0.21556488760117951</v>
      </c>
      <c r="U403" s="331">
        <f t="shared" si="201"/>
        <v>-8.4792999826974107</v>
      </c>
      <c r="V403" s="332">
        <f t="shared" si="202"/>
        <v>-131.0051349606685</v>
      </c>
      <c r="W403" s="334">
        <f t="shared" si="203"/>
        <v>48.994865039331501</v>
      </c>
      <c r="Y403" s="307">
        <f t="shared" si="204"/>
        <v>36731</v>
      </c>
      <c r="Z403" s="307">
        <f t="shared" si="205"/>
        <v>1349166361</v>
      </c>
      <c r="AB403" s="333">
        <f t="shared" si="206"/>
        <v>15.756695558584216</v>
      </c>
      <c r="AC403" s="334">
        <f t="shared" si="207"/>
        <v>-24.368504574156866</v>
      </c>
      <c r="AE403" s="333">
        <f t="shared" si="208"/>
        <v>0.50620418250307742</v>
      </c>
      <c r="AF403" s="334">
        <f t="shared" si="209"/>
        <v>-98.977502974937352</v>
      </c>
      <c r="AH403">
        <f t="shared" si="210"/>
        <v>0</v>
      </c>
      <c r="AI403">
        <f t="shared" si="185"/>
        <v>0</v>
      </c>
    </row>
    <row r="404" spans="1:35" x14ac:dyDescent="0.25">
      <c r="A404" s="335">
        <v>36942.5</v>
      </c>
      <c r="B404" s="352">
        <f t="shared" si="211"/>
        <v>36.942500000000003</v>
      </c>
      <c r="C404" s="325">
        <f t="shared" si="186"/>
        <v>23.050023224535572</v>
      </c>
      <c r="D404" s="326">
        <f t="shared" si="187"/>
        <v>1.5273988017641504</v>
      </c>
      <c r="E404" s="326">
        <f t="shared" si="188"/>
        <v>1.0001173396249896</v>
      </c>
      <c r="F404" s="327">
        <f t="shared" si="189"/>
        <v>1.5318495508060848E-2</v>
      </c>
      <c r="G404" s="326">
        <f t="shared" si="190"/>
        <v>1</v>
      </c>
      <c r="H404" s="327">
        <f t="shared" si="191"/>
        <v>0</v>
      </c>
      <c r="I404" s="325">
        <f t="shared" si="192"/>
        <v>57940.922466946104</v>
      </c>
      <c r="J404" s="328">
        <f t="shared" si="193"/>
        <v>1.570779067835987</v>
      </c>
      <c r="K404" s="336">
        <f t="shared" si="183"/>
        <v>4.7327052686704079</v>
      </c>
      <c r="L404" s="337">
        <f t="shared" si="184"/>
        <v>1.357895985649699</v>
      </c>
      <c r="M404" s="325">
        <f t="shared" si="194"/>
        <v>1.0229929937613094</v>
      </c>
      <c r="N404" s="337">
        <f t="shared" si="195"/>
        <v>0.21241894251841884</v>
      </c>
      <c r="O404" s="343">
        <f t="shared" si="196"/>
        <v>1.0227822376796341</v>
      </c>
      <c r="P404" s="691">
        <f t="shared" si="197"/>
        <v>0.21146137978314322</v>
      </c>
      <c r="Q404" s="336">
        <f t="shared" si="212"/>
        <v>4.4157719123771999</v>
      </c>
      <c r="R404" s="692">
        <f t="shared" si="198"/>
        <v>0.34579191848987778</v>
      </c>
      <c r="S404" s="329">
        <f t="shared" si="199"/>
        <v>0.99001615452991087</v>
      </c>
      <c r="T404" s="330">
        <f t="shared" si="200"/>
        <v>0.21684998700849056</v>
      </c>
      <c r="U404" s="331">
        <f t="shared" si="201"/>
        <v>-8.5360270130053646</v>
      </c>
      <c r="V404" s="332">
        <f t="shared" si="202"/>
        <v>-131.12499298777129</v>
      </c>
      <c r="W404" s="334">
        <f t="shared" si="203"/>
        <v>48.875007012228707</v>
      </c>
      <c r="Y404" s="307">
        <f t="shared" si="204"/>
        <v>36942.5</v>
      </c>
      <c r="Z404" s="307">
        <f t="shared" si="205"/>
        <v>1364748306.25</v>
      </c>
      <c r="AB404" s="333">
        <f t="shared" si="206"/>
        <v>15.752252297421773</v>
      </c>
      <c r="AC404" s="334">
        <f t="shared" si="207"/>
        <v>-24.368011061792881</v>
      </c>
      <c r="AE404" s="333">
        <f t="shared" si="208"/>
        <v>0.45738962693642887</v>
      </c>
      <c r="AF404" s="334">
        <f t="shared" si="209"/>
        <v>-99.060408989569169</v>
      </c>
      <c r="AH404">
        <f t="shared" si="210"/>
        <v>0</v>
      </c>
      <c r="AI404">
        <f t="shared" si="185"/>
        <v>0</v>
      </c>
    </row>
    <row r="405" spans="1:35" x14ac:dyDescent="0.25">
      <c r="A405" s="335">
        <v>37154</v>
      </c>
      <c r="B405" s="352">
        <f t="shared" si="211"/>
        <v>37.154000000000003</v>
      </c>
      <c r="C405" s="325">
        <f t="shared" si="186"/>
        <v>23.181739548114059</v>
      </c>
      <c r="D405" s="326">
        <f t="shared" si="187"/>
        <v>1.5276455357532779</v>
      </c>
      <c r="E405" s="326">
        <f t="shared" si="188"/>
        <v>1.0001186869563781</v>
      </c>
      <c r="F405" s="327">
        <f t="shared" si="189"/>
        <v>1.5406181794260398E-2</v>
      </c>
      <c r="G405" s="326">
        <f t="shared" si="190"/>
        <v>1</v>
      </c>
      <c r="H405" s="327">
        <f t="shared" si="191"/>
        <v>0</v>
      </c>
      <c r="I405" s="325">
        <f t="shared" si="192"/>
        <v>58272.640815680475</v>
      </c>
      <c r="J405" s="328">
        <f t="shared" si="193"/>
        <v>1.5707791660830077</v>
      </c>
      <c r="K405" s="336">
        <f t="shared" si="183"/>
        <v>4.7585941415042807</v>
      </c>
      <c r="L405" s="337">
        <f t="shared" si="184"/>
        <v>1.3590719325774374</v>
      </c>
      <c r="M405" s="325">
        <f t="shared" si="194"/>
        <v>1.0232540219099451</v>
      </c>
      <c r="N405" s="337">
        <f t="shared" si="195"/>
        <v>0.21359851062325716</v>
      </c>
      <c r="O405" s="343">
        <f t="shared" si="196"/>
        <v>1.0230408998550282</v>
      </c>
      <c r="P405" s="691">
        <f t="shared" si="197"/>
        <v>0.21263595483114903</v>
      </c>
      <c r="Q405" s="336">
        <f t="shared" si="212"/>
        <v>4.4186600810224599</v>
      </c>
      <c r="R405" s="692">
        <f t="shared" si="198"/>
        <v>0.34761826024131243</v>
      </c>
      <c r="S405" s="329">
        <f t="shared" si="199"/>
        <v>0.98990738000568024</v>
      </c>
      <c r="T405" s="330">
        <f t="shared" si="200"/>
        <v>0.21813584081204826</v>
      </c>
      <c r="U405" s="331">
        <f t="shared" si="201"/>
        <v>-8.5924546415342622</v>
      </c>
      <c r="V405" s="332">
        <f t="shared" si="202"/>
        <v>-131.24533633468047</v>
      </c>
      <c r="W405" s="334">
        <f t="shared" si="203"/>
        <v>48.754663665319526</v>
      </c>
      <c r="Y405" s="307">
        <f t="shared" si="204"/>
        <v>37154</v>
      </c>
      <c r="Z405" s="307">
        <f t="shared" si="205"/>
        <v>1380419716</v>
      </c>
      <c r="AB405" s="333">
        <f t="shared" si="206"/>
        <v>15.747834505653373</v>
      </c>
      <c r="AC405" s="334">
        <f t="shared" si="207"/>
        <v>-24.368224169097459</v>
      </c>
      <c r="AE405" s="333">
        <f t="shared" si="208"/>
        <v>0.40886261577573824</v>
      </c>
      <c r="AF405" s="334">
        <f t="shared" si="209"/>
        <v>-99.143195747797478</v>
      </c>
      <c r="AH405">
        <f t="shared" si="210"/>
        <v>0</v>
      </c>
      <c r="AI405">
        <f t="shared" si="185"/>
        <v>0</v>
      </c>
    </row>
    <row r="406" spans="1:35" x14ac:dyDescent="0.25">
      <c r="A406" s="335">
        <v>37370.25</v>
      </c>
      <c r="B406" s="352">
        <f t="shared" si="211"/>
        <v>37.370249999999999</v>
      </c>
      <c r="C406" s="325">
        <f t="shared" si="186"/>
        <v>23.316415482193431</v>
      </c>
      <c r="D406" s="326">
        <f t="shared" si="187"/>
        <v>1.5278949287803654</v>
      </c>
      <c r="E406" s="326">
        <f t="shared" si="188"/>
        <v>1.0001200724977508</v>
      </c>
      <c r="F406" s="327">
        <f t="shared" si="189"/>
        <v>1.5495837149233494E-2</v>
      </c>
      <c r="G406" s="326">
        <f t="shared" si="190"/>
        <v>1</v>
      </c>
      <c r="H406" s="327">
        <f t="shared" si="191"/>
        <v>0</v>
      </c>
      <c r="I406" s="325">
        <f t="shared" si="192"/>
        <v>58611.809103689586</v>
      </c>
      <c r="J406" s="328">
        <f t="shared" si="193"/>
        <v>1.5707792653867036</v>
      </c>
      <c r="K406" s="336">
        <f t="shared" si="183"/>
        <v>4.7850711722386254</v>
      </c>
      <c r="L406" s="337">
        <f t="shared" si="184"/>
        <v>1.3602611315523279</v>
      </c>
      <c r="M406" s="325">
        <f t="shared" si="194"/>
        <v>1.0235223836903091</v>
      </c>
      <c r="N406" s="337">
        <f t="shared" si="195"/>
        <v>0.21480394642027234</v>
      </c>
      <c r="O406" s="343">
        <f t="shared" si="196"/>
        <v>1.0233068297989554</v>
      </c>
      <c r="P406" s="691">
        <f t="shared" si="197"/>
        <v>0.2138362935743664</v>
      </c>
      <c r="Q406" s="336">
        <f t="shared" si="212"/>
        <v>4.4216281940785391</v>
      </c>
      <c r="R406" s="692">
        <f t="shared" si="198"/>
        <v>0.34948315727932439</v>
      </c>
      <c r="S406" s="329">
        <f t="shared" si="199"/>
        <v>0.98979566091106752</v>
      </c>
      <c r="T406" s="330">
        <f t="shared" si="200"/>
        <v>0.21945135757814316</v>
      </c>
      <c r="U406" s="331">
        <f t="shared" si="201"/>
        <v>-8.649844068334783</v>
      </c>
      <c r="V406" s="332">
        <f t="shared" si="202"/>
        <v>-131.36887456443424</v>
      </c>
      <c r="W406" s="334">
        <f t="shared" si="203"/>
        <v>48.631125435565764</v>
      </c>
      <c r="Y406" s="307">
        <f t="shared" si="204"/>
        <v>37370.25</v>
      </c>
      <c r="Z406" s="307">
        <f t="shared" si="205"/>
        <v>1396535585.0625</v>
      </c>
      <c r="AB406" s="333">
        <f t="shared" si="206"/>
        <v>15.743343010787411</v>
      </c>
      <c r="AC406" s="334">
        <f t="shared" si="207"/>
        <v>-24.369160160161641</v>
      </c>
      <c r="AE406" s="333">
        <f t="shared" si="208"/>
        <v>0.35953970933433826</v>
      </c>
      <c r="AF406" s="334">
        <f t="shared" si="209"/>
        <v>-99.227721600911394</v>
      </c>
      <c r="AH406">
        <f t="shared" si="210"/>
        <v>0</v>
      </c>
      <c r="AI406">
        <f t="shared" si="185"/>
        <v>0</v>
      </c>
    </row>
    <row r="407" spans="1:35" x14ac:dyDescent="0.25">
      <c r="A407" s="335">
        <v>37586.5</v>
      </c>
      <c r="B407" s="352">
        <f t="shared" si="211"/>
        <v>37.586500000000001</v>
      </c>
      <c r="C407" s="325">
        <f t="shared" si="186"/>
        <v>23.451092849824448</v>
      </c>
      <c r="D407" s="326">
        <f t="shared" si="187"/>
        <v>1.5281414573423695</v>
      </c>
      <c r="E407" s="326">
        <f t="shared" si="188"/>
        <v>1.000121466078149</v>
      </c>
      <c r="F407" s="327">
        <f t="shared" si="189"/>
        <v>1.5585492255073696E-2</v>
      </c>
      <c r="G407" s="326">
        <f t="shared" si="190"/>
        <v>1</v>
      </c>
      <c r="H407" s="327">
        <f t="shared" si="191"/>
        <v>0</v>
      </c>
      <c r="I407" s="325">
        <f t="shared" si="192"/>
        <v>58950.977391699271</v>
      </c>
      <c r="J407" s="328">
        <f t="shared" si="193"/>
        <v>1.5707793635477327</v>
      </c>
      <c r="K407" s="336">
        <f t="shared" ref="K407:K470" si="213">SQRT(1+(A407/Zero2)^2)</f>
        <v>4.8115548955121978</v>
      </c>
      <c r="L407" s="337">
        <f t="shared" ref="L407:L470" si="214">ATAN(A407/Zero2)</f>
        <v>1.3614372410156275</v>
      </c>
      <c r="M407" s="325">
        <f t="shared" si="194"/>
        <v>1.0237922319449777</v>
      </c>
      <c r="N407" s="337">
        <f t="shared" si="195"/>
        <v>0.21600874851648738</v>
      </c>
      <c r="O407" s="343">
        <f t="shared" si="196"/>
        <v>1.0235742333694178</v>
      </c>
      <c r="P407" s="691">
        <f t="shared" si="197"/>
        <v>0.21503600688059377</v>
      </c>
      <c r="Q407" s="336">
        <f t="shared" si="212"/>
        <v>4.4246115242379052</v>
      </c>
      <c r="R407" s="692">
        <f t="shared" si="198"/>
        <v>0.35134555741979107</v>
      </c>
      <c r="S407" s="329">
        <f t="shared" si="199"/>
        <v>0.98968343711100937</v>
      </c>
      <c r="T407" s="330">
        <f t="shared" si="200"/>
        <v>0.22076767203429049</v>
      </c>
      <c r="U407" s="331">
        <f t="shared" si="201"/>
        <v>-8.7069286835796849</v>
      </c>
      <c r="V407" s="332">
        <f t="shared" si="202"/>
        <v>-131.49290076410372</v>
      </c>
      <c r="W407" s="334">
        <f t="shared" si="203"/>
        <v>48.507099235896277</v>
      </c>
      <c r="Y407" s="307">
        <f t="shared" si="204"/>
        <v>37586.5</v>
      </c>
      <c r="Z407" s="307">
        <f t="shared" si="205"/>
        <v>1412744982.25</v>
      </c>
      <c r="AB407" s="333">
        <f t="shared" si="206"/>
        <v>15.738876502322405</v>
      </c>
      <c r="AC407" s="334">
        <f t="shared" si="207"/>
        <v>-24.370809751145387</v>
      </c>
      <c r="AE407" s="333">
        <f t="shared" si="208"/>
        <v>0.31051066828168267</v>
      </c>
      <c r="AF407" s="334">
        <f t="shared" si="209"/>
        <v>-99.312129050812956</v>
      </c>
      <c r="AH407">
        <f t="shared" si="210"/>
        <v>0</v>
      </c>
      <c r="AI407">
        <f t="shared" si="185"/>
        <v>0</v>
      </c>
    </row>
    <row r="408" spans="1:35" x14ac:dyDescent="0.25">
      <c r="A408" s="335">
        <v>37802.75</v>
      </c>
      <c r="B408" s="352">
        <f t="shared" si="211"/>
        <v>37.802750000000003</v>
      </c>
      <c r="C408" s="325">
        <f t="shared" si="186"/>
        <v>23.585771626449905</v>
      </c>
      <c r="D408" s="326">
        <f t="shared" si="187"/>
        <v>1.5283851704788161</v>
      </c>
      <c r="E408" s="326">
        <f t="shared" si="188"/>
        <v>1.0001228676975391</v>
      </c>
      <c r="F408" s="327">
        <f t="shared" si="189"/>
        <v>1.5675147110340758E-2</v>
      </c>
      <c r="G408" s="326">
        <f t="shared" si="190"/>
        <v>1</v>
      </c>
      <c r="H408" s="327">
        <f t="shared" si="191"/>
        <v>0</v>
      </c>
      <c r="I408" s="325">
        <f t="shared" si="192"/>
        <v>59290.145679709523</v>
      </c>
      <c r="J408" s="328">
        <f t="shared" si="193"/>
        <v>1.5707794605857048</v>
      </c>
      <c r="K408" s="336">
        <f t="shared" si="213"/>
        <v>4.8380452014190265</v>
      </c>
      <c r="L408" s="337">
        <f t="shared" si="214"/>
        <v>1.3626004726981931</v>
      </c>
      <c r="M408" s="325">
        <f t="shared" si="194"/>
        <v>1.0240635654988606</v>
      </c>
      <c r="N408" s="337">
        <f t="shared" si="195"/>
        <v>0.21721291391658848</v>
      </c>
      <c r="O408" s="343">
        <f t="shared" si="196"/>
        <v>1.0238431094117857</v>
      </c>
      <c r="P408" s="691">
        <f t="shared" si="197"/>
        <v>0.21623509178771394</v>
      </c>
      <c r="Q408" s="336">
        <f t="shared" si="212"/>
        <v>4.4276100407432457</v>
      </c>
      <c r="R408" s="692">
        <f t="shared" si="198"/>
        <v>0.35320545298011852</v>
      </c>
      <c r="S408" s="329">
        <f t="shared" si="199"/>
        <v>0.98957071114879047</v>
      </c>
      <c r="T408" s="330">
        <f t="shared" si="200"/>
        <v>0.22208478874201548</v>
      </c>
      <c r="U408" s="331">
        <f t="shared" si="201"/>
        <v>-8.7637125071848985</v>
      </c>
      <c r="V408" s="332">
        <f t="shared" si="202"/>
        <v>-131.6174054326423</v>
      </c>
      <c r="W408" s="334">
        <f t="shared" si="203"/>
        <v>48.3825945673577</v>
      </c>
      <c r="Y408" s="307">
        <f t="shared" si="204"/>
        <v>37802.75</v>
      </c>
      <c r="Z408" s="307">
        <f t="shared" si="205"/>
        <v>1429047907.5625</v>
      </c>
      <c r="AB408" s="333">
        <f t="shared" si="206"/>
        <v>15.734434185703066</v>
      </c>
      <c r="AC408" s="334">
        <f t="shared" si="207"/>
        <v>-24.373160640268882</v>
      </c>
      <c r="AE408" s="333">
        <f t="shared" si="208"/>
        <v>0.26177217107203815</v>
      </c>
      <c r="AF408" s="334">
        <f t="shared" si="209"/>
        <v>-99.396421168698723</v>
      </c>
      <c r="AH408">
        <f t="shared" si="210"/>
        <v>0</v>
      </c>
      <c r="AI408">
        <f t="shared" si="185"/>
        <v>0</v>
      </c>
    </row>
    <row r="409" spans="1:35" x14ac:dyDescent="0.25">
      <c r="A409" s="335">
        <v>38019</v>
      </c>
      <c r="B409" s="352">
        <f t="shared" si="211"/>
        <v>38.018999999999998</v>
      </c>
      <c r="C409" s="325">
        <f t="shared" si="186"/>
        <v>23.720451788070051</v>
      </c>
      <c r="D409" s="326">
        <f t="shared" si="187"/>
        <v>1.5286261161168384</v>
      </c>
      <c r="E409" s="326">
        <f t="shared" si="188"/>
        <v>1.0001242773558874</v>
      </c>
      <c r="F409" s="327">
        <f t="shared" si="189"/>
        <v>1.5764801713594435E-2</v>
      </c>
      <c r="G409" s="326">
        <f t="shared" si="190"/>
        <v>1</v>
      </c>
      <c r="H409" s="327">
        <f t="shared" si="191"/>
        <v>0</v>
      </c>
      <c r="I409" s="325">
        <f t="shared" si="192"/>
        <v>59629.313967720314</v>
      </c>
      <c r="J409" s="328">
        <f t="shared" si="193"/>
        <v>1.5707795565197835</v>
      </c>
      <c r="K409" s="336">
        <f t="shared" si="213"/>
        <v>4.8645419824201266</v>
      </c>
      <c r="L409" s="337">
        <f t="shared" si="214"/>
        <v>1.3637510338588825</v>
      </c>
      <c r="M409" s="325">
        <f t="shared" si="194"/>
        <v>1.0243363831716472</v>
      </c>
      <c r="N409" s="337">
        <f t="shared" si="195"/>
        <v>0.21841643963581248</v>
      </c>
      <c r="O409" s="343">
        <f t="shared" si="196"/>
        <v>1.0241134567662882</v>
      </c>
      <c r="P409" s="691">
        <f t="shared" si="197"/>
        <v>0.21743354534394027</v>
      </c>
      <c r="Q409" s="336">
        <f t="shared" si="212"/>
        <v>4.4306237127641594</v>
      </c>
      <c r="R409" s="692">
        <f t="shared" si="198"/>
        <v>0.35506283636713243</v>
      </c>
      <c r="S409" s="329">
        <f t="shared" si="199"/>
        <v>0.9894574855837549</v>
      </c>
      <c r="T409" s="330">
        <f t="shared" si="200"/>
        <v>0.2234027122610891</v>
      </c>
      <c r="U409" s="331">
        <f t="shared" si="201"/>
        <v>-8.8201994808832289</v>
      </c>
      <c r="V409" s="332">
        <f t="shared" si="202"/>
        <v>-131.74237926650451</v>
      </c>
      <c r="W409" s="334">
        <f t="shared" si="203"/>
        <v>48.257620733495486</v>
      </c>
      <c r="Y409" s="307">
        <f t="shared" si="204"/>
        <v>38019</v>
      </c>
      <c r="Z409" s="307">
        <f t="shared" si="205"/>
        <v>1445444361</v>
      </c>
      <c r="AB409" s="333">
        <f t="shared" si="206"/>
        <v>15.730015288567857</v>
      </c>
      <c r="AC409" s="334">
        <f t="shared" si="207"/>
        <v>-24.376200782557991</v>
      </c>
      <c r="AE409" s="333">
        <f t="shared" si="208"/>
        <v>0.21332095209185981</v>
      </c>
      <c r="AF409" s="334">
        <f t="shared" si="209"/>
        <v>-99.480600961929255</v>
      </c>
      <c r="AH409">
        <f t="shared" si="210"/>
        <v>0</v>
      </c>
      <c r="AI409">
        <f t="shared" si="185"/>
        <v>0</v>
      </c>
    </row>
    <row r="410" spans="1:35" x14ac:dyDescent="0.25">
      <c r="A410" s="335">
        <v>38240.5</v>
      </c>
      <c r="B410" s="352">
        <f t="shared" si="211"/>
        <v>38.240499999999997</v>
      </c>
      <c r="C410" s="325">
        <f t="shared" si="186"/>
        <v>23.858403052801634</v>
      </c>
      <c r="D410" s="326">
        <f t="shared" si="187"/>
        <v>1.528870091158572</v>
      </c>
      <c r="E410" s="326">
        <f t="shared" si="188"/>
        <v>1.0001257295711947</v>
      </c>
      <c r="F410" s="327">
        <f t="shared" si="189"/>
        <v>1.5856632639821667E-2</v>
      </c>
      <c r="G410" s="326">
        <f t="shared" si="190"/>
        <v>1</v>
      </c>
      <c r="H410" s="327">
        <f t="shared" si="191"/>
        <v>0</v>
      </c>
      <c r="I410" s="325">
        <f t="shared" si="192"/>
        <v>59976.716399140038</v>
      </c>
      <c r="J410" s="328">
        <f t="shared" si="193"/>
        <v>1.5707796536580514</v>
      </c>
      <c r="K410" s="336">
        <f t="shared" si="213"/>
        <v>4.89168864070749</v>
      </c>
      <c r="L410" s="337">
        <f t="shared" si="214"/>
        <v>1.3649166040766803</v>
      </c>
      <c r="M410" s="325">
        <f t="shared" si="194"/>
        <v>1.0246173615268714</v>
      </c>
      <c r="N410" s="337">
        <f t="shared" si="195"/>
        <v>0.21964851762613241</v>
      </c>
      <c r="O410" s="343">
        <f t="shared" si="196"/>
        <v>1.0243918915748116</v>
      </c>
      <c r="P410" s="691">
        <f t="shared" si="197"/>
        <v>0.21866043670206092</v>
      </c>
      <c r="Q410" s="336">
        <f t="shared" si="212"/>
        <v>4.4337262286684931</v>
      </c>
      <c r="R410" s="692">
        <f t="shared" si="198"/>
        <v>0.3569627000596417</v>
      </c>
      <c r="S410" s="329">
        <f t="shared" si="199"/>
        <v>0.98934099593797575</v>
      </c>
      <c r="T410" s="330">
        <f t="shared" si="200"/>
        <v>0.2247534728049049</v>
      </c>
      <c r="U410" s="331">
        <f t="shared" si="201"/>
        <v>-8.8777541065002268</v>
      </c>
      <c r="V410" s="332">
        <f t="shared" si="202"/>
        <v>-131.87086401541364</v>
      </c>
      <c r="W410" s="334">
        <f t="shared" si="203"/>
        <v>48.129135984586355</v>
      </c>
      <c r="Y410" s="307">
        <f t="shared" si="204"/>
        <v>38240.5</v>
      </c>
      <c r="Z410" s="307">
        <f t="shared" si="205"/>
        <v>1462335840.25</v>
      </c>
      <c r="AB410" s="333">
        <f t="shared" si="206"/>
        <v>15.725512606470504</v>
      </c>
      <c r="AC410" s="334">
        <f t="shared" si="207"/>
        <v>-24.380016962845467</v>
      </c>
      <c r="AE410" s="333">
        <f t="shared" si="208"/>
        <v>0.1639879297931843</v>
      </c>
      <c r="AF410" s="334">
        <f t="shared" si="209"/>
        <v>-99.566711056017368</v>
      </c>
      <c r="AH410">
        <f t="shared" si="210"/>
        <v>0</v>
      </c>
      <c r="AI410">
        <f t="shared" ref="AI410:AI473" si="215">IF(AH410&gt;0,W410,0)</f>
        <v>0</v>
      </c>
    </row>
    <row r="411" spans="1:35" x14ac:dyDescent="0.25">
      <c r="A411" s="335">
        <v>38462</v>
      </c>
      <c r="B411" s="352">
        <f t="shared" si="211"/>
        <v>38.462000000000003</v>
      </c>
      <c r="C411" s="325">
        <f t="shared" si="186"/>
        <v>23.99635572134812</v>
      </c>
      <c r="D411" s="326">
        <f t="shared" si="187"/>
        <v>1.5291112610378996</v>
      </c>
      <c r="E411" s="326">
        <f t="shared" si="188"/>
        <v>1.0001271902204569</v>
      </c>
      <c r="F411" s="327">
        <f t="shared" si="189"/>
        <v>1.5948463298591866E-2</v>
      </c>
      <c r="G411" s="326">
        <f t="shared" si="190"/>
        <v>1</v>
      </c>
      <c r="H411" s="327">
        <f t="shared" si="191"/>
        <v>0</v>
      </c>
      <c r="I411" s="325">
        <f t="shared" si="192"/>
        <v>60324.118830560314</v>
      </c>
      <c r="J411" s="328">
        <f t="shared" si="193"/>
        <v>1.5707797496774942</v>
      </c>
      <c r="K411" s="336">
        <f t="shared" si="213"/>
        <v>4.9188418712592377</v>
      </c>
      <c r="L411" s="337">
        <f t="shared" si="214"/>
        <v>1.3660693073711037</v>
      </c>
      <c r="M411" s="325">
        <f t="shared" si="194"/>
        <v>1.0248998944136214</v>
      </c>
      <c r="N411" s="337">
        <f t="shared" si="195"/>
        <v>0.22087991819404912</v>
      </c>
      <c r="O411" s="343">
        <f t="shared" si="196"/>
        <v>1.0246718675225774</v>
      </c>
      <c r="P411" s="691">
        <f t="shared" si="197"/>
        <v>0.21988665944645619</v>
      </c>
      <c r="Q411" s="336">
        <f t="shared" si="212"/>
        <v>4.4368445791899633</v>
      </c>
      <c r="R411" s="692">
        <f t="shared" si="198"/>
        <v>0.35885991228072323</v>
      </c>
      <c r="S411" s="329">
        <f t="shared" si="199"/>
        <v>0.98922398762391228</v>
      </c>
      <c r="T411" s="330">
        <f t="shared" si="200"/>
        <v>0.22610508948832106</v>
      </c>
      <c r="U411" s="331">
        <f t="shared" si="201"/>
        <v>-8.9350054220868174</v>
      </c>
      <c r="V411" s="332">
        <f t="shared" si="202"/>
        <v>-131.999821842345</v>
      </c>
      <c r="W411" s="334">
        <f t="shared" si="203"/>
        <v>48.000178157655</v>
      </c>
      <c r="Y411" s="307">
        <f t="shared" si="204"/>
        <v>38462</v>
      </c>
      <c r="Z411" s="307">
        <f t="shared" si="205"/>
        <v>1479325444</v>
      </c>
      <c r="AB411" s="333">
        <f t="shared" si="206"/>
        <v>15.721032922801456</v>
      </c>
      <c r="AC411" s="334">
        <f t="shared" si="207"/>
        <v>-24.384531485989797</v>
      </c>
      <c r="AE411" s="333">
        <f t="shared" si="208"/>
        <v>0.11494954288902462</v>
      </c>
      <c r="AF411" s="334">
        <f t="shared" si="209"/>
        <v>-99.652709494648562</v>
      </c>
      <c r="AH411">
        <f t="shared" si="210"/>
        <v>0</v>
      </c>
      <c r="AI411">
        <f t="shared" si="215"/>
        <v>0</v>
      </c>
    </row>
    <row r="412" spans="1:35" x14ac:dyDescent="0.25">
      <c r="A412" s="335">
        <v>38683.5</v>
      </c>
      <c r="B412" s="352">
        <f t="shared" si="211"/>
        <v>38.683500000000002</v>
      </c>
      <c r="C412" s="325">
        <f t="shared" si="186"/>
        <v>24.134309769636729</v>
      </c>
      <c r="D412" s="326">
        <f t="shared" si="187"/>
        <v>1.5293496738302625</v>
      </c>
      <c r="E412" s="326">
        <f t="shared" si="188"/>
        <v>1.0001286593036371</v>
      </c>
      <c r="F412" s="327">
        <f t="shared" si="189"/>
        <v>1.6040293688357413E-2</v>
      </c>
      <c r="G412" s="326">
        <f t="shared" si="190"/>
        <v>1</v>
      </c>
      <c r="H412" s="327">
        <f t="shared" si="191"/>
        <v>0</v>
      </c>
      <c r="I412" s="325">
        <f t="shared" si="192"/>
        <v>60671.521261981135</v>
      </c>
      <c r="J412" s="328">
        <f t="shared" si="193"/>
        <v>1.5707798445973311</v>
      </c>
      <c r="K412" s="336">
        <f t="shared" si="213"/>
        <v>4.9460015658314438</v>
      </c>
      <c r="L412" s="337">
        <f t="shared" si="214"/>
        <v>1.3672093526195963</v>
      </c>
      <c r="M412" s="325">
        <f t="shared" si="194"/>
        <v>1.0251839805466465</v>
      </c>
      <c r="N412" s="337">
        <f t="shared" si="195"/>
        <v>0.22211063816672794</v>
      </c>
      <c r="O412" s="343">
        <f t="shared" si="196"/>
        <v>1.0249533833466546</v>
      </c>
      <c r="P412" s="691">
        <f t="shared" si="197"/>
        <v>0.22111221043900653</v>
      </c>
      <c r="Q412" s="336">
        <f t="shared" si="212"/>
        <v>4.4399787309678338</v>
      </c>
      <c r="R412" s="692">
        <f t="shared" si="198"/>
        <v>0.3607544651615287</v>
      </c>
      <c r="S412" s="329">
        <f t="shared" si="199"/>
        <v>0.9891064634444201</v>
      </c>
      <c r="T412" s="330">
        <f t="shared" si="200"/>
        <v>0.22745756720538424</v>
      </c>
      <c r="U412" s="331">
        <f t="shared" si="201"/>
        <v>-8.9919574211508824</v>
      </c>
      <c r="V412" s="332">
        <f t="shared" si="202"/>
        <v>-132.12924336277948</v>
      </c>
      <c r="W412" s="334">
        <f t="shared" si="203"/>
        <v>47.870756637220524</v>
      </c>
      <c r="Y412" s="307">
        <f t="shared" si="204"/>
        <v>38683.5</v>
      </c>
      <c r="Z412" s="307">
        <f t="shared" si="205"/>
        <v>1496413172.25</v>
      </c>
      <c r="AB412" s="333">
        <f t="shared" si="206"/>
        <v>15.716575475407893</v>
      </c>
      <c r="AC412" s="334">
        <f t="shared" si="207"/>
        <v>-24.389732203506167</v>
      </c>
      <c r="AE412" s="333">
        <f t="shared" si="208"/>
        <v>6.6202456451053646E-2</v>
      </c>
      <c r="AF412" s="334">
        <f t="shared" si="209"/>
        <v>-99.738599312839625</v>
      </c>
      <c r="AH412">
        <f t="shared" si="210"/>
        <v>0</v>
      </c>
      <c r="AI412">
        <f t="shared" si="215"/>
        <v>0</v>
      </c>
    </row>
    <row r="413" spans="1:35" x14ac:dyDescent="0.25">
      <c r="A413" s="335">
        <v>38905</v>
      </c>
      <c r="B413" s="352">
        <f t="shared" si="211"/>
        <v>38.905000000000001</v>
      </c>
      <c r="C413" s="325">
        <f t="shared" si="186"/>
        <v>24.272265174141719</v>
      </c>
      <c r="D413" s="326">
        <f t="shared" si="187"/>
        <v>1.529585376519393</v>
      </c>
      <c r="E413" s="326">
        <f t="shared" si="188"/>
        <v>1.0001301368206976</v>
      </c>
      <c r="F413" s="327">
        <f t="shared" si="189"/>
        <v>1.613212380757072E-2</v>
      </c>
      <c r="G413" s="326">
        <f t="shared" si="190"/>
        <v>1</v>
      </c>
      <c r="H413" s="327">
        <f t="shared" si="191"/>
        <v>0</v>
      </c>
      <c r="I413" s="325">
        <f t="shared" si="192"/>
        <v>61018.923693402503</v>
      </c>
      <c r="J413" s="328">
        <f t="shared" si="193"/>
        <v>1.570779938436343</v>
      </c>
      <c r="K413" s="336">
        <f t="shared" si="213"/>
        <v>4.9731676185192812</v>
      </c>
      <c r="L413" s="337">
        <f t="shared" si="214"/>
        <v>1.3683369442688582</v>
      </c>
      <c r="M413" s="325">
        <f t="shared" si="194"/>
        <v>1.0254696186350578</v>
      </c>
      <c r="N413" s="337">
        <f t="shared" si="195"/>
        <v>0.2233406743830875</v>
      </c>
      <c r="O413" s="343">
        <f t="shared" si="196"/>
        <v>1.0252364377785566</v>
      </c>
      <c r="P413" s="691">
        <f t="shared" si="197"/>
        <v>0.2223370865531013</v>
      </c>
      <c r="Q413" s="336">
        <f t="shared" si="212"/>
        <v>4.4431286505666945</v>
      </c>
      <c r="R413" s="692">
        <f t="shared" si="198"/>
        <v>0.36264635093101338</v>
      </c>
      <c r="S413" s="329">
        <f t="shared" si="199"/>
        <v>0.9889884262201305</v>
      </c>
      <c r="T413" s="330">
        <f t="shared" si="200"/>
        <v>0.22881091084805524</v>
      </c>
      <c r="U413" s="331">
        <f t="shared" si="201"/>
        <v>-9.0486140195552114</v>
      </c>
      <c r="V413" s="332">
        <f t="shared" si="202"/>
        <v>-132.25911938898417</v>
      </c>
      <c r="W413" s="334">
        <f t="shared" si="203"/>
        <v>47.740880611015825</v>
      </c>
      <c r="Y413" s="307">
        <f t="shared" si="204"/>
        <v>38905</v>
      </c>
      <c r="Z413" s="307">
        <f t="shared" si="205"/>
        <v>1513599025</v>
      </c>
      <c r="AB413" s="333">
        <f t="shared" si="206"/>
        <v>15.712139523565307</v>
      </c>
      <c r="AC413" s="334">
        <f t="shared" si="207"/>
        <v>-24.395607221420956</v>
      </c>
      <c r="AE413" s="333">
        <f t="shared" si="208"/>
        <v>1.7743391729477802E-2</v>
      </c>
      <c r="AF413" s="334">
        <f t="shared" si="209"/>
        <v>-99.82438348293752</v>
      </c>
      <c r="AH413">
        <f t="shared" si="210"/>
        <v>0</v>
      </c>
      <c r="AI413">
        <f t="shared" si="215"/>
        <v>0</v>
      </c>
    </row>
    <row r="414" spans="1:35" x14ac:dyDescent="0.25">
      <c r="A414" s="335">
        <v>39131.5</v>
      </c>
      <c r="B414" s="352">
        <f t="shared" si="211"/>
        <v>39.131500000000003</v>
      </c>
      <c r="C414" s="325">
        <f t="shared" si="186"/>
        <v>24.413336074658897</v>
      </c>
      <c r="D414" s="326">
        <f t="shared" si="187"/>
        <v>1.5298236450937661</v>
      </c>
      <c r="E414" s="326">
        <f t="shared" si="188"/>
        <v>1.0001316564118501</v>
      </c>
      <c r="F414" s="327">
        <f t="shared" si="189"/>
        <v>1.6226026560044477E-2</v>
      </c>
      <c r="G414" s="326">
        <f t="shared" si="190"/>
        <v>1</v>
      </c>
      <c r="H414" s="327">
        <f t="shared" si="191"/>
        <v>0</v>
      </c>
      <c r="I414" s="325">
        <f t="shared" si="192"/>
        <v>61374.168166165764</v>
      </c>
      <c r="J414" s="328">
        <f t="shared" si="193"/>
        <v>1.5707800332950428</v>
      </c>
      <c r="K414" s="336">
        <f t="shared" si="213"/>
        <v>5.0009533674526692</v>
      </c>
      <c r="L414" s="337">
        <f t="shared" si="214"/>
        <v>1.3694773194935006</v>
      </c>
      <c r="M414" s="325">
        <f t="shared" si="194"/>
        <v>1.025763308085069</v>
      </c>
      <c r="N414" s="337">
        <f t="shared" si="195"/>
        <v>0.22459776629027986</v>
      </c>
      <c r="O414" s="343">
        <f t="shared" si="196"/>
        <v>1.0255274714707561</v>
      </c>
      <c r="P414" s="691">
        <f t="shared" si="197"/>
        <v>0.22358891109355411</v>
      </c>
      <c r="Q414" s="336">
        <f t="shared" si="212"/>
        <v>4.4463659452699247</v>
      </c>
      <c r="R414" s="692">
        <f t="shared" si="198"/>
        <v>0.36457817683186355</v>
      </c>
      <c r="S414" s="329">
        <f t="shared" si="199"/>
        <v>0.98886719690890346</v>
      </c>
      <c r="T414" s="330">
        <f t="shared" si="200"/>
        <v>0.23019570456981275</v>
      </c>
      <c r="U414" s="331">
        <f t="shared" si="201"/>
        <v>-9.1062480703798006</v>
      </c>
      <c r="V414" s="332">
        <f t="shared" si="202"/>
        <v>-132.39238779351606</v>
      </c>
      <c r="W414" s="334">
        <f t="shared" si="203"/>
        <v>47.607612206483935</v>
      </c>
      <c r="Y414" s="307">
        <f t="shared" si="204"/>
        <v>39131.5</v>
      </c>
      <c r="Z414" s="307">
        <f t="shared" si="205"/>
        <v>1531274292.25</v>
      </c>
      <c r="AB414" s="333">
        <f t="shared" si="206"/>
        <v>15.707624916205694</v>
      </c>
      <c r="AC414" s="334">
        <f t="shared" si="207"/>
        <v>-24.402300029740633</v>
      </c>
      <c r="AE414" s="333">
        <f t="shared" si="208"/>
        <v>-3.1515068134176483E-2</v>
      </c>
      <c r="AF414" s="334">
        <f t="shared" si="209"/>
        <v>-99.911997871091316</v>
      </c>
      <c r="AH414">
        <f t="shared" si="210"/>
        <v>0</v>
      </c>
      <c r="AI414">
        <f t="shared" si="215"/>
        <v>0</v>
      </c>
    </row>
    <row r="415" spans="1:35" x14ac:dyDescent="0.25">
      <c r="A415" s="335">
        <v>39358</v>
      </c>
      <c r="B415" s="352">
        <f t="shared" si="211"/>
        <v>39.357999999999997</v>
      </c>
      <c r="C415" s="325">
        <f t="shared" si="186"/>
        <v>24.554408345242127</v>
      </c>
      <c r="D415" s="326">
        <f t="shared" si="187"/>
        <v>1.5300591758358344</v>
      </c>
      <c r="E415" s="326">
        <f t="shared" si="188"/>
        <v>1.0001331848218633</v>
      </c>
      <c r="F415" s="327">
        <f t="shared" si="189"/>
        <v>1.6319929026340642E-2</v>
      </c>
      <c r="G415" s="326">
        <f t="shared" si="190"/>
        <v>1</v>
      </c>
      <c r="H415" s="327">
        <f t="shared" si="191"/>
        <v>0</v>
      </c>
      <c r="I415" s="325">
        <f t="shared" si="192"/>
        <v>61729.412638929556</v>
      </c>
      <c r="J415" s="328">
        <f t="shared" si="193"/>
        <v>1.5707801270619444</v>
      </c>
      <c r="K415" s="336">
        <f t="shared" si="213"/>
        <v>5.0287455480303649</v>
      </c>
      <c r="L415" s="337">
        <f t="shared" si="214"/>
        <v>1.3706050912327874</v>
      </c>
      <c r="M415" s="325">
        <f t="shared" si="194"/>
        <v>1.0260586175989359</v>
      </c>
      <c r="N415" s="337">
        <f t="shared" si="195"/>
        <v>0.2258541365757171</v>
      </c>
      <c r="O415" s="343">
        <f t="shared" si="196"/>
        <v>1.0258201113174887</v>
      </c>
      <c r="P415" s="691">
        <f t="shared" si="197"/>
        <v>0.22484002336756476</v>
      </c>
      <c r="Q415" s="336">
        <f t="shared" si="212"/>
        <v>4.4496196567483999</v>
      </c>
      <c r="R415" s="692">
        <f t="shared" si="198"/>
        <v>0.36650719772813095</v>
      </c>
      <c r="S415" s="329">
        <f t="shared" si="199"/>
        <v>0.98874543715155283</v>
      </c>
      <c r="T415" s="330">
        <f t="shared" si="200"/>
        <v>0.23158141409136232</v>
      </c>
      <c r="U415" s="331">
        <f t="shared" si="201"/>
        <v>-9.1635812752665338</v>
      </c>
      <c r="V415" s="332">
        <f t="shared" si="202"/>
        <v>-132.52611263269071</v>
      </c>
      <c r="W415" s="334">
        <f t="shared" si="203"/>
        <v>47.473887367309288</v>
      </c>
      <c r="Y415" s="307">
        <f t="shared" si="204"/>
        <v>39358</v>
      </c>
      <c r="Z415" s="307">
        <f t="shared" si="205"/>
        <v>1549052164</v>
      </c>
      <c r="AB415" s="333">
        <f t="shared" si="206"/>
        <v>15.70313128487234</v>
      </c>
      <c r="AC415" s="334">
        <f t="shared" si="207"/>
        <v>-24.409673556142721</v>
      </c>
      <c r="AE415" s="333">
        <f t="shared" si="208"/>
        <v>-8.0479116192463063E-2</v>
      </c>
      <c r="AF415" s="334">
        <f t="shared" si="209"/>
        <v>-99.999507880868663</v>
      </c>
      <c r="AH415">
        <f t="shared" si="210"/>
        <v>0</v>
      </c>
      <c r="AI415">
        <f t="shared" si="215"/>
        <v>0</v>
      </c>
    </row>
    <row r="416" spans="1:35" x14ac:dyDescent="0.25">
      <c r="A416" s="335">
        <v>39584.5</v>
      </c>
      <c r="B416" s="352">
        <f t="shared" si="211"/>
        <v>39.584499999999998</v>
      </c>
      <c r="C416" s="325">
        <f t="shared" si="186"/>
        <v>24.695481962412021</v>
      </c>
      <c r="D416" s="326">
        <f t="shared" si="187"/>
        <v>1.5302920156390651</v>
      </c>
      <c r="E416" s="326">
        <f t="shared" si="188"/>
        <v>1.0001347220506971</v>
      </c>
      <c r="F416" s="327">
        <f t="shared" si="189"/>
        <v>1.6413831204804542E-2</v>
      </c>
      <c r="G416" s="326">
        <f t="shared" si="190"/>
        <v>1</v>
      </c>
      <c r="H416" s="327">
        <f t="shared" si="191"/>
        <v>0</v>
      </c>
      <c r="I416" s="325">
        <f t="shared" si="192"/>
        <v>62084.657111693894</v>
      </c>
      <c r="J416" s="328">
        <f t="shared" si="193"/>
        <v>1.5707802197557896</v>
      </c>
      <c r="K416" s="336">
        <f t="shared" si="213"/>
        <v>5.056544054202023</v>
      </c>
      <c r="L416" s="337">
        <f t="shared" si="214"/>
        <v>1.3717204644581971</v>
      </c>
      <c r="M416" s="325">
        <f t="shared" si="194"/>
        <v>1.0263555457782529</v>
      </c>
      <c r="N416" s="337">
        <f t="shared" si="195"/>
        <v>0.22710978189773021</v>
      </c>
      <c r="O416" s="343">
        <f t="shared" si="196"/>
        <v>1.0261143559445667</v>
      </c>
      <c r="P416" s="691">
        <f t="shared" si="197"/>
        <v>0.22609042006952715</v>
      </c>
      <c r="Q416" s="336">
        <f t="shared" si="212"/>
        <v>4.452889749018194</v>
      </c>
      <c r="R416" s="692">
        <f t="shared" si="198"/>
        <v>0.36843340562665278</v>
      </c>
      <c r="S416" s="329">
        <f t="shared" si="199"/>
        <v>0.98862315002189594</v>
      </c>
      <c r="T416" s="330">
        <f t="shared" si="200"/>
        <v>0.23296804463644952</v>
      </c>
      <c r="U416" s="331">
        <f t="shared" si="201"/>
        <v>-9.220617582010556</v>
      </c>
      <c r="V416" s="332">
        <f t="shared" si="202"/>
        <v>-132.6602846897317</v>
      </c>
      <c r="W416" s="334">
        <f t="shared" si="203"/>
        <v>47.339715310268303</v>
      </c>
      <c r="Y416" s="307">
        <f t="shared" si="204"/>
        <v>39584.5</v>
      </c>
      <c r="Z416" s="307">
        <f t="shared" si="205"/>
        <v>1566932640.25</v>
      </c>
      <c r="AB416" s="333">
        <f t="shared" si="206"/>
        <v>15.698657902646103</v>
      </c>
      <c r="AC416" s="334">
        <f t="shared" si="207"/>
        <v>-24.417715866236851</v>
      </c>
      <c r="AE416" s="333">
        <f t="shared" si="208"/>
        <v>-0.12915208419301277</v>
      </c>
      <c r="AF416" s="334">
        <f t="shared" si="209"/>
        <v>-100.08691649846067</v>
      </c>
      <c r="AH416">
        <f t="shared" si="210"/>
        <v>0</v>
      </c>
      <c r="AI416">
        <f t="shared" si="215"/>
        <v>0</v>
      </c>
    </row>
    <row r="417" spans="1:35" x14ac:dyDescent="0.25">
      <c r="A417" s="335">
        <v>39811</v>
      </c>
      <c r="B417" s="352">
        <f t="shared" si="211"/>
        <v>39.811</v>
      </c>
      <c r="C417" s="325">
        <f t="shared" si="186"/>
        <v>24.836556903222419</v>
      </c>
      <c r="D417" s="326">
        <f t="shared" si="187"/>
        <v>1.5305222103326641</v>
      </c>
      <c r="E417" s="326">
        <f t="shared" si="188"/>
        <v>1.0001362680983108</v>
      </c>
      <c r="F417" s="327">
        <f t="shared" si="189"/>
        <v>1.6507733093781507E-2</v>
      </c>
      <c r="G417" s="326">
        <f t="shared" si="190"/>
        <v>1</v>
      </c>
      <c r="H417" s="327">
        <f t="shared" si="191"/>
        <v>0</v>
      </c>
      <c r="I417" s="325">
        <f t="shared" si="192"/>
        <v>62439.901584458763</v>
      </c>
      <c r="J417" s="328">
        <f t="shared" si="193"/>
        <v>1.5707803113948933</v>
      </c>
      <c r="K417" s="336">
        <f t="shared" si="213"/>
        <v>5.084348782212726</v>
      </c>
      <c r="L417" s="337">
        <f t="shared" si="214"/>
        <v>1.3728236397824383</v>
      </c>
      <c r="M417" s="325">
        <f t="shared" si="194"/>
        <v>1.0266540912185724</v>
      </c>
      <c r="N417" s="337">
        <f t="shared" si="195"/>
        <v>0.22836469892764977</v>
      </c>
      <c r="O417" s="343">
        <f t="shared" si="196"/>
        <v>1.0264102039718452</v>
      </c>
      <c r="P417" s="691">
        <f t="shared" si="197"/>
        <v>0.22734009790656579</v>
      </c>
      <c r="Q417" s="336">
        <f t="shared" si="212"/>
        <v>4.456176186020115</v>
      </c>
      <c r="R417" s="692">
        <f t="shared" si="198"/>
        <v>0.37035679264039095</v>
      </c>
      <c r="S417" s="329">
        <f t="shared" si="199"/>
        <v>0.98850033861329756</v>
      </c>
      <c r="T417" s="330">
        <f t="shared" si="200"/>
        <v>0.23435560142635672</v>
      </c>
      <c r="U417" s="331">
        <f t="shared" si="201"/>
        <v>-9.277360861798762</v>
      </c>
      <c r="V417" s="332">
        <f t="shared" si="202"/>
        <v>-132.79489494255421</v>
      </c>
      <c r="W417" s="334">
        <f t="shared" si="203"/>
        <v>47.205105057445792</v>
      </c>
      <c r="Y417" s="307">
        <f t="shared" si="204"/>
        <v>39811</v>
      </c>
      <c r="Z417" s="307">
        <f t="shared" si="205"/>
        <v>1584915721</v>
      </c>
      <c r="AB417" s="333">
        <f t="shared" si="206"/>
        <v>15.694204063154245</v>
      </c>
      <c r="AC417" s="334">
        <f t="shared" si="207"/>
        <v>-24.426415276092161</v>
      </c>
      <c r="AE417" s="333">
        <f t="shared" si="208"/>
        <v>-0.17753724783649444</v>
      </c>
      <c r="AF417" s="334">
        <f t="shared" si="209"/>
        <v>-100.17422664893969</v>
      </c>
      <c r="AH417">
        <f t="shared" si="210"/>
        <v>0</v>
      </c>
      <c r="AI417">
        <f t="shared" si="215"/>
        <v>0</v>
      </c>
    </row>
    <row r="418" spans="1:35" x14ac:dyDescent="0.25">
      <c r="A418" s="335">
        <v>40042.75</v>
      </c>
      <c r="B418" s="352">
        <f t="shared" si="211"/>
        <v>40.042749999999998</v>
      </c>
      <c r="C418" s="325">
        <f t="shared" si="186"/>
        <v>24.980903139618615</v>
      </c>
      <c r="D418" s="326">
        <f t="shared" si="187"/>
        <v>1.5307550495954774</v>
      </c>
      <c r="E418" s="326">
        <f t="shared" si="188"/>
        <v>1.0001378591091845</v>
      </c>
      <c r="F418" s="327">
        <f t="shared" si="189"/>
        <v>1.6603811215253471E-2</v>
      </c>
      <c r="G418" s="326">
        <f t="shared" si="190"/>
        <v>1</v>
      </c>
      <c r="H418" s="327">
        <f t="shared" si="191"/>
        <v>0</v>
      </c>
      <c r="I418" s="325">
        <f t="shared" si="192"/>
        <v>62803.380200632622</v>
      </c>
      <c r="J418" s="328">
        <f t="shared" si="193"/>
        <v>1.5707804040850544</v>
      </c>
      <c r="K418" s="336">
        <f t="shared" si="213"/>
        <v>5.1128043246304093</v>
      </c>
      <c r="L418" s="337">
        <f t="shared" si="214"/>
        <v>1.3739399649113839</v>
      </c>
      <c r="M418" s="325">
        <f t="shared" si="194"/>
        <v>1.0269612290398415</v>
      </c>
      <c r="N418" s="337">
        <f t="shared" si="195"/>
        <v>0.22964794617100842</v>
      </c>
      <c r="O418" s="343">
        <f t="shared" si="196"/>
        <v>1.0267145675362546</v>
      </c>
      <c r="P418" s="691">
        <f t="shared" si="197"/>
        <v>0.2286179943133177</v>
      </c>
      <c r="Q418" s="336">
        <f t="shared" si="212"/>
        <v>4.4595556784257999</v>
      </c>
      <c r="R418" s="692">
        <f t="shared" si="198"/>
        <v>0.37232183363730437</v>
      </c>
      <c r="S418" s="329">
        <f t="shared" si="199"/>
        <v>0.98837414118164768</v>
      </c>
      <c r="T418" s="330">
        <f t="shared" si="200"/>
        <v>0.23577628426946484</v>
      </c>
      <c r="U418" s="331">
        <f t="shared" si="201"/>
        <v>-9.3351200489267132</v>
      </c>
      <c r="V418" s="332">
        <f t="shared" si="202"/>
        <v>-132.93306963819884</v>
      </c>
      <c r="W418" s="334">
        <f t="shared" si="203"/>
        <v>47.066930361801155</v>
      </c>
      <c r="Y418" s="307">
        <f t="shared" si="204"/>
        <v>40042.75</v>
      </c>
      <c r="Z418" s="307">
        <f t="shared" si="205"/>
        <v>1603421827.5625</v>
      </c>
      <c r="AB418" s="333">
        <f t="shared" si="206"/>
        <v>15.689666500508546</v>
      </c>
      <c r="AC418" s="334">
        <f t="shared" si="207"/>
        <v>-24.435984519521387</v>
      </c>
      <c r="AE418" s="333">
        <f t="shared" si="208"/>
        <v>-0.22674939298614383</v>
      </c>
      <c r="AF418" s="334">
        <f t="shared" si="209"/>
        <v>-100.26346161617863</v>
      </c>
      <c r="AH418">
        <f t="shared" si="210"/>
        <v>0</v>
      </c>
      <c r="AI418">
        <f t="shared" si="215"/>
        <v>0</v>
      </c>
    </row>
    <row r="419" spans="1:35" x14ac:dyDescent="0.25">
      <c r="A419" s="335">
        <v>40274.5</v>
      </c>
      <c r="B419" s="352">
        <f t="shared" si="211"/>
        <v>40.274500000000003</v>
      </c>
      <c r="C419" s="325">
        <f t="shared" si="186"/>
        <v>25.125250714771216</v>
      </c>
      <c r="D419" s="326">
        <f t="shared" si="187"/>
        <v>1.5309852134917357</v>
      </c>
      <c r="E419" s="326">
        <f t="shared" si="188"/>
        <v>1.000139459352307</v>
      </c>
      <c r="F419" s="327">
        <f t="shared" si="189"/>
        <v>1.6699889030158496E-2</v>
      </c>
      <c r="G419" s="326">
        <f t="shared" si="190"/>
        <v>1</v>
      </c>
      <c r="H419" s="327">
        <f t="shared" si="191"/>
        <v>0</v>
      </c>
      <c r="I419" s="325">
        <f t="shared" si="192"/>
        <v>63166.858816807013</v>
      </c>
      <c r="J419" s="328">
        <f t="shared" si="193"/>
        <v>1.5707804957084888</v>
      </c>
      <c r="K419" s="336">
        <f t="shared" si="213"/>
        <v>5.1412661679982135</v>
      </c>
      <c r="L419" s="337">
        <f t="shared" si="214"/>
        <v>1.3750439315410985</v>
      </c>
      <c r="M419" s="325">
        <f t="shared" si="194"/>
        <v>1.0272700569694253</v>
      </c>
      <c r="N419" s="337">
        <f t="shared" si="195"/>
        <v>0.23093042396062907</v>
      </c>
      <c r="O419" s="343">
        <f t="shared" si="196"/>
        <v>1.0270206067499292</v>
      </c>
      <c r="P419" s="691">
        <f t="shared" si="197"/>
        <v>0.22989513121053698</v>
      </c>
      <c r="Q419" s="336">
        <f t="shared" si="212"/>
        <v>4.4629522054379667</v>
      </c>
      <c r="R419" s="692">
        <f t="shared" si="198"/>
        <v>0.37428390509845016</v>
      </c>
      <c r="S419" s="329">
        <f t="shared" si="199"/>
        <v>0.98824740149976809</v>
      </c>
      <c r="T419" s="330">
        <f t="shared" si="200"/>
        <v>0.23719794784439052</v>
      </c>
      <c r="U419" s="331">
        <f t="shared" si="201"/>
        <v>-9.3925804297056992</v>
      </c>
      <c r="V419" s="332">
        <f t="shared" si="202"/>
        <v>-133.07168457309126</v>
      </c>
      <c r="W419" s="334">
        <f t="shared" si="203"/>
        <v>46.928315426908739</v>
      </c>
      <c r="Y419" s="307">
        <f t="shared" si="204"/>
        <v>40274.5</v>
      </c>
      <c r="Z419" s="307">
        <f t="shared" si="205"/>
        <v>1622035350.25</v>
      </c>
      <c r="AB419" s="333">
        <f t="shared" si="206"/>
        <v>15.685147963956624</v>
      </c>
      <c r="AC419" s="334">
        <f t="shared" si="207"/>
        <v>-24.446217705227788</v>
      </c>
      <c r="AE419" s="333">
        <f t="shared" si="208"/>
        <v>-0.27566700108668374</v>
      </c>
      <c r="AF419" s="334">
        <f t="shared" si="209"/>
        <v>-100.35259950556421</v>
      </c>
      <c r="AH419">
        <f t="shared" si="210"/>
        <v>0</v>
      </c>
      <c r="AI419">
        <f t="shared" si="215"/>
        <v>0</v>
      </c>
    </row>
    <row r="420" spans="1:35" x14ac:dyDescent="0.25">
      <c r="A420" s="335">
        <v>40506.25</v>
      </c>
      <c r="B420" s="352">
        <f t="shared" si="211"/>
        <v>40.506250000000001</v>
      </c>
      <c r="C420" s="325">
        <f t="shared" si="186"/>
        <v>25.269599605738076</v>
      </c>
      <c r="D420" s="326">
        <f t="shared" si="187"/>
        <v>1.5312127478447612</v>
      </c>
      <c r="E420" s="326">
        <f t="shared" si="188"/>
        <v>1.0001410688276338</v>
      </c>
      <c r="F420" s="327">
        <f t="shared" si="189"/>
        <v>1.6795966536724282E-2</v>
      </c>
      <c r="G420" s="326">
        <f t="shared" si="190"/>
        <v>1</v>
      </c>
      <c r="H420" s="327">
        <f t="shared" si="191"/>
        <v>0</v>
      </c>
      <c r="I420" s="325">
        <f t="shared" si="192"/>
        <v>63530.337432981934</v>
      </c>
      <c r="J420" s="328">
        <f t="shared" si="193"/>
        <v>1.5707805862835056</v>
      </c>
      <c r="K420" s="336">
        <f t="shared" si="213"/>
        <v>5.1697342082469699</v>
      </c>
      <c r="L420" s="337">
        <f t="shared" si="214"/>
        <v>1.3761357411208901</v>
      </c>
      <c r="M420" s="325">
        <f t="shared" si="194"/>
        <v>1.027580573483494</v>
      </c>
      <c r="N420" s="337">
        <f t="shared" si="195"/>
        <v>0.23221212877346456</v>
      </c>
      <c r="O420" s="343">
        <f t="shared" si="196"/>
        <v>1.0273283201153505</v>
      </c>
      <c r="P420" s="691">
        <f t="shared" si="197"/>
        <v>0.23117150511264073</v>
      </c>
      <c r="Q420" s="336">
        <f t="shared" si="212"/>
        <v>4.4663657281972213</v>
      </c>
      <c r="R420" s="692">
        <f t="shared" si="198"/>
        <v>0.37624299891902341</v>
      </c>
      <c r="S420" s="329">
        <f t="shared" si="199"/>
        <v>0.98812012294488094</v>
      </c>
      <c r="T420" s="330">
        <f t="shared" si="200"/>
        <v>0.23862059773564395</v>
      </c>
      <c r="U420" s="331">
        <f t="shared" si="201"/>
        <v>-9.4497459142015856</v>
      </c>
      <c r="V420" s="332">
        <f t="shared" si="202"/>
        <v>-133.21073068512106</v>
      </c>
      <c r="W420" s="334">
        <f t="shared" si="203"/>
        <v>46.789269314878936</v>
      </c>
      <c r="Y420" s="307">
        <f t="shared" si="204"/>
        <v>40506.25</v>
      </c>
      <c r="Z420" s="307">
        <f t="shared" si="205"/>
        <v>1640756289.0625</v>
      </c>
      <c r="AB420" s="333">
        <f t="shared" si="206"/>
        <v>15.680647759412558</v>
      </c>
      <c r="AC420" s="334">
        <f t="shared" si="207"/>
        <v>-24.457103090209486</v>
      </c>
      <c r="AE420" s="333">
        <f t="shared" si="208"/>
        <v>-0.32429340689991881</v>
      </c>
      <c r="AF420" s="334">
        <f t="shared" si="209"/>
        <v>-100.44164326264976</v>
      </c>
      <c r="AH420">
        <f t="shared" si="210"/>
        <v>0</v>
      </c>
      <c r="AI420">
        <f t="shared" si="215"/>
        <v>0</v>
      </c>
    </row>
    <row r="421" spans="1:35" x14ac:dyDescent="0.25">
      <c r="A421" s="335">
        <v>40738</v>
      </c>
      <c r="B421" s="352">
        <f t="shared" si="211"/>
        <v>40.738</v>
      </c>
      <c r="C421" s="325">
        <f t="shared" si="186"/>
        <v>25.413949790098091</v>
      </c>
      <c r="D421" s="326">
        <f t="shared" si="187"/>
        <v>1.5314376974378821</v>
      </c>
      <c r="E421" s="326">
        <f t="shared" si="188"/>
        <v>1.00014268753512</v>
      </c>
      <c r="F421" s="327">
        <f t="shared" si="189"/>
        <v>1.6892043733178562E-2</v>
      </c>
      <c r="G421" s="326">
        <f t="shared" si="190"/>
        <v>1</v>
      </c>
      <c r="H421" s="327">
        <f t="shared" si="191"/>
        <v>0</v>
      </c>
      <c r="I421" s="325">
        <f t="shared" si="192"/>
        <v>63893.816049157358</v>
      </c>
      <c r="J421" s="328">
        <f t="shared" si="193"/>
        <v>1.5707806758279976</v>
      </c>
      <c r="K421" s="336">
        <f t="shared" si="213"/>
        <v>5.1982083435648327</v>
      </c>
      <c r="L421" s="337">
        <f t="shared" si="214"/>
        <v>1.3772155908035466</v>
      </c>
      <c r="M421" s="325">
        <f t="shared" si="194"/>
        <v>1.0278927770517323</v>
      </c>
      <c r="N421" s="337">
        <f t="shared" si="195"/>
        <v>0.23349305710087176</v>
      </c>
      <c r="O421" s="343">
        <f t="shared" si="196"/>
        <v>1.0276377061286068</v>
      </c>
      <c r="P421" s="691">
        <f t="shared" si="197"/>
        <v>0.23244711254815356</v>
      </c>
      <c r="Q421" s="336">
        <f t="shared" si="212"/>
        <v>4.469796207768729</v>
      </c>
      <c r="R421" s="692">
        <f t="shared" si="198"/>
        <v>0.37819910710948879</v>
      </c>
      <c r="S421" s="329">
        <f t="shared" si="199"/>
        <v>0.98799230891575973</v>
      </c>
      <c r="T421" s="330">
        <f t="shared" si="200"/>
        <v>0.24004423952482051</v>
      </c>
      <c r="U421" s="331">
        <f t="shared" si="201"/>
        <v>-9.5066203367030475</v>
      </c>
      <c r="V421" s="332">
        <f t="shared" si="202"/>
        <v>-133.35019910519358</v>
      </c>
      <c r="W421" s="334">
        <f t="shared" si="203"/>
        <v>46.649800894806418</v>
      </c>
      <c r="Y421" s="307">
        <f t="shared" si="204"/>
        <v>40738</v>
      </c>
      <c r="Z421" s="307">
        <f t="shared" si="205"/>
        <v>1659584644</v>
      </c>
      <c r="AB421" s="333">
        <f t="shared" si="206"/>
        <v>15.676165212534347</v>
      </c>
      <c r="AC421" s="334">
        <f t="shared" si="207"/>
        <v>-24.468629178438551</v>
      </c>
      <c r="AE421" s="333">
        <f t="shared" si="208"/>
        <v>-0.3726318891412751</v>
      </c>
      <c r="AF421" s="334">
        <f t="shared" si="209"/>
        <v>-100.53059577323441</v>
      </c>
      <c r="AH421">
        <f t="shared" si="210"/>
        <v>0</v>
      </c>
      <c r="AI421">
        <f t="shared" si="215"/>
        <v>0</v>
      </c>
    </row>
    <row r="422" spans="1:35" x14ac:dyDescent="0.25">
      <c r="A422" s="335">
        <v>40975.25</v>
      </c>
      <c r="B422" s="352">
        <f t="shared" si="211"/>
        <v>40.975250000000003</v>
      </c>
      <c r="C422" s="325">
        <f t="shared" si="186"/>
        <v>25.561727077849103</v>
      </c>
      <c r="D422" s="326">
        <f t="shared" si="187"/>
        <v>1.531665353834446</v>
      </c>
      <c r="E422" s="326">
        <f t="shared" si="188"/>
        <v>1.0001443542218997</v>
      </c>
      <c r="F422" s="327">
        <f t="shared" si="189"/>
        <v>1.6990400755758753E-2</v>
      </c>
      <c r="G422" s="326">
        <f t="shared" si="190"/>
        <v>1</v>
      </c>
      <c r="H422" s="327">
        <f t="shared" si="191"/>
        <v>0</v>
      </c>
      <c r="I422" s="325">
        <f t="shared" si="192"/>
        <v>64265.920910808898</v>
      </c>
      <c r="J422" s="328">
        <f t="shared" si="193"/>
        <v>1.5707807664483573</v>
      </c>
      <c r="K422" s="336">
        <f t="shared" si="213"/>
        <v>5.2273644502245773</v>
      </c>
      <c r="L422" s="337">
        <f t="shared" si="214"/>
        <v>1.3783088804130132</v>
      </c>
      <c r="M422" s="325">
        <f t="shared" si="194"/>
        <v>1.0282141359635673</v>
      </c>
      <c r="N422" s="337">
        <f t="shared" si="195"/>
        <v>0.23480357702771723</v>
      </c>
      <c r="O422" s="343">
        <f t="shared" si="196"/>
        <v>1.0279561657223442</v>
      </c>
      <c r="P422" s="691">
        <f t="shared" si="197"/>
        <v>0.23375219572200626</v>
      </c>
      <c r="Q422" s="336">
        <f t="shared" si="212"/>
        <v>4.4733256255947502</v>
      </c>
      <c r="R422" s="692">
        <f t="shared" si="198"/>
        <v>0.3801985376031729</v>
      </c>
      <c r="S422" s="329">
        <f t="shared" si="199"/>
        <v>0.98786091042800628</v>
      </c>
      <c r="T422" s="330">
        <f t="shared" si="200"/>
        <v>0.2415027011625476</v>
      </c>
      <c r="U422" s="331">
        <f t="shared" si="201"/>
        <v>-9.5645469500723763</v>
      </c>
      <c r="V422" s="332">
        <f t="shared" si="202"/>
        <v>-133.49340585367847</v>
      </c>
      <c r="W422" s="334">
        <f t="shared" si="203"/>
        <v>46.506594146321532</v>
      </c>
      <c r="Y422" s="307">
        <f t="shared" si="204"/>
        <v>40975.25</v>
      </c>
      <c r="Z422" s="307">
        <f t="shared" si="205"/>
        <v>1678971112.5625</v>
      </c>
      <c r="AB422" s="333">
        <f t="shared" si="206"/>
        <v>15.671593890974229</v>
      </c>
      <c r="AC422" s="334">
        <f t="shared" si="207"/>
        <v>-24.481080750985022</v>
      </c>
      <c r="AE422" s="333">
        <f t="shared" si="208"/>
        <v>-0.42182267431404608</v>
      </c>
      <c r="AF422" s="334">
        <f t="shared" si="209"/>
        <v>-100.62156777818481</v>
      </c>
      <c r="AH422">
        <f t="shared" si="210"/>
        <v>0</v>
      </c>
      <c r="AI422">
        <f t="shared" si="215"/>
        <v>0</v>
      </c>
    </row>
    <row r="423" spans="1:35" x14ac:dyDescent="0.25">
      <c r="A423" s="335">
        <v>41212.5</v>
      </c>
      <c r="B423" s="352">
        <f t="shared" si="211"/>
        <v>41.212499999999999</v>
      </c>
      <c r="C423" s="325">
        <f t="shared" si="186"/>
        <v>25.709505675169027</v>
      </c>
      <c r="D423" s="326">
        <f t="shared" si="187"/>
        <v>1.5318903930982743</v>
      </c>
      <c r="E423" s="326">
        <f t="shared" si="188"/>
        <v>1.0001460305841472</v>
      </c>
      <c r="F423" s="327">
        <f t="shared" si="189"/>
        <v>1.7088757449574603E-2</v>
      </c>
      <c r="G423" s="326">
        <f t="shared" si="190"/>
        <v>1</v>
      </c>
      <c r="H423" s="327">
        <f t="shared" si="191"/>
        <v>0</v>
      </c>
      <c r="I423" s="325">
        <f t="shared" si="192"/>
        <v>64638.025772460947</v>
      </c>
      <c r="J423" s="328">
        <f t="shared" si="193"/>
        <v>1.5707808560253598</v>
      </c>
      <c r="K423" s="336">
        <f t="shared" si="213"/>
        <v>5.2565267357426491</v>
      </c>
      <c r="L423" s="337">
        <f t="shared" si="214"/>
        <v>1.3793900405460413</v>
      </c>
      <c r="M423" s="325">
        <f t="shared" si="194"/>
        <v>1.0285372596893354</v>
      </c>
      <c r="N423" s="337">
        <f t="shared" si="195"/>
        <v>0.23611327578078975</v>
      </c>
      <c r="O423" s="343">
        <f t="shared" si="196"/>
        <v>1.0282763750880617</v>
      </c>
      <c r="P423" s="691">
        <f t="shared" si="197"/>
        <v>0.23505646829998642</v>
      </c>
      <c r="Q423" s="336">
        <f t="shared" si="212"/>
        <v>4.4768727318250701</v>
      </c>
      <c r="R423" s="692">
        <f t="shared" si="198"/>
        <v>0.38219482249603237</v>
      </c>
      <c r="S423" s="329">
        <f t="shared" si="199"/>
        <v>0.98772895802606242</v>
      </c>
      <c r="T423" s="330">
        <f t="shared" si="200"/>
        <v>0.24296221416580421</v>
      </c>
      <c r="U423" s="331">
        <f t="shared" si="201"/>
        <v>-9.6221764194016188</v>
      </c>
      <c r="V423" s="332">
        <f t="shared" si="202"/>
        <v>-133.63703698145537</v>
      </c>
      <c r="W423" s="334">
        <f t="shared" si="203"/>
        <v>46.362963018544633</v>
      </c>
      <c r="Y423" s="307">
        <f t="shared" si="204"/>
        <v>41212.5</v>
      </c>
      <c r="Z423" s="307">
        <f t="shared" si="205"/>
        <v>1698470156.25</v>
      </c>
      <c r="AB423" s="333">
        <f t="shared" si="206"/>
        <v>15.667039705584163</v>
      </c>
      <c r="AC423" s="334">
        <f t="shared" si="207"/>
        <v>-24.494180181768463</v>
      </c>
      <c r="AE423" s="333">
        <f t="shared" si="208"/>
        <v>-0.4707184868674214</v>
      </c>
      <c r="AF423" s="334">
        <f t="shared" si="209"/>
        <v>-100.71245009011932</v>
      </c>
      <c r="AH423">
        <f t="shared" si="210"/>
        <v>0</v>
      </c>
      <c r="AI423">
        <f t="shared" si="215"/>
        <v>0</v>
      </c>
    </row>
    <row r="424" spans="1:35" x14ac:dyDescent="0.25">
      <c r="A424" s="335">
        <v>41449.75</v>
      </c>
      <c r="B424" s="352">
        <f t="shared" si="211"/>
        <v>41.449750000000002</v>
      </c>
      <c r="C424" s="325">
        <f t="shared" si="186"/>
        <v>25.857285559604676</v>
      </c>
      <c r="D424" s="326">
        <f t="shared" si="187"/>
        <v>1.5321128600787859</v>
      </c>
      <c r="E424" s="326">
        <f t="shared" si="188"/>
        <v>1.0001477166218142</v>
      </c>
      <c r="F424" s="327">
        <f t="shared" si="189"/>
        <v>1.7187113812724759E-2</v>
      </c>
      <c r="G424" s="326">
        <f t="shared" si="190"/>
        <v>1</v>
      </c>
      <c r="H424" s="327">
        <f t="shared" si="191"/>
        <v>0</v>
      </c>
      <c r="I424" s="325">
        <f t="shared" si="192"/>
        <v>65010.130634113513</v>
      </c>
      <c r="J424" s="328">
        <f t="shared" si="193"/>
        <v>1.570780944576921</v>
      </c>
      <c r="K424" s="336">
        <f t="shared" si="213"/>
        <v>5.2856950978488886</v>
      </c>
      <c r="L424" s="337">
        <f t="shared" si="214"/>
        <v>1.3804592694583413</v>
      </c>
      <c r="M424" s="325">
        <f t="shared" si="194"/>
        <v>1.0288621465662677</v>
      </c>
      <c r="N424" s="337">
        <f t="shared" si="195"/>
        <v>0.23742214964282513</v>
      </c>
      <c r="O424" s="343">
        <f t="shared" si="196"/>
        <v>1.028598332591613</v>
      </c>
      <c r="P424" s="691">
        <f t="shared" si="197"/>
        <v>0.2363599266037392</v>
      </c>
      <c r="Q424" s="336">
        <f t="shared" si="212"/>
        <v>4.4804374844523576</v>
      </c>
      <c r="R424" s="692">
        <f t="shared" si="198"/>
        <v>0.38418795358961105</v>
      </c>
      <c r="S424" s="329">
        <f t="shared" si="199"/>
        <v>0.98759645542687691</v>
      </c>
      <c r="T424" s="330">
        <f t="shared" si="200"/>
        <v>0.24442278451322053</v>
      </c>
      <c r="U424" s="331">
        <f t="shared" si="201"/>
        <v>-9.6795126240135154</v>
      </c>
      <c r="V424" s="332">
        <f t="shared" si="202"/>
        <v>-133.78108357071068</v>
      </c>
      <c r="W424" s="334">
        <f t="shared" si="203"/>
        <v>46.218916429289322</v>
      </c>
      <c r="Y424" s="307">
        <f t="shared" si="204"/>
        <v>41449.75</v>
      </c>
      <c r="Z424" s="307">
        <f t="shared" si="205"/>
        <v>1718081775.0625</v>
      </c>
      <c r="AB424" s="333">
        <f t="shared" si="206"/>
        <v>15.662501993078751</v>
      </c>
      <c r="AC424" s="334">
        <f t="shared" si="207"/>
        <v>-24.507915899616343</v>
      </c>
      <c r="AE424" s="333">
        <f t="shared" si="208"/>
        <v>-0.51932267017545342</v>
      </c>
      <c r="AF424" s="334">
        <f t="shared" si="209"/>
        <v>-100.80324562137953</v>
      </c>
      <c r="AH424">
        <f t="shared" si="210"/>
        <v>0</v>
      </c>
      <c r="AI424">
        <f t="shared" si="215"/>
        <v>0</v>
      </c>
    </row>
    <row r="425" spans="1:35" x14ac:dyDescent="0.25">
      <c r="A425" s="335">
        <v>41687</v>
      </c>
      <c r="B425" s="352">
        <f t="shared" si="211"/>
        <v>41.686999999999998</v>
      </c>
      <c r="C425" s="325">
        <f t="shared" si="186"/>
        <v>26.005066709213029</v>
      </c>
      <c r="D425" s="326">
        <f t="shared" si="187"/>
        <v>1.5323327986069539</v>
      </c>
      <c r="E425" s="326">
        <f t="shared" si="188"/>
        <v>1.0001494123348518</v>
      </c>
      <c r="F425" s="327">
        <f t="shared" si="189"/>
        <v>1.7285469843307904E-2</v>
      </c>
      <c r="G425" s="326">
        <f t="shared" si="190"/>
        <v>1</v>
      </c>
      <c r="H425" s="327">
        <f t="shared" si="191"/>
        <v>0</v>
      </c>
      <c r="I425" s="325">
        <f t="shared" si="192"/>
        <v>65382.235495766588</v>
      </c>
      <c r="J425" s="328">
        <f t="shared" si="193"/>
        <v>1.5707810321205489</v>
      </c>
      <c r="K425" s="336">
        <f t="shared" si="213"/>
        <v>5.3148694364971183</v>
      </c>
      <c r="L425" s="337">
        <f t="shared" si="214"/>
        <v>1.381516761163059</v>
      </c>
      <c r="M425" s="325">
        <f t="shared" si="194"/>
        <v>1.0291887949246281</v>
      </c>
      <c r="N425" s="337">
        <f t="shared" si="195"/>
        <v>0.23873019491254546</v>
      </c>
      <c r="O425" s="343">
        <f t="shared" si="196"/>
        <v>1.0289220365919816</v>
      </c>
      <c r="P425" s="691">
        <f t="shared" si="197"/>
        <v>0.23766256697056873</v>
      </c>
      <c r="Q425" s="336">
        <f t="shared" si="212"/>
        <v>4.4840198413942165</v>
      </c>
      <c r="R425" s="692">
        <f t="shared" si="198"/>
        <v>0.38617792281074736</v>
      </c>
      <c r="S425" s="329">
        <f t="shared" si="199"/>
        <v>0.98746340637121377</v>
      </c>
      <c r="T425" s="330">
        <f t="shared" si="200"/>
        <v>0.24588441817997048</v>
      </c>
      <c r="U425" s="331">
        <f t="shared" si="201"/>
        <v>-9.7365593681057341</v>
      </c>
      <c r="V425" s="332">
        <f t="shared" si="202"/>
        <v>-133.9255368953354</v>
      </c>
      <c r="W425" s="334">
        <f t="shared" si="203"/>
        <v>46.074463104664602</v>
      </c>
      <c r="Y425" s="307">
        <f t="shared" si="204"/>
        <v>41687</v>
      </c>
      <c r="Z425" s="307">
        <f t="shared" si="205"/>
        <v>1737805969</v>
      </c>
      <c r="AB425" s="333">
        <f t="shared" si="206"/>
        <v>15.657980109181777</v>
      </c>
      <c r="AC425" s="334">
        <f t="shared" si="207"/>
        <v>-24.522276577329773</v>
      </c>
      <c r="AE425" s="333">
        <f t="shared" si="208"/>
        <v>-0.56763851144987909</v>
      </c>
      <c r="AF425" s="334">
        <f t="shared" si="209"/>
        <v>-100.89395722575648</v>
      </c>
      <c r="AH425">
        <f t="shared" si="210"/>
        <v>0</v>
      </c>
      <c r="AI425">
        <f t="shared" si="215"/>
        <v>0</v>
      </c>
    </row>
    <row r="426" spans="1:35" x14ac:dyDescent="0.25">
      <c r="A426" s="335">
        <v>41929.75</v>
      </c>
      <c r="B426" s="352">
        <f t="shared" si="211"/>
        <v>41.929749999999999</v>
      </c>
      <c r="C426" s="325">
        <f t="shared" si="186"/>
        <v>26.156275052485192</v>
      </c>
      <c r="D426" s="326">
        <f t="shared" si="187"/>
        <v>1.5325552634399897</v>
      </c>
      <c r="E426" s="326">
        <f t="shared" si="188"/>
        <v>1.0001511573727779</v>
      </c>
      <c r="F426" s="327">
        <f t="shared" si="189"/>
        <v>1.7386105646415018E-2</v>
      </c>
      <c r="G426" s="326">
        <f t="shared" si="190"/>
        <v>1</v>
      </c>
      <c r="H426" s="327">
        <f t="shared" si="191"/>
        <v>0</v>
      </c>
      <c r="I426" s="325">
        <f t="shared" si="192"/>
        <v>65762.966602895787</v>
      </c>
      <c r="J426" s="328">
        <f t="shared" si="193"/>
        <v>1.5707811206682314</v>
      </c>
      <c r="K426" s="336">
        <f t="shared" si="213"/>
        <v>5.3447261872242668</v>
      </c>
      <c r="L426" s="337">
        <f t="shared" si="214"/>
        <v>1.3825868174801892</v>
      </c>
      <c r="M426" s="325">
        <f t="shared" si="194"/>
        <v>1.02952483720096</v>
      </c>
      <c r="N426" s="337">
        <f t="shared" si="195"/>
        <v>0.24006770220465595</v>
      </c>
      <c r="O426" s="343">
        <f t="shared" si="196"/>
        <v>1.0292550507736928</v>
      </c>
      <c r="P426" s="691">
        <f t="shared" si="197"/>
        <v>0.2389945551304021</v>
      </c>
      <c r="Q426" s="336">
        <f t="shared" si="212"/>
        <v>4.4877034228365824</v>
      </c>
      <c r="R426" s="692">
        <f t="shared" si="198"/>
        <v>0.38821074312886727</v>
      </c>
      <c r="S426" s="329">
        <f t="shared" si="199"/>
        <v>0.98732671125410743</v>
      </c>
      <c r="T426" s="330">
        <f t="shared" si="200"/>
        <v>0.24738104268170111</v>
      </c>
      <c r="U426" s="331">
        <f t="shared" si="201"/>
        <v>-9.7946328740459379</v>
      </c>
      <c r="V426" s="332">
        <f t="shared" si="202"/>
        <v>-134.07375106252525</v>
      </c>
      <c r="W426" s="334">
        <f t="shared" si="203"/>
        <v>45.926248937474753</v>
      </c>
      <c r="Y426" s="307">
        <f t="shared" si="204"/>
        <v>41929.75</v>
      </c>
      <c r="Z426" s="307">
        <f t="shared" si="205"/>
        <v>1758103935.0625</v>
      </c>
      <c r="AB426" s="333">
        <f t="shared" si="206"/>
        <v>15.653369128193795</v>
      </c>
      <c r="AC426" s="334">
        <f t="shared" si="207"/>
        <v>-24.537605462848809</v>
      </c>
      <c r="AE426" s="333">
        <f t="shared" si="208"/>
        <v>-0.61677934986898841</v>
      </c>
      <c r="AF426" s="334">
        <f t="shared" si="209"/>
        <v>-100.98668778256456</v>
      </c>
      <c r="AH426">
        <f t="shared" si="210"/>
        <v>0</v>
      </c>
      <c r="AI426">
        <f t="shared" si="215"/>
        <v>0</v>
      </c>
    </row>
    <row r="427" spans="1:35" x14ac:dyDescent="0.25">
      <c r="A427" s="335">
        <v>42172.5</v>
      </c>
      <c r="B427" s="352">
        <f t="shared" si="211"/>
        <v>42.172499999999999</v>
      </c>
      <c r="C427" s="325">
        <f t="shared" si="186"/>
        <v>26.307484675366357</v>
      </c>
      <c r="D427" s="326">
        <f t="shared" si="187"/>
        <v>1.5327751709261612</v>
      </c>
      <c r="E427" s="326">
        <f t="shared" si="188"/>
        <v>1.0001529125397643</v>
      </c>
      <c r="F427" s="327">
        <f t="shared" si="189"/>
        <v>1.748674109733005E-2</v>
      </c>
      <c r="G427" s="326">
        <f t="shared" si="190"/>
        <v>1</v>
      </c>
      <c r="H427" s="327">
        <f t="shared" si="191"/>
        <v>0</v>
      </c>
      <c r="I427" s="325">
        <f t="shared" si="192"/>
        <v>66143.697710025517</v>
      </c>
      <c r="J427" s="328">
        <f t="shared" si="193"/>
        <v>1.5707812081965318</v>
      </c>
      <c r="K427" s="336">
        <f t="shared" si="213"/>
        <v>5.3745889897752406</v>
      </c>
      <c r="L427" s="337">
        <f t="shared" si="214"/>
        <v>1.3836449839003715</v>
      </c>
      <c r="M427" s="325">
        <f t="shared" si="194"/>
        <v>1.0298627200169541</v>
      </c>
      <c r="N427" s="337">
        <f t="shared" si="195"/>
        <v>0.24140433425364444</v>
      </c>
      <c r="O427" s="343">
        <f t="shared" si="196"/>
        <v>1.029589889868785</v>
      </c>
      <c r="P427" s="691">
        <f t="shared" si="197"/>
        <v>0.24032567928293358</v>
      </c>
      <c r="Q427" s="336">
        <f t="shared" si="212"/>
        <v>4.4914053449054556</v>
      </c>
      <c r="R427" s="692">
        <f t="shared" si="198"/>
        <v>0.39024023657693885</v>
      </c>
      <c r="S427" s="329">
        <f t="shared" si="199"/>
        <v>0.98718945205033337</v>
      </c>
      <c r="T427" s="330">
        <f t="shared" si="200"/>
        <v>0.24887879301907401</v>
      </c>
      <c r="U427" s="331">
        <f t="shared" si="201"/>
        <v>-9.8524111680131874</v>
      </c>
      <c r="V427" s="332">
        <f t="shared" si="202"/>
        <v>-134.22237315347317</v>
      </c>
      <c r="W427" s="334">
        <f t="shared" si="203"/>
        <v>45.777626846526829</v>
      </c>
      <c r="Y427" s="307">
        <f t="shared" si="204"/>
        <v>42172.5</v>
      </c>
      <c r="Z427" s="307">
        <f t="shared" si="205"/>
        <v>1778519756.25</v>
      </c>
      <c r="AB427" s="333">
        <f t="shared" si="206"/>
        <v>15.64877341189996</v>
      </c>
      <c r="AC427" s="334">
        <f t="shared" si="207"/>
        <v>-24.553565383139297</v>
      </c>
      <c r="AE427" s="333">
        <f t="shared" si="208"/>
        <v>-0.66562511037980099</v>
      </c>
      <c r="AF427" s="334">
        <f t="shared" si="209"/>
        <v>-101.07933634000031</v>
      </c>
      <c r="AH427">
        <f t="shared" si="210"/>
        <v>0</v>
      </c>
      <c r="AI427">
        <f t="shared" si="215"/>
        <v>0</v>
      </c>
    </row>
    <row r="428" spans="1:35" x14ac:dyDescent="0.25">
      <c r="A428" s="335">
        <v>42415.25</v>
      </c>
      <c r="B428" s="352">
        <f t="shared" si="211"/>
        <v>42.41525</v>
      </c>
      <c r="C428" s="325">
        <f t="shared" si="186"/>
        <v>26.458695555917895</v>
      </c>
      <c r="D428" s="326">
        <f t="shared" si="187"/>
        <v>1.5329925648895635</v>
      </c>
      <c r="E428" s="326">
        <f t="shared" si="188"/>
        <v>1.0001546778357577</v>
      </c>
      <c r="F428" s="327">
        <f t="shared" si="189"/>
        <v>1.7587376194016499E-2</v>
      </c>
      <c r="G428" s="326">
        <f t="shared" si="190"/>
        <v>1</v>
      </c>
      <c r="H428" s="327">
        <f t="shared" si="191"/>
        <v>0</v>
      </c>
      <c r="I428" s="325">
        <f t="shared" si="192"/>
        <v>66524.428817155727</v>
      </c>
      <c r="J428" s="328">
        <f t="shared" si="193"/>
        <v>1.5707812947229522</v>
      </c>
      <c r="K428" s="336">
        <f t="shared" si="213"/>
        <v>5.4044577438303971</v>
      </c>
      <c r="L428" s="337">
        <f t="shared" si="214"/>
        <v>1.3846914551693243</v>
      </c>
      <c r="M428" s="325">
        <f t="shared" si="194"/>
        <v>1.0302024415616453</v>
      </c>
      <c r="N428" s="337">
        <f t="shared" si="195"/>
        <v>0.24274008714703463</v>
      </c>
      <c r="O428" s="343">
        <f t="shared" si="196"/>
        <v>1.0299265520973668</v>
      </c>
      <c r="P428" s="691">
        <f t="shared" si="197"/>
        <v>0.24165593555594878</v>
      </c>
      <c r="Q428" s="336">
        <f t="shared" si="212"/>
        <v>4.4951255622921202</v>
      </c>
      <c r="R428" s="692">
        <f t="shared" si="198"/>
        <v>0.39226639491216014</v>
      </c>
      <c r="S428" s="329">
        <f t="shared" si="199"/>
        <v>0.98705163284455188</v>
      </c>
      <c r="T428" s="330">
        <f t="shared" si="200"/>
        <v>0.25037767558085011</v>
      </c>
      <c r="U428" s="331">
        <f t="shared" si="201"/>
        <v>-9.9098980929143963</v>
      </c>
      <c r="V428" s="332">
        <f t="shared" si="202"/>
        <v>-134.37139441359105</v>
      </c>
      <c r="W428" s="334">
        <f t="shared" si="203"/>
        <v>45.628605586408952</v>
      </c>
      <c r="Y428" s="307">
        <f t="shared" si="204"/>
        <v>42415.25</v>
      </c>
      <c r="Z428" s="307">
        <f t="shared" si="205"/>
        <v>1799053432.5625</v>
      </c>
      <c r="AB428" s="333">
        <f t="shared" si="206"/>
        <v>15.64419232802944</v>
      </c>
      <c r="AC428" s="334">
        <f t="shared" si="207"/>
        <v>-24.570144956927898</v>
      </c>
      <c r="AE428" s="333">
        <f t="shared" si="208"/>
        <v>-0.71417913976536951</v>
      </c>
      <c r="AF428" s="334">
        <f t="shared" si="209"/>
        <v>-101.17190577516517</v>
      </c>
      <c r="AH428">
        <f t="shared" si="210"/>
        <v>0</v>
      </c>
      <c r="AI428">
        <f t="shared" si="215"/>
        <v>0</v>
      </c>
    </row>
    <row r="429" spans="1:35" x14ac:dyDescent="0.25">
      <c r="A429" s="335">
        <v>42658</v>
      </c>
      <c r="B429" s="352">
        <f t="shared" si="211"/>
        <v>42.658000000000001</v>
      </c>
      <c r="C429" s="325">
        <f t="shared" si="186"/>
        <v>26.609907672699652</v>
      </c>
      <c r="D429" s="326">
        <f t="shared" si="187"/>
        <v>1.5332074881591231</v>
      </c>
      <c r="E429" s="326">
        <f t="shared" si="188"/>
        <v>1.0001564532607046</v>
      </c>
      <c r="F429" s="327">
        <f t="shared" si="189"/>
        <v>1.7688010934437885E-2</v>
      </c>
      <c r="G429" s="326">
        <f t="shared" si="190"/>
        <v>1</v>
      </c>
      <c r="H429" s="327">
        <f t="shared" si="191"/>
        <v>0</v>
      </c>
      <c r="I429" s="325">
        <f t="shared" si="192"/>
        <v>66905.159924286447</v>
      </c>
      <c r="J429" s="328">
        <f t="shared" si="193"/>
        <v>1.5707813802645967</v>
      </c>
      <c r="K429" s="336">
        <f t="shared" si="213"/>
        <v>5.4343323512558728</v>
      </c>
      <c r="L429" s="337">
        <f t="shared" si="214"/>
        <v>1.3857264218541432</v>
      </c>
      <c r="M429" s="325">
        <f t="shared" si="194"/>
        <v>1.0305440000166088</v>
      </c>
      <c r="N429" s="337">
        <f t="shared" si="195"/>
        <v>0.24407495699004422</v>
      </c>
      <c r="O429" s="343">
        <f t="shared" si="196"/>
        <v>1.0302650356721896</v>
      </c>
      <c r="P429" s="691">
        <f t="shared" si="197"/>
        <v>0.24298532009456719</v>
      </c>
      <c r="Q429" s="336">
        <f t="shared" si="212"/>
        <v>4.4988640296141762</v>
      </c>
      <c r="R429" s="692">
        <f t="shared" si="198"/>
        <v>0.39428921002742462</v>
      </c>
      <c r="S429" s="329">
        <f t="shared" si="199"/>
        <v>0.98691325774768857</v>
      </c>
      <c r="T429" s="330">
        <f t="shared" si="200"/>
        <v>0.25187769675170146</v>
      </c>
      <c r="U429" s="331">
        <f t="shared" si="201"/>
        <v>-9.9670974173313294</v>
      </c>
      <c r="V429" s="332">
        <f t="shared" si="202"/>
        <v>-134.52080627822752</v>
      </c>
      <c r="W429" s="334">
        <f t="shared" si="203"/>
        <v>45.479193721772475</v>
      </c>
      <c r="Y429" s="307">
        <f t="shared" si="204"/>
        <v>42658</v>
      </c>
      <c r="Z429" s="307">
        <f t="shared" si="205"/>
        <v>1819704964</v>
      </c>
      <c r="AB429" s="333">
        <f t="shared" si="206"/>
        <v>15.639625262569654</v>
      </c>
      <c r="AC429" s="334">
        <f t="shared" si="207"/>
        <v>-24.587333043349709</v>
      </c>
      <c r="AE429" s="333">
        <f t="shared" si="208"/>
        <v>-0.76244472865620994</v>
      </c>
      <c r="AF429" s="334">
        <f t="shared" si="209"/>
        <v>-101.26439890790728</v>
      </c>
      <c r="AH429">
        <f t="shared" si="210"/>
        <v>0</v>
      </c>
      <c r="AI429">
        <f t="shared" si="215"/>
        <v>0</v>
      </c>
    </row>
    <row r="430" spans="1:35" x14ac:dyDescent="0.25">
      <c r="A430" s="335">
        <v>42906.5</v>
      </c>
      <c r="B430" s="352">
        <f t="shared" si="211"/>
        <v>42.906500000000001</v>
      </c>
      <c r="C430" s="325">
        <f t="shared" si="186"/>
        <v>26.764702797526667</v>
      </c>
      <c r="D430" s="326">
        <f t="shared" si="187"/>
        <v>1.5334249868249383</v>
      </c>
      <c r="E430" s="326">
        <f t="shared" si="188"/>
        <v>1.0001582812316252</v>
      </c>
      <c r="F430" s="327">
        <f t="shared" si="189"/>
        <v>1.7791029030826092E-2</v>
      </c>
      <c r="G430" s="326">
        <f t="shared" si="190"/>
        <v>1</v>
      </c>
      <c r="H430" s="327">
        <f t="shared" si="191"/>
        <v>0</v>
      </c>
      <c r="I430" s="325">
        <f t="shared" si="192"/>
        <v>67294.909378960409</v>
      </c>
      <c r="J430" s="328">
        <f t="shared" si="193"/>
        <v>1.5707814668298672</v>
      </c>
      <c r="K430" s="336">
        <f t="shared" si="213"/>
        <v>5.4649205589060843</v>
      </c>
      <c r="L430" s="337">
        <f t="shared" si="214"/>
        <v>1.3867741818167847</v>
      </c>
      <c r="M430" s="325">
        <f t="shared" si="194"/>
        <v>1.0308955497251173</v>
      </c>
      <c r="N430" s="337">
        <f t="shared" si="195"/>
        <v>0.24544052706846131</v>
      </c>
      <c r="O430" s="343">
        <f t="shared" si="196"/>
        <v>1.0306134215773746</v>
      </c>
      <c r="P430" s="691">
        <f t="shared" si="197"/>
        <v>0.24434528670112102</v>
      </c>
      <c r="Q430" s="336">
        <f t="shared" si="212"/>
        <v>4.5027099057436795</v>
      </c>
      <c r="R430" s="692">
        <f t="shared" si="198"/>
        <v>0.39635646813850151</v>
      </c>
      <c r="S430" s="329">
        <f t="shared" si="199"/>
        <v>0.98677103349221773</v>
      </c>
      <c r="T430" s="330">
        <f t="shared" si="200"/>
        <v>0.25341443484993764</v>
      </c>
      <c r="U430" s="331">
        <f t="shared" si="201"/>
        <v>-10.025357576168336</v>
      </c>
      <c r="V430" s="332">
        <f t="shared" si="202"/>
        <v>-134.67415309535286</v>
      </c>
      <c r="W430" s="334">
        <f t="shared" si="203"/>
        <v>45.325846904647136</v>
      </c>
      <c r="Y430" s="307">
        <f t="shared" si="204"/>
        <v>42906.5</v>
      </c>
      <c r="Z430" s="307">
        <f t="shared" si="205"/>
        <v>1840967742.25</v>
      </c>
      <c r="AB430" s="333">
        <f t="shared" si="206"/>
        <v>15.634963915343096</v>
      </c>
      <c r="AC430" s="334">
        <f t="shared" si="207"/>
        <v>-24.605547181515686</v>
      </c>
      <c r="AE430" s="333">
        <f t="shared" si="208"/>
        <v>-0.81155818866543528</v>
      </c>
      <c r="AF430" s="334">
        <f t="shared" si="209"/>
        <v>-101.35900676872571</v>
      </c>
      <c r="AH430">
        <f t="shared" si="210"/>
        <v>0</v>
      </c>
      <c r="AI430">
        <f t="shared" si="215"/>
        <v>0</v>
      </c>
    </row>
    <row r="431" spans="1:35" x14ac:dyDescent="0.25">
      <c r="A431" s="335">
        <v>43155</v>
      </c>
      <c r="B431" s="352">
        <f t="shared" si="211"/>
        <v>43.155000000000001</v>
      </c>
      <c r="C431" s="325">
        <f t="shared" si="186"/>
        <v>26.919499173914677</v>
      </c>
      <c r="D431" s="326">
        <f t="shared" si="187"/>
        <v>1.5336399841165984</v>
      </c>
      <c r="E431" s="326">
        <f t="shared" si="188"/>
        <v>1.0001601198169152</v>
      </c>
      <c r="F431" s="327">
        <f t="shared" si="189"/>
        <v>1.7894046749553128E-2</v>
      </c>
      <c r="G431" s="326">
        <f t="shared" si="190"/>
        <v>1</v>
      </c>
      <c r="H431" s="327">
        <f t="shared" si="191"/>
        <v>0</v>
      </c>
      <c r="I431" s="325">
        <f t="shared" si="192"/>
        <v>67684.65883363485</v>
      </c>
      <c r="J431" s="328">
        <f t="shared" si="193"/>
        <v>1.5707815523981978</v>
      </c>
      <c r="K431" s="336">
        <f t="shared" si="213"/>
        <v>5.4955146991617596</v>
      </c>
      <c r="L431" s="337">
        <f t="shared" si="214"/>
        <v>1.3878102769143257</v>
      </c>
      <c r="M431" s="325">
        <f t="shared" si="194"/>
        <v>1.0312490205159508</v>
      </c>
      <c r="N431" s="337">
        <f t="shared" si="195"/>
        <v>0.24680516356490426</v>
      </c>
      <c r="O431" s="343">
        <f t="shared" si="196"/>
        <v>1.030963712321231</v>
      </c>
      <c r="P431" s="691">
        <f t="shared" si="197"/>
        <v>0.24570433166757699</v>
      </c>
      <c r="Q431" s="336">
        <f t="shared" si="212"/>
        <v>4.5065748101482264</v>
      </c>
      <c r="R431" s="692">
        <f t="shared" si="198"/>
        <v>0.39842020601373374</v>
      </c>
      <c r="S431" s="329">
        <f t="shared" si="199"/>
        <v>0.98662823550158329</v>
      </c>
      <c r="T431" s="330">
        <f t="shared" si="200"/>
        <v>0.25495237966283252</v>
      </c>
      <c r="U431" s="331">
        <f t="shared" si="201"/>
        <v>-10.083324109818152</v>
      </c>
      <c r="V431" s="332">
        <f t="shared" si="202"/>
        <v>-134.82789166713451</v>
      </c>
      <c r="W431" s="334">
        <f t="shared" si="203"/>
        <v>45.172108332865491</v>
      </c>
      <c r="Y431" s="307">
        <f t="shared" si="204"/>
        <v>43155</v>
      </c>
      <c r="Z431" s="307">
        <f t="shared" si="205"/>
        <v>1862354025</v>
      </c>
      <c r="AB431" s="333">
        <f t="shared" si="206"/>
        <v>15.630316012455886</v>
      </c>
      <c r="AC431" s="334">
        <f t="shared" si="207"/>
        <v>-24.624376119793805</v>
      </c>
      <c r="AE431" s="333">
        <f t="shared" si="208"/>
        <v>-0.86037618540070204</v>
      </c>
      <c r="AF431" s="334">
        <f t="shared" si="209"/>
        <v>-101.45354047265738</v>
      </c>
      <c r="AH431">
        <f t="shared" si="210"/>
        <v>0</v>
      </c>
      <c r="AI431">
        <f t="shared" si="215"/>
        <v>0</v>
      </c>
    </row>
    <row r="432" spans="1:35" x14ac:dyDescent="0.25">
      <c r="A432" s="335">
        <v>43403.5</v>
      </c>
      <c r="B432" s="352">
        <f t="shared" si="211"/>
        <v>43.403500000000001</v>
      </c>
      <c r="C432" s="325">
        <f t="shared" si="186"/>
        <v>27.074296780396413</v>
      </c>
      <c r="D432" s="326">
        <f t="shared" si="187"/>
        <v>1.5338525229189621</v>
      </c>
      <c r="E432" s="326">
        <f t="shared" si="188"/>
        <v>1.0001619690165158</v>
      </c>
      <c r="F432" s="327">
        <f t="shared" si="189"/>
        <v>1.7997064088434496E-2</v>
      </c>
      <c r="G432" s="326">
        <f t="shared" si="190"/>
        <v>1</v>
      </c>
      <c r="H432" s="327">
        <f t="shared" si="191"/>
        <v>0</v>
      </c>
      <c r="I432" s="325">
        <f t="shared" si="192"/>
        <v>68074.408288309802</v>
      </c>
      <c r="J432" s="328">
        <f t="shared" si="193"/>
        <v>1.570781636986712</v>
      </c>
      <c r="K432" s="336">
        <f t="shared" si="213"/>
        <v>5.5261146734891344</v>
      </c>
      <c r="L432" s="337">
        <f t="shared" si="214"/>
        <v>1.3888348986805703</v>
      </c>
      <c r="M432" s="325">
        <f t="shared" si="194"/>
        <v>1.03160441041438</v>
      </c>
      <c r="N432" s="337">
        <f t="shared" si="195"/>
        <v>0.2481688623591064</v>
      </c>
      <c r="O432" s="343">
        <f t="shared" si="196"/>
        <v>1.0313159059627992</v>
      </c>
      <c r="P432" s="691">
        <f t="shared" si="197"/>
        <v>0.24706245091529866</v>
      </c>
      <c r="Q432" s="336">
        <f t="shared" si="212"/>
        <v>4.5104586939176521</v>
      </c>
      <c r="R432" s="692">
        <f t="shared" si="198"/>
        <v>0.40048041539513907</v>
      </c>
      <c r="S432" s="329">
        <f t="shared" si="199"/>
        <v>0.9864848682716143</v>
      </c>
      <c r="T432" s="330">
        <f t="shared" si="200"/>
        <v>0.25649153802575403</v>
      </c>
      <c r="U432" s="331">
        <f t="shared" si="201"/>
        <v>-10.141000831076749</v>
      </c>
      <c r="V432" s="332">
        <f t="shared" si="202"/>
        <v>-134.98201339382641</v>
      </c>
      <c r="W432" s="334">
        <f t="shared" si="203"/>
        <v>45.017986606173594</v>
      </c>
      <c r="Y432" s="307">
        <f t="shared" si="204"/>
        <v>43403.5</v>
      </c>
      <c r="Z432" s="307">
        <f t="shared" si="205"/>
        <v>1883863812.25</v>
      </c>
      <c r="AB432" s="333">
        <f t="shared" si="206"/>
        <v>15.625680950885597</v>
      </c>
      <c r="AC432" s="334">
        <f t="shared" si="207"/>
        <v>-24.643808649012684</v>
      </c>
      <c r="AE432" s="333">
        <f t="shared" si="208"/>
        <v>-0.90890207426117797</v>
      </c>
      <c r="AF432" s="334">
        <f t="shared" si="209"/>
        <v>-101.54800286858662</v>
      </c>
      <c r="AH432">
        <f t="shared" si="210"/>
        <v>0</v>
      </c>
      <c r="AI432">
        <f t="shared" si="215"/>
        <v>0</v>
      </c>
    </row>
    <row r="433" spans="1:35" x14ac:dyDescent="0.25">
      <c r="A433" s="335">
        <v>43652</v>
      </c>
      <c r="B433" s="352">
        <f t="shared" si="211"/>
        <v>43.652000000000001</v>
      </c>
      <c r="C433" s="325">
        <f t="shared" si="186"/>
        <v>27.229095595992593</v>
      </c>
      <c r="D433" s="326">
        <f t="shared" si="187"/>
        <v>1.5340626451425778</v>
      </c>
      <c r="E433" s="326">
        <f t="shared" si="188"/>
        <v>1.0001638288303678</v>
      </c>
      <c r="F433" s="327">
        <f t="shared" si="189"/>
        <v>1.8100081045285758E-2</v>
      </c>
      <c r="G433" s="326">
        <f t="shared" si="190"/>
        <v>1</v>
      </c>
      <c r="H433" s="327">
        <f t="shared" si="191"/>
        <v>0</v>
      </c>
      <c r="I433" s="325">
        <f t="shared" si="192"/>
        <v>68464.157742985248</v>
      </c>
      <c r="J433" s="328">
        <f t="shared" si="193"/>
        <v>1.5707817206121435</v>
      </c>
      <c r="K433" s="336">
        <f t="shared" si="213"/>
        <v>5.5567203855062974</v>
      </c>
      <c r="L433" s="337">
        <f t="shared" si="214"/>
        <v>1.3898482345271215</v>
      </c>
      <c r="M433" s="325">
        <f t="shared" si="194"/>
        <v>1.0319617174376818</v>
      </c>
      <c r="N433" s="337">
        <f t="shared" si="195"/>
        <v>0.24953161935041193</v>
      </c>
      <c r="O433" s="343">
        <f t="shared" si="196"/>
        <v>1.0316700005532342</v>
      </c>
      <c r="P433" s="691">
        <f t="shared" si="197"/>
        <v>0.2484196403848635</v>
      </c>
      <c r="Q433" s="336">
        <f t="shared" si="212"/>
        <v>4.5143615080703494</v>
      </c>
      <c r="R433" s="692">
        <f t="shared" si="198"/>
        <v>0.40253708817175649</v>
      </c>
      <c r="S433" s="329">
        <f t="shared" si="199"/>
        <v>0.98634093632716946</v>
      </c>
      <c r="T433" s="330">
        <f t="shared" si="200"/>
        <v>0.2580319167692241</v>
      </c>
      <c r="U433" s="331">
        <f t="shared" si="201"/>
        <v>-10.198391479055624</v>
      </c>
      <c r="V433" s="332">
        <f t="shared" si="202"/>
        <v>-135.13650986418997</v>
      </c>
      <c r="W433" s="334">
        <f t="shared" si="203"/>
        <v>44.863490135810025</v>
      </c>
      <c r="Y433" s="307">
        <f t="shared" si="204"/>
        <v>43652</v>
      </c>
      <c r="Z433" s="307">
        <f t="shared" si="205"/>
        <v>1905497104</v>
      </c>
      <c r="AB433" s="333">
        <f t="shared" si="206"/>
        <v>15.621058145177553</v>
      </c>
      <c r="AC433" s="334">
        <f t="shared" si="207"/>
        <v>-24.663833797286902</v>
      </c>
      <c r="AE433" s="333">
        <f t="shared" si="208"/>
        <v>-0.95713915439755515</v>
      </c>
      <c r="AF433" s="334">
        <f t="shared" si="209"/>
        <v>-101.64239674929621</v>
      </c>
      <c r="AH433">
        <f t="shared" si="210"/>
        <v>0</v>
      </c>
      <c r="AI433">
        <f t="shared" si="215"/>
        <v>0</v>
      </c>
    </row>
    <row r="434" spans="1:35" x14ac:dyDescent="0.25">
      <c r="A434" s="335">
        <v>43906</v>
      </c>
      <c r="B434" s="352">
        <f t="shared" si="211"/>
        <v>43.905999999999999</v>
      </c>
      <c r="C434" s="325">
        <f t="shared" si="186"/>
        <v>27.387321770523975</v>
      </c>
      <c r="D434" s="326">
        <f t="shared" si="187"/>
        <v>1.5342749632002841</v>
      </c>
      <c r="E434" s="326">
        <f t="shared" si="188"/>
        <v>1.0001657407762767</v>
      </c>
      <c r="F434" s="327">
        <f t="shared" si="189"/>
        <v>1.8205377658427096E-2</v>
      </c>
      <c r="G434" s="326">
        <f t="shared" si="190"/>
        <v>1</v>
      </c>
      <c r="H434" s="327">
        <f t="shared" si="191"/>
        <v>0</v>
      </c>
      <c r="I434" s="325">
        <f t="shared" si="192"/>
        <v>68862.533443136868</v>
      </c>
      <c r="J434" s="328">
        <f t="shared" si="193"/>
        <v>1.5707818051101714</v>
      </c>
      <c r="K434" s="336">
        <f t="shared" si="213"/>
        <v>5.588009318961225</v>
      </c>
      <c r="L434" s="337">
        <f t="shared" si="214"/>
        <v>1.3908725258702694</v>
      </c>
      <c r="M434" s="325">
        <f t="shared" si="194"/>
        <v>1.0323289118336909</v>
      </c>
      <c r="N434" s="337">
        <f t="shared" si="195"/>
        <v>0.25092356041610803</v>
      </c>
      <c r="O434" s="343">
        <f t="shared" si="196"/>
        <v>1.0320338947346341</v>
      </c>
      <c r="P434" s="691">
        <f t="shared" si="197"/>
        <v>0.2498059031733996</v>
      </c>
      <c r="Q434" s="336">
        <f t="shared" si="212"/>
        <v>4.5183702148434239</v>
      </c>
      <c r="R434" s="692">
        <f t="shared" si="198"/>
        <v>0.40463561769482398</v>
      </c>
      <c r="S434" s="329">
        <f t="shared" si="199"/>
        <v>0.98619323990651564</v>
      </c>
      <c r="T434" s="330">
        <f t="shared" si="200"/>
        <v>0.25960765670336761</v>
      </c>
      <c r="U434" s="331">
        <f t="shared" si="201"/>
        <v>-10.256760519318998</v>
      </c>
      <c r="V434" s="332">
        <f t="shared" si="202"/>
        <v>-135.29480448589621</v>
      </c>
      <c r="W434" s="334">
        <f t="shared" si="203"/>
        <v>44.705195514103792</v>
      </c>
      <c r="Y434" s="307">
        <f t="shared" si="204"/>
        <v>43906</v>
      </c>
      <c r="Z434" s="307">
        <f t="shared" si="205"/>
        <v>1927736836</v>
      </c>
      <c r="AB434" s="333">
        <f t="shared" si="206"/>
        <v>15.616345097891717</v>
      </c>
      <c r="AC434" s="334">
        <f t="shared" si="207"/>
        <v>-24.684903416132506</v>
      </c>
      <c r="AE434" s="333">
        <f t="shared" si="208"/>
        <v>-1.0061487654466414</v>
      </c>
      <c r="AF434" s="334">
        <f t="shared" si="209"/>
        <v>-101.738811874334</v>
      </c>
      <c r="AH434">
        <f t="shared" si="210"/>
        <v>0</v>
      </c>
      <c r="AI434">
        <f t="shared" si="215"/>
        <v>0</v>
      </c>
    </row>
    <row r="435" spans="1:35" x14ac:dyDescent="0.25">
      <c r="A435" s="335">
        <v>44160</v>
      </c>
      <c r="B435" s="352">
        <f t="shared" si="211"/>
        <v>44.16</v>
      </c>
      <c r="C435" s="325">
        <f t="shared" si="186"/>
        <v>27.545549165463839</v>
      </c>
      <c r="D435" s="326">
        <f t="shared" si="187"/>
        <v>1.5344848420687107</v>
      </c>
      <c r="E435" s="326">
        <f t="shared" si="188"/>
        <v>1.000167663811357</v>
      </c>
      <c r="F435" s="327">
        <f t="shared" si="189"/>
        <v>1.8310673867825613E-2</v>
      </c>
      <c r="G435" s="326">
        <f t="shared" si="190"/>
        <v>1</v>
      </c>
      <c r="H435" s="327">
        <f t="shared" si="191"/>
        <v>0</v>
      </c>
      <c r="I435" s="325">
        <f t="shared" si="192"/>
        <v>69260.909143288984</v>
      </c>
      <c r="J435" s="328">
        <f t="shared" si="193"/>
        <v>1.570781888636166</v>
      </c>
      <c r="K435" s="336">
        <f t="shared" si="213"/>
        <v>5.6193040499103732</v>
      </c>
      <c r="L435" s="337">
        <f t="shared" si="214"/>
        <v>1.3918854094079052</v>
      </c>
      <c r="M435" s="325">
        <f t="shared" si="194"/>
        <v>1.0326981049422657</v>
      </c>
      <c r="N435" s="337">
        <f t="shared" si="195"/>
        <v>0.25231450892777091</v>
      </c>
      <c r="O435" s="343">
        <f t="shared" si="196"/>
        <v>1.0323997708005386</v>
      </c>
      <c r="P435" s="691">
        <f t="shared" si="197"/>
        <v>0.2511911860566568</v>
      </c>
      <c r="Q435" s="336">
        <f t="shared" si="212"/>
        <v>4.5223985955391983</v>
      </c>
      <c r="R435" s="692">
        <f t="shared" si="198"/>
        <v>0.4067304356628838</v>
      </c>
      <c r="S435" s="329">
        <f t="shared" si="199"/>
        <v>0.98604496314969003</v>
      </c>
      <c r="T435" s="330">
        <f t="shared" si="200"/>
        <v>0.26118468605125117</v>
      </c>
      <c r="U435" s="331">
        <f t="shared" si="201"/>
        <v>-10.314838354723154</v>
      </c>
      <c r="V435" s="332">
        <f t="shared" si="202"/>
        <v>-135.45347343570816</v>
      </c>
      <c r="W435" s="334">
        <f t="shared" si="203"/>
        <v>44.546526564291838</v>
      </c>
      <c r="Y435" s="307">
        <f t="shared" si="204"/>
        <v>44160</v>
      </c>
      <c r="Z435" s="307">
        <f t="shared" si="205"/>
        <v>1950105600</v>
      </c>
      <c r="AB435" s="333">
        <f t="shared" si="206"/>
        <v>15.61164367186054</v>
      </c>
      <c r="AC435" s="334">
        <f t="shared" si="207"/>
        <v>-24.706569729237717</v>
      </c>
      <c r="AE435" s="333">
        <f t="shared" si="208"/>
        <v>-1.0548634375561394</v>
      </c>
      <c r="AF435" s="334">
        <f t="shared" si="209"/>
        <v>-101.83516114521865</v>
      </c>
      <c r="AH435">
        <f t="shared" si="210"/>
        <v>0</v>
      </c>
      <c r="AI435">
        <f t="shared" si="215"/>
        <v>0</v>
      </c>
    </row>
    <row r="436" spans="1:35" x14ac:dyDescent="0.25">
      <c r="A436" s="335">
        <v>44414</v>
      </c>
      <c r="B436" s="352">
        <f t="shared" si="211"/>
        <v>44.414000000000001</v>
      </c>
      <c r="C436" s="325">
        <f t="shared" si="186"/>
        <v>27.703777759901467</v>
      </c>
      <c r="D436" s="326">
        <f t="shared" si="187"/>
        <v>1.534692323523092</v>
      </c>
      <c r="E436" s="326">
        <f t="shared" si="188"/>
        <v>1.0001695979355456</v>
      </c>
      <c r="F436" s="327">
        <f t="shared" si="189"/>
        <v>1.8415969671148748E-2</v>
      </c>
      <c r="G436" s="326">
        <f t="shared" si="190"/>
        <v>1</v>
      </c>
      <c r="H436" s="327">
        <f t="shared" si="191"/>
        <v>0</v>
      </c>
      <c r="I436" s="325">
        <f t="shared" si="192"/>
        <v>69659.284843441579</v>
      </c>
      <c r="J436" s="328">
        <f t="shared" si="193"/>
        <v>1.5707819712068041</v>
      </c>
      <c r="K436" s="336">
        <f t="shared" si="213"/>
        <v>5.6506044820289922</v>
      </c>
      <c r="L436" s="337">
        <f t="shared" si="214"/>
        <v>1.3928870726182765</v>
      </c>
      <c r="M436" s="325">
        <f t="shared" si="194"/>
        <v>1.0330692946205364</v>
      </c>
      <c r="N436" s="337">
        <f t="shared" si="195"/>
        <v>0.25370446057019741</v>
      </c>
      <c r="O436" s="343">
        <f t="shared" si="196"/>
        <v>1.0327676266445951</v>
      </c>
      <c r="P436" s="691">
        <f t="shared" si="197"/>
        <v>0.25257548476217734</v>
      </c>
      <c r="Q436" s="336">
        <f t="shared" si="212"/>
        <v>4.5264465976352009</v>
      </c>
      <c r="R436" s="692">
        <f t="shared" si="198"/>
        <v>0.40882153388711906</v>
      </c>
      <c r="S436" s="329">
        <f t="shared" si="199"/>
        <v>0.98589611098302921</v>
      </c>
      <c r="T436" s="330">
        <f t="shared" si="200"/>
        <v>0.26276301209073499</v>
      </c>
      <c r="U436" s="331">
        <f t="shared" si="201"/>
        <v>-10.372628751390447</v>
      </c>
      <c r="V436" s="332">
        <f t="shared" si="202"/>
        <v>-135.61250831190418</v>
      </c>
      <c r="W436" s="334">
        <f t="shared" si="203"/>
        <v>44.387491688095821</v>
      </c>
      <c r="Y436" s="307">
        <f t="shared" si="204"/>
        <v>44414</v>
      </c>
      <c r="Z436" s="307">
        <f t="shared" si="205"/>
        <v>1972603396</v>
      </c>
      <c r="AB436" s="333">
        <f t="shared" si="206"/>
        <v>15.606953295159567</v>
      </c>
      <c r="AC436" s="334">
        <f t="shared" si="207"/>
        <v>-24.728821748602734</v>
      </c>
      <c r="AE436" s="333">
        <f t="shared" si="208"/>
        <v>-1.1032865198065436</v>
      </c>
      <c r="AF436" s="334">
        <f t="shared" si="209"/>
        <v>-101.93144737261912</v>
      </c>
      <c r="AH436">
        <f t="shared" si="210"/>
        <v>0</v>
      </c>
      <c r="AI436">
        <f t="shared" si="215"/>
        <v>0</v>
      </c>
    </row>
    <row r="437" spans="1:35" x14ac:dyDescent="0.25">
      <c r="A437" s="335">
        <v>44668</v>
      </c>
      <c r="B437" s="352">
        <f t="shared" si="211"/>
        <v>44.667999999999999</v>
      </c>
      <c r="C437" s="325">
        <f t="shared" si="186"/>
        <v>27.862007533400977</v>
      </c>
      <c r="D437" s="326">
        <f t="shared" si="187"/>
        <v>1.5348974483905231</v>
      </c>
      <c r="E437" s="326">
        <f t="shared" si="188"/>
        <v>1.0001715431487779</v>
      </c>
      <c r="F437" s="327">
        <f t="shared" si="189"/>
        <v>1.852126506606399E-2</v>
      </c>
      <c r="G437" s="326">
        <f t="shared" si="190"/>
        <v>1</v>
      </c>
      <c r="H437" s="327">
        <f t="shared" si="191"/>
        <v>0</v>
      </c>
      <c r="I437" s="325">
        <f t="shared" si="192"/>
        <v>70057.660543594655</v>
      </c>
      <c r="J437" s="328">
        <f t="shared" si="193"/>
        <v>1.5707820528383831</v>
      </c>
      <c r="K437" s="336">
        <f t="shared" si="213"/>
        <v>5.6819105210975058</v>
      </c>
      <c r="L437" s="337">
        <f t="shared" si="214"/>
        <v>1.3938776989389758</v>
      </c>
      <c r="M437" s="325">
        <f t="shared" si="194"/>
        <v>1.0334424787171321</v>
      </c>
      <c r="N437" s="337">
        <f t="shared" si="195"/>
        <v>0.25509341104977462</v>
      </c>
      <c r="O437" s="343">
        <f t="shared" si="196"/>
        <v>1.033137460152062</v>
      </c>
      <c r="P437" s="691">
        <f t="shared" si="197"/>
        <v>0.2539587950386597</v>
      </c>
      <c r="Q437" s="336">
        <f t="shared" si="212"/>
        <v>4.5305141685413126</v>
      </c>
      <c r="R437" s="692">
        <f t="shared" si="198"/>
        <v>0.41090890433678401</v>
      </c>
      <c r="S437" s="329">
        <f t="shared" si="199"/>
        <v>0.98574668836476442</v>
      </c>
      <c r="T437" s="330">
        <f t="shared" si="200"/>
        <v>0.26434264209397201</v>
      </c>
      <c r="U437" s="331">
        <f t="shared" si="201"/>
        <v>-10.430135402828418</v>
      </c>
      <c r="V437" s="332">
        <f t="shared" si="202"/>
        <v>-135.77190089868355</v>
      </c>
      <c r="W437" s="334">
        <f t="shared" si="203"/>
        <v>44.228099101316445</v>
      </c>
      <c r="Y437" s="307">
        <f t="shared" si="204"/>
        <v>44668</v>
      </c>
      <c r="Z437" s="307">
        <f t="shared" si="205"/>
        <v>1995230224</v>
      </c>
      <c r="AB437" s="333">
        <f t="shared" si="206"/>
        <v>15.602273412662919</v>
      </c>
      <c r="AC437" s="334">
        <f t="shared" si="207"/>
        <v>-24.751648718955572</v>
      </c>
      <c r="AE437" s="333">
        <f t="shared" si="208"/>
        <v>-1.1514213052778364</v>
      </c>
      <c r="AF437" s="334">
        <f t="shared" si="209"/>
        <v>-102.02767331255298</v>
      </c>
      <c r="AH437">
        <f t="shared" si="210"/>
        <v>0</v>
      </c>
      <c r="AI437">
        <f t="shared" si="215"/>
        <v>0</v>
      </c>
    </row>
    <row r="438" spans="1:35" x14ac:dyDescent="0.25">
      <c r="A438" s="335">
        <v>44928.25</v>
      </c>
      <c r="B438" s="352">
        <f t="shared" si="211"/>
        <v>44.928249999999998</v>
      </c>
      <c r="C438" s="325">
        <f t="shared" si="186"/>
        <v>28.02413195810416</v>
      </c>
      <c r="D438" s="326">
        <f t="shared" si="187"/>
        <v>1.5351052180654901</v>
      </c>
      <c r="E438" s="326">
        <f t="shared" si="188"/>
        <v>1.0001735477281322</v>
      </c>
      <c r="F438" s="327">
        <f t="shared" si="189"/>
        <v>1.8629150964927493E-2</v>
      </c>
      <c r="G438" s="326">
        <f t="shared" si="190"/>
        <v>1</v>
      </c>
      <c r="H438" s="327">
        <f t="shared" si="191"/>
        <v>0</v>
      </c>
      <c r="I438" s="325">
        <f t="shared" si="192"/>
        <v>70465.838795425196</v>
      </c>
      <c r="J438" s="328">
        <f t="shared" si="193"/>
        <v>1.570782135521265</v>
      </c>
      <c r="K438" s="336">
        <f t="shared" si="213"/>
        <v>5.7139926051549805</v>
      </c>
      <c r="L438" s="337">
        <f t="shared" si="214"/>
        <v>1.3948814409969337</v>
      </c>
      <c r="M438" s="325">
        <f t="shared" si="194"/>
        <v>1.033826911869641</v>
      </c>
      <c r="N438" s="337">
        <f t="shared" si="195"/>
        <v>0.25651549557498671</v>
      </c>
      <c r="O438" s="343">
        <f t="shared" si="196"/>
        <v>1.0335184429298623</v>
      </c>
      <c r="P438" s="691">
        <f t="shared" si="197"/>
        <v>0.255375113827705</v>
      </c>
      <c r="Q438" s="336">
        <f t="shared" si="212"/>
        <v>4.5347020692595041</v>
      </c>
      <c r="R438" s="692">
        <f t="shared" si="198"/>
        <v>0.41304376252283415</v>
      </c>
      <c r="S438" s="329">
        <f t="shared" si="199"/>
        <v>0.98559300254802384</v>
      </c>
      <c r="T438" s="330">
        <f t="shared" si="200"/>
        <v>0.26596250103131713</v>
      </c>
      <c r="U438" s="331">
        <f t="shared" si="201"/>
        <v>-10.488766564029586</v>
      </c>
      <c r="V438" s="332">
        <f t="shared" si="202"/>
        <v>-135.93557816820677</v>
      </c>
      <c r="W438" s="334">
        <f t="shared" si="203"/>
        <v>44.064421831793226</v>
      </c>
      <c r="Y438" s="307">
        <f t="shared" si="204"/>
        <v>44928.25</v>
      </c>
      <c r="Z438" s="307">
        <f t="shared" si="205"/>
        <v>2018547648.0625</v>
      </c>
      <c r="AB438" s="333">
        <f t="shared" si="206"/>
        <v>15.59748869688611</v>
      </c>
      <c r="AC438" s="334">
        <f t="shared" si="207"/>
        <v>-24.775622714127888</v>
      </c>
      <c r="AE438" s="333">
        <f t="shared" si="208"/>
        <v>-1.2004448708101507</v>
      </c>
      <c r="AF438" s="334">
        <f t="shared" si="209"/>
        <v>-102.12620731199455</v>
      </c>
      <c r="AH438">
        <f t="shared" si="210"/>
        <v>0</v>
      </c>
      <c r="AI438">
        <f t="shared" si="215"/>
        <v>0</v>
      </c>
    </row>
    <row r="439" spans="1:35" x14ac:dyDescent="0.25">
      <c r="A439" s="335">
        <v>45188.5</v>
      </c>
      <c r="B439" s="352">
        <f t="shared" si="211"/>
        <v>45.188499999999998</v>
      </c>
      <c r="C439" s="325">
        <f t="shared" si="186"/>
        <v>28.186257578642973</v>
      </c>
      <c r="D439" s="326">
        <f t="shared" si="187"/>
        <v>1.5353105975924468</v>
      </c>
      <c r="E439" s="326">
        <f t="shared" si="188"/>
        <v>1.000175563948827</v>
      </c>
      <c r="F439" s="327">
        <f t="shared" si="189"/>
        <v>1.8737036430079512E-2</v>
      </c>
      <c r="G439" s="326">
        <f t="shared" si="190"/>
        <v>1</v>
      </c>
      <c r="H439" s="327">
        <f t="shared" si="191"/>
        <v>0</v>
      </c>
      <c r="I439" s="325">
        <f t="shared" si="192"/>
        <v>70874.017047256188</v>
      </c>
      <c r="J439" s="328">
        <f t="shared" si="193"/>
        <v>1.5707822172517707</v>
      </c>
      <c r="K439" s="336">
        <f t="shared" si="213"/>
        <v>5.7460803817616153</v>
      </c>
      <c r="L439" s="337">
        <f t="shared" si="214"/>
        <v>1.3958739736730188</v>
      </c>
      <c r="M439" s="325">
        <f t="shared" si="194"/>
        <v>1.0342134341987548</v>
      </c>
      <c r="N439" s="337">
        <f t="shared" si="195"/>
        <v>0.25793652000509465</v>
      </c>
      <c r="O439" s="343">
        <f t="shared" si="196"/>
        <v>1.033901497372864</v>
      </c>
      <c r="P439" s="691">
        <f t="shared" si="197"/>
        <v>0.25679038597836473</v>
      </c>
      <c r="Q439" s="336">
        <f t="shared" si="212"/>
        <v>4.5389104016828625</v>
      </c>
      <c r="R439" s="692">
        <f t="shared" si="198"/>
        <v>0.4151746906607181</v>
      </c>
      <c r="S439" s="329">
        <f t="shared" si="199"/>
        <v>0.98543872850233183</v>
      </c>
      <c r="T439" s="330">
        <f t="shared" si="200"/>
        <v>0.26758374433125615</v>
      </c>
      <c r="U439" s="331">
        <f t="shared" si="201"/>
        <v>-10.547107468899338</v>
      </c>
      <c r="V439" s="332">
        <f t="shared" si="202"/>
        <v>-136.09961408483943</v>
      </c>
      <c r="W439" s="334">
        <f t="shared" si="203"/>
        <v>43.90038591516057</v>
      </c>
      <c r="Y439" s="307">
        <f t="shared" si="204"/>
        <v>45188.5</v>
      </c>
      <c r="Z439" s="307">
        <f t="shared" si="205"/>
        <v>2042000532.25</v>
      </c>
      <c r="AB439" s="333">
        <f t="shared" si="206"/>
        <v>15.59271386994623</v>
      </c>
      <c r="AC439" s="334">
        <f t="shared" si="207"/>
        <v>-24.800178166030651</v>
      </c>
      <c r="AE439" s="333">
        <f t="shared" si="208"/>
        <v>-1.2491726017137215</v>
      </c>
      <c r="AF439" s="334">
        <f t="shared" si="209"/>
        <v>-102.22468370902642</v>
      </c>
      <c r="AH439">
        <f t="shared" si="210"/>
        <v>0</v>
      </c>
      <c r="AI439">
        <f t="shared" si="215"/>
        <v>0</v>
      </c>
    </row>
    <row r="440" spans="1:35" x14ac:dyDescent="0.25">
      <c r="A440" s="335">
        <v>45448.75</v>
      </c>
      <c r="B440" s="352">
        <f t="shared" si="211"/>
        <v>45.448749999999997</v>
      </c>
      <c r="C440" s="325">
        <f t="shared" si="186"/>
        <v>28.348384374500302</v>
      </c>
      <c r="D440" s="326">
        <f t="shared" si="187"/>
        <v>1.5355136279622901</v>
      </c>
      <c r="E440" s="326">
        <f t="shared" si="188"/>
        <v>1.0001775918107918</v>
      </c>
      <c r="F440" s="327">
        <f t="shared" si="189"/>
        <v>1.8844921459011257E-2</v>
      </c>
      <c r="G440" s="326">
        <f t="shared" si="190"/>
        <v>1</v>
      </c>
      <c r="H440" s="327">
        <f t="shared" si="191"/>
        <v>0</v>
      </c>
      <c r="I440" s="325">
        <f t="shared" si="192"/>
        <v>71282.195299087674</v>
      </c>
      <c r="J440" s="328">
        <f t="shared" si="193"/>
        <v>1.5707822980462611</v>
      </c>
      <c r="K440" s="336">
        <f t="shared" si="213"/>
        <v>5.7781737560805713</v>
      </c>
      <c r="L440" s="337">
        <f t="shared" si="214"/>
        <v>1.3968554817740837</v>
      </c>
      <c r="M440" s="325">
        <f t="shared" si="194"/>
        <v>1.0346020433629541</v>
      </c>
      <c r="N440" s="337">
        <f t="shared" si="195"/>
        <v>0.25935647979248683</v>
      </c>
      <c r="O440" s="343">
        <f t="shared" si="196"/>
        <v>1.0342866211793047</v>
      </c>
      <c r="P440" s="691">
        <f t="shared" si="197"/>
        <v>0.25820460698712044</v>
      </c>
      <c r="Q440" s="336">
        <f t="shared" si="212"/>
        <v>4.543139109038747</v>
      </c>
      <c r="R440" s="692">
        <f t="shared" si="198"/>
        <v>0.41730168062428974</v>
      </c>
      <c r="S440" s="329">
        <f t="shared" si="199"/>
        <v>0.98528387166554787</v>
      </c>
      <c r="T440" s="330">
        <f t="shared" si="200"/>
        <v>0.26920637979671058</v>
      </c>
      <c r="U440" s="331">
        <f t="shared" si="201"/>
        <v>-10.605161864946806</v>
      </c>
      <c r="V440" s="332">
        <f t="shared" si="202"/>
        <v>-136.26400038856983</v>
      </c>
      <c r="W440" s="334">
        <f t="shared" si="203"/>
        <v>43.735999611430174</v>
      </c>
      <c r="Y440" s="307">
        <f t="shared" si="204"/>
        <v>45448.75</v>
      </c>
      <c r="Z440" s="307">
        <f t="shared" si="205"/>
        <v>2065588876.5625</v>
      </c>
      <c r="AB440" s="333">
        <f t="shared" si="206"/>
        <v>15.587948386089074</v>
      </c>
      <c r="AC440" s="334">
        <f t="shared" si="207"/>
        <v>-24.825304226389616</v>
      </c>
      <c r="AE440" s="333">
        <f t="shared" si="208"/>
        <v>-1.2976078654775269</v>
      </c>
      <c r="AF440" s="334">
        <f t="shared" si="209"/>
        <v>-102.32310529947225</v>
      </c>
      <c r="AH440">
        <f t="shared" si="210"/>
        <v>0</v>
      </c>
      <c r="AI440">
        <f t="shared" si="215"/>
        <v>0</v>
      </c>
    </row>
    <row r="441" spans="1:35" x14ac:dyDescent="0.25">
      <c r="A441" s="335">
        <v>45709</v>
      </c>
      <c r="B441" s="352">
        <f t="shared" si="211"/>
        <v>45.709000000000003</v>
      </c>
      <c r="C441" s="325">
        <f t="shared" si="186"/>
        <v>28.510512325625584</v>
      </c>
      <c r="D441" s="326">
        <f t="shared" si="187"/>
        <v>1.5357143492343048</v>
      </c>
      <c r="E441" s="326">
        <f t="shared" si="188"/>
        <v>1.0001796313139559</v>
      </c>
      <c r="F441" s="327">
        <f t="shared" si="189"/>
        <v>1.8952806049214004E-2</v>
      </c>
      <c r="G441" s="326">
        <f t="shared" si="190"/>
        <v>1</v>
      </c>
      <c r="H441" s="327">
        <f t="shared" si="191"/>
        <v>0</v>
      </c>
      <c r="I441" s="325">
        <f t="shared" si="192"/>
        <v>71690.373550919627</v>
      </c>
      <c r="J441" s="328">
        <f t="shared" si="193"/>
        <v>1.5707823779207242</v>
      </c>
      <c r="K441" s="336">
        <f t="shared" si="213"/>
        <v>5.8102726353539911</v>
      </c>
      <c r="L441" s="337">
        <f t="shared" si="214"/>
        <v>1.3978261461091539</v>
      </c>
      <c r="M441" s="325">
        <f t="shared" si="194"/>
        <v>1.0349927370116045</v>
      </c>
      <c r="N441" s="337">
        <f t="shared" si="195"/>
        <v>0.26077537041353638</v>
      </c>
      <c r="O441" s="343">
        <f t="shared" si="196"/>
        <v>1.0346738120384245</v>
      </c>
      <c r="P441" s="691">
        <f t="shared" si="197"/>
        <v>0.25961777237395928</v>
      </c>
      <c r="Q441" s="336">
        <f t="shared" si="212"/>
        <v>4.5473881344913369</v>
      </c>
      <c r="R441" s="692">
        <f t="shared" si="198"/>
        <v>0.41942472445871415</v>
      </c>
      <c r="S441" s="329">
        <f t="shared" si="199"/>
        <v>0.98512843751091828</v>
      </c>
      <c r="T441" s="330">
        <f t="shared" si="200"/>
        <v>0.2708304152238149</v>
      </c>
      <c r="U441" s="331">
        <f t="shared" si="201"/>
        <v>-10.662933427421939</v>
      </c>
      <c r="V441" s="332">
        <f t="shared" si="202"/>
        <v>-136.4287290044997</v>
      </c>
      <c r="W441" s="334">
        <f t="shared" si="203"/>
        <v>43.571270995500299</v>
      </c>
      <c r="Y441" s="307">
        <f t="shared" si="204"/>
        <v>45709</v>
      </c>
      <c r="Z441" s="307">
        <f t="shared" si="205"/>
        <v>2089312681</v>
      </c>
      <c r="AB441" s="333">
        <f t="shared" si="206"/>
        <v>15.583191715776472</v>
      </c>
      <c r="AC441" s="334">
        <f t="shared" si="207"/>
        <v>-24.850990277342024</v>
      </c>
      <c r="AE441" s="333">
        <f t="shared" si="208"/>
        <v>-1.3457539733005877</v>
      </c>
      <c r="AF441" s="334">
        <f t="shared" si="209"/>
        <v>-102.42147482538928</v>
      </c>
      <c r="AH441">
        <f t="shared" si="210"/>
        <v>0</v>
      </c>
      <c r="AI441">
        <f t="shared" si="215"/>
        <v>0</v>
      </c>
    </row>
    <row r="442" spans="1:35" x14ac:dyDescent="0.25">
      <c r="A442" s="335">
        <v>45975.25</v>
      </c>
      <c r="B442" s="352">
        <f t="shared" si="211"/>
        <v>45.975250000000003</v>
      </c>
      <c r="C442" s="325">
        <f t="shared" si="186"/>
        <v>28.676379272043008</v>
      </c>
      <c r="D442" s="326">
        <f t="shared" si="187"/>
        <v>1.5359173493455323</v>
      </c>
      <c r="E442" s="326">
        <f t="shared" si="188"/>
        <v>1.000181729884162</v>
      </c>
      <c r="F442" s="327">
        <f t="shared" si="189"/>
        <v>1.9063177435583001E-2</v>
      </c>
      <c r="G442" s="326">
        <f t="shared" si="190"/>
        <v>1</v>
      </c>
      <c r="H442" s="327">
        <f t="shared" si="191"/>
        <v>0</v>
      </c>
      <c r="I442" s="325">
        <f t="shared" si="192"/>
        <v>72107.962252361991</v>
      </c>
      <c r="J442" s="328">
        <f t="shared" si="193"/>
        <v>1.5707824587008776</v>
      </c>
      <c r="K442" s="336">
        <f t="shared" si="213"/>
        <v>5.8431171486100384</v>
      </c>
      <c r="L442" s="337">
        <f t="shared" si="214"/>
        <v>1.3988081516911437</v>
      </c>
      <c r="M442" s="325">
        <f t="shared" si="194"/>
        <v>1.0353945926702293</v>
      </c>
      <c r="N442" s="337">
        <f t="shared" si="195"/>
        <v>0.26222586209371151</v>
      </c>
      <c r="O442" s="343">
        <f t="shared" si="196"/>
        <v>1.0350720661540325</v>
      </c>
      <c r="P442" s="691">
        <f t="shared" si="197"/>
        <v>0.26106242088745041</v>
      </c>
      <c r="Q442" s="336">
        <f t="shared" si="212"/>
        <v>4.5517560869927802</v>
      </c>
      <c r="R442" s="692">
        <f t="shared" si="198"/>
        <v>0.42159262278881393</v>
      </c>
      <c r="S442" s="329">
        <f t="shared" si="199"/>
        <v>0.98496882816845577</v>
      </c>
      <c r="T442" s="330">
        <f t="shared" si="200"/>
        <v>0.27249334925979607</v>
      </c>
      <c r="U442" s="331">
        <f t="shared" si="201"/>
        <v>-10.721747968073323</v>
      </c>
      <c r="V442" s="332">
        <f t="shared" si="202"/>
        <v>-136.59760140813287</v>
      </c>
      <c r="W442" s="334">
        <f t="shared" si="203"/>
        <v>43.402398591867126</v>
      </c>
      <c r="Y442" s="307">
        <f t="shared" si="204"/>
        <v>45975.25</v>
      </c>
      <c r="Z442" s="307">
        <f t="shared" si="205"/>
        <v>2113723612.5625</v>
      </c>
      <c r="AB442" s="333">
        <f t="shared" si="206"/>
        <v>15.578333966521839</v>
      </c>
      <c r="AC442" s="334">
        <f t="shared" si="207"/>
        <v>-24.877837181921137</v>
      </c>
      <c r="AE442" s="333">
        <f t="shared" si="208"/>
        <v>-1.394714240659948</v>
      </c>
      <c r="AF442" s="334">
        <f t="shared" si="209"/>
        <v>-102.52206116237066</v>
      </c>
      <c r="AH442">
        <f t="shared" si="210"/>
        <v>0</v>
      </c>
      <c r="AI442">
        <f t="shared" si="215"/>
        <v>0</v>
      </c>
    </row>
    <row r="443" spans="1:35" x14ac:dyDescent="0.25">
      <c r="A443" s="335">
        <v>46241.5</v>
      </c>
      <c r="B443" s="352">
        <f t="shared" si="211"/>
        <v>46.241500000000002</v>
      </c>
      <c r="C443" s="325">
        <f t="shared" si="186"/>
        <v>28.842247386594796</v>
      </c>
      <c r="D443" s="326">
        <f t="shared" si="187"/>
        <v>1.5361180146090523</v>
      </c>
      <c r="E443" s="326">
        <f t="shared" si="188"/>
        <v>1.0001838406383736</v>
      </c>
      <c r="F443" s="327">
        <f t="shared" si="189"/>
        <v>1.9173548357448417E-2</v>
      </c>
      <c r="G443" s="326">
        <f t="shared" si="190"/>
        <v>1</v>
      </c>
      <c r="H443" s="327">
        <f t="shared" si="191"/>
        <v>0</v>
      </c>
      <c r="I443" s="325">
        <f t="shared" si="192"/>
        <v>72525.550953804835</v>
      </c>
      <c r="J443" s="328">
        <f t="shared" si="193"/>
        <v>1.5707825385507967</v>
      </c>
      <c r="K443" s="336">
        <f t="shared" si="213"/>
        <v>5.8759672335930135</v>
      </c>
      <c r="L443" s="337">
        <f t="shared" si="214"/>
        <v>1.3997791782325766</v>
      </c>
      <c r="M443" s="325">
        <f t="shared" si="194"/>
        <v>1.0357986250296136</v>
      </c>
      <c r="N443" s="337">
        <f t="shared" si="195"/>
        <v>0.26367522523919285</v>
      </c>
      <c r="O443" s="343">
        <f t="shared" si="196"/>
        <v>1.0354724788103911</v>
      </c>
      <c r="P443" s="691">
        <f t="shared" si="197"/>
        <v>0.26250595513321323</v>
      </c>
      <c r="Q443" s="336">
        <f t="shared" si="212"/>
        <v>4.5561451847127907</v>
      </c>
      <c r="R443" s="692">
        <f t="shared" si="198"/>
        <v>0.42375637464025312</v>
      </c>
      <c r="S443" s="329">
        <f t="shared" si="199"/>
        <v>0.98480862628422894</v>
      </c>
      <c r="T443" s="330">
        <f t="shared" si="200"/>
        <v>0.2741577650384035</v>
      </c>
      <c r="U443" s="331">
        <f t="shared" si="201"/>
        <v>-10.780274041721107</v>
      </c>
      <c r="V443" s="332">
        <f t="shared" si="202"/>
        <v>-136.76681556528433</v>
      </c>
      <c r="W443" s="334">
        <f t="shared" si="203"/>
        <v>43.233184434715668</v>
      </c>
      <c r="Y443" s="307">
        <f t="shared" si="204"/>
        <v>46241.5</v>
      </c>
      <c r="Z443" s="307">
        <f t="shared" si="205"/>
        <v>2138276322.25</v>
      </c>
      <c r="AB443" s="333">
        <f t="shared" si="206"/>
        <v>15.573484370350299</v>
      </c>
      <c r="AC443" s="334">
        <f t="shared" si="207"/>
        <v>-24.905248425614413</v>
      </c>
      <c r="AE443" s="333">
        <f t="shared" si="208"/>
        <v>-1.4433787017988831</v>
      </c>
      <c r="AF443" s="334">
        <f t="shared" si="209"/>
        <v>-102.62259864664544</v>
      </c>
      <c r="AH443">
        <f t="shared" si="210"/>
        <v>0</v>
      </c>
      <c r="AI443">
        <f t="shared" si="215"/>
        <v>0</v>
      </c>
    </row>
    <row r="444" spans="1:35" x14ac:dyDescent="0.25">
      <c r="A444" s="335">
        <v>46507.75</v>
      </c>
      <c r="B444" s="352">
        <f t="shared" si="211"/>
        <v>46.507750000000001</v>
      </c>
      <c r="C444" s="325">
        <f t="shared" si="186"/>
        <v>29.008116649242801</v>
      </c>
      <c r="D444" s="326">
        <f t="shared" si="187"/>
        <v>1.5363163850607477</v>
      </c>
      <c r="E444" s="326">
        <f t="shared" si="188"/>
        <v>1.0001859635765138</v>
      </c>
      <c r="F444" s="327">
        <f t="shared" si="189"/>
        <v>1.9283918812124188E-2</v>
      </c>
      <c r="G444" s="326">
        <f t="shared" si="190"/>
        <v>1</v>
      </c>
      <c r="H444" s="327">
        <f t="shared" si="191"/>
        <v>0</v>
      </c>
      <c r="I444" s="325">
        <f t="shared" si="192"/>
        <v>72943.139655248102</v>
      </c>
      <c r="J444" s="328">
        <f t="shared" si="193"/>
        <v>1.5707826174864579</v>
      </c>
      <c r="K444" s="336">
        <f t="shared" si="213"/>
        <v>5.9088227973749143</v>
      </c>
      <c r="L444" s="337">
        <f t="shared" si="214"/>
        <v>1.4007394070312478</v>
      </c>
      <c r="M444" s="325">
        <f t="shared" si="194"/>
        <v>1.0362048315435701</v>
      </c>
      <c r="N444" s="337">
        <f t="shared" si="195"/>
        <v>0.26512345508443508</v>
      </c>
      <c r="O444" s="343">
        <f t="shared" si="196"/>
        <v>1.035875047504379</v>
      </c>
      <c r="P444" s="691">
        <f t="shared" si="197"/>
        <v>0.26394837039084623</v>
      </c>
      <c r="Q444" s="336">
        <f t="shared" si="212"/>
        <v>4.5605553666064447</v>
      </c>
      <c r="R444" s="692">
        <f t="shared" si="198"/>
        <v>0.42591597204681753</v>
      </c>
      <c r="S444" s="329">
        <f t="shared" si="199"/>
        <v>0.98464783783421339</v>
      </c>
      <c r="T444" s="330">
        <f t="shared" si="200"/>
        <v>0.27582367088460136</v>
      </c>
      <c r="U444" s="331">
        <f t="shared" si="201"/>
        <v>-10.838515360599636</v>
      </c>
      <c r="V444" s="332">
        <f t="shared" si="202"/>
        <v>-136.93636340128037</v>
      </c>
      <c r="W444" s="334">
        <f t="shared" si="203"/>
        <v>43.063636598719626</v>
      </c>
      <c r="Y444" s="307">
        <f t="shared" si="204"/>
        <v>46507.75</v>
      </c>
      <c r="Z444" s="307">
        <f t="shared" si="205"/>
        <v>2162970810.0625</v>
      </c>
      <c r="AB444" s="333">
        <f t="shared" si="206"/>
        <v>15.568642409564236</v>
      </c>
      <c r="AC444" s="334">
        <f t="shared" si="207"/>
        <v>-24.933213348693094</v>
      </c>
      <c r="AE444" s="333">
        <f t="shared" si="208"/>
        <v>-1.491750727581171</v>
      </c>
      <c r="AF444" s="334">
        <f t="shared" si="209"/>
        <v>-102.72309004923999</v>
      </c>
      <c r="AH444">
        <f t="shared" si="210"/>
        <v>0</v>
      </c>
      <c r="AI444">
        <f t="shared" si="215"/>
        <v>0</v>
      </c>
    </row>
    <row r="445" spans="1:35" x14ac:dyDescent="0.25">
      <c r="A445" s="335">
        <v>46774</v>
      </c>
      <c r="B445" s="352">
        <f t="shared" si="211"/>
        <v>46.774000000000001</v>
      </c>
      <c r="C445" s="325">
        <f t="shared" si="186"/>
        <v>29.173987040404455</v>
      </c>
      <c r="D445" s="326">
        <f t="shared" si="187"/>
        <v>1.5365124998267281</v>
      </c>
      <c r="E445" s="326">
        <f t="shared" si="188"/>
        <v>1.0001880986985046</v>
      </c>
      <c r="F445" s="327">
        <f t="shared" si="189"/>
        <v>1.9394288796924303E-2</v>
      </c>
      <c r="G445" s="326">
        <f t="shared" si="190"/>
        <v>1</v>
      </c>
      <c r="H445" s="327">
        <f t="shared" si="191"/>
        <v>0</v>
      </c>
      <c r="I445" s="325">
        <f t="shared" si="192"/>
        <v>73360.728356691849</v>
      </c>
      <c r="J445" s="328">
        <f t="shared" si="193"/>
        <v>1.5707826955234734</v>
      </c>
      <c r="K445" s="336">
        <f t="shared" si="213"/>
        <v>5.9416837490678525</v>
      </c>
      <c r="L445" s="337">
        <f t="shared" si="214"/>
        <v>1.4016890154548791</v>
      </c>
      <c r="M445" s="325">
        <f t="shared" si="194"/>
        <v>1.0366132096562104</v>
      </c>
      <c r="N445" s="337">
        <f t="shared" si="195"/>
        <v>0.26657054689035803</v>
      </c>
      <c r="O445" s="343">
        <f t="shared" si="196"/>
        <v>1.0362797697232966</v>
      </c>
      <c r="P445" s="691">
        <f t="shared" si="197"/>
        <v>0.2653896619658882</v>
      </c>
      <c r="Q445" s="336">
        <f t="shared" si="212"/>
        <v>4.5649865715720406</v>
      </c>
      <c r="R445" s="692">
        <f t="shared" si="198"/>
        <v>0.42807140722650189</v>
      </c>
      <c r="S445" s="329">
        <f t="shared" si="199"/>
        <v>0.98448646883341728</v>
      </c>
      <c r="T445" s="330">
        <f t="shared" si="200"/>
        <v>0.27749107511533305</v>
      </c>
      <c r="U445" s="331">
        <f t="shared" si="201"/>
        <v>-10.896475565474148</v>
      </c>
      <c r="V445" s="332">
        <f t="shared" si="202"/>
        <v>-137.10623702460165</v>
      </c>
      <c r="W445" s="334">
        <f t="shared" si="203"/>
        <v>42.893762975398346</v>
      </c>
      <c r="Y445" s="307">
        <f t="shared" si="204"/>
        <v>46774</v>
      </c>
      <c r="Z445" s="307">
        <f t="shared" si="205"/>
        <v>2187807076</v>
      </c>
      <c r="AB445" s="333">
        <f t="shared" si="206"/>
        <v>15.563807582021328</v>
      </c>
      <c r="AC445" s="334">
        <f t="shared" si="207"/>
        <v>-24.961721518100514</v>
      </c>
      <c r="AE445" s="333">
        <f t="shared" si="208"/>
        <v>-1.5398336326395912</v>
      </c>
      <c r="AF445" s="334">
        <f t="shared" si="209"/>
        <v>-102.82353808859483</v>
      </c>
      <c r="AH445">
        <f t="shared" si="210"/>
        <v>0</v>
      </c>
      <c r="AI445">
        <f t="shared" si="215"/>
        <v>0</v>
      </c>
    </row>
    <row r="446" spans="1:35" x14ac:dyDescent="0.25">
      <c r="A446" s="335">
        <v>47046.25</v>
      </c>
      <c r="B446" s="352">
        <f t="shared" si="211"/>
        <v>47.046250000000001</v>
      </c>
      <c r="C446" s="325">
        <f t="shared" si="186"/>
        <v>29.34359650288328</v>
      </c>
      <c r="D446" s="326">
        <f t="shared" si="187"/>
        <v>1.5367107414097838</v>
      </c>
      <c r="E446" s="326">
        <f t="shared" si="188"/>
        <v>1.0001902945346322</v>
      </c>
      <c r="F446" s="327">
        <f t="shared" si="189"/>
        <v>1.9507145503973141E-2</v>
      </c>
      <c r="G446" s="326">
        <f t="shared" si="190"/>
        <v>1</v>
      </c>
      <c r="H446" s="327">
        <f t="shared" si="191"/>
        <v>0</v>
      </c>
      <c r="I446" s="325">
        <f t="shared" si="192"/>
        <v>73787.727507746051</v>
      </c>
      <c r="J446" s="328">
        <f t="shared" si="193"/>
        <v>1.5707827744057148</v>
      </c>
      <c r="K446" s="336">
        <f t="shared" si="213"/>
        <v>5.9752907080453905</v>
      </c>
      <c r="L446" s="337">
        <f t="shared" si="214"/>
        <v>1.4026492222134181</v>
      </c>
      <c r="M446" s="325">
        <f t="shared" si="194"/>
        <v>1.0370330335392681</v>
      </c>
      <c r="N446" s="337">
        <f t="shared" si="195"/>
        <v>0.26804906750911428</v>
      </c>
      <c r="O446" s="343">
        <f t="shared" si="196"/>
        <v>1.0366958366821273</v>
      </c>
      <c r="P446" s="691">
        <f t="shared" si="197"/>
        <v>0.26686226653594181</v>
      </c>
      <c r="Q446" s="336">
        <f t="shared" si="212"/>
        <v>4.5695393100133659</v>
      </c>
      <c r="R446" s="692">
        <f t="shared" si="198"/>
        <v>0.43027110369915833</v>
      </c>
      <c r="S446" s="329">
        <f t="shared" si="199"/>
        <v>0.98432086933319807</v>
      </c>
      <c r="T446" s="330">
        <f t="shared" si="200"/>
        <v>0.27919761272352056</v>
      </c>
      <c r="U446" s="331">
        <f t="shared" si="201"/>
        <v>-10.955454948032266</v>
      </c>
      <c r="V446" s="332">
        <f t="shared" si="202"/>
        <v>-137.28026763396983</v>
      </c>
      <c r="W446" s="334">
        <f t="shared" si="203"/>
        <v>42.719732366030172</v>
      </c>
      <c r="Y446" s="307">
        <f t="shared" si="204"/>
        <v>47046.25</v>
      </c>
      <c r="Z446" s="307">
        <f t="shared" si="205"/>
        <v>2213349639.0625</v>
      </c>
      <c r="AB446" s="333">
        <f t="shared" si="206"/>
        <v>15.558870669416272</v>
      </c>
      <c r="AC446" s="334">
        <f t="shared" si="207"/>
        <v>-24.991423234407542</v>
      </c>
      <c r="AE446" s="333">
        <f t="shared" si="208"/>
        <v>-1.5887045245878029</v>
      </c>
      <c r="AF446" s="334">
        <f t="shared" si="209"/>
        <v>-102.92620768427109</v>
      </c>
      <c r="AH446">
        <f t="shared" si="210"/>
        <v>0</v>
      </c>
      <c r="AI446">
        <f t="shared" si="215"/>
        <v>0</v>
      </c>
    </row>
    <row r="447" spans="1:35" x14ac:dyDescent="0.25">
      <c r="A447" s="335">
        <v>47318.5</v>
      </c>
      <c r="B447" s="352">
        <f t="shared" si="211"/>
        <v>47.3185</v>
      </c>
      <c r="C447" s="325">
        <f t="shared" si="186"/>
        <v>29.513207105302762</v>
      </c>
      <c r="D447" s="326">
        <f t="shared" si="187"/>
        <v>1.5369067044358771</v>
      </c>
      <c r="E447" s="326">
        <f t="shared" si="188"/>
        <v>1.0001925031097638</v>
      </c>
      <c r="F447" s="327">
        <f t="shared" si="189"/>
        <v>1.96200017140503E-2</v>
      </c>
      <c r="G447" s="326">
        <f t="shared" si="190"/>
        <v>1</v>
      </c>
      <c r="H447" s="327">
        <f t="shared" si="191"/>
        <v>0</v>
      </c>
      <c r="I447" s="325">
        <f t="shared" si="192"/>
        <v>74214.72665880069</v>
      </c>
      <c r="J447" s="328">
        <f t="shared" si="193"/>
        <v>1.5707828523802481</v>
      </c>
      <c r="K447" s="336">
        <f t="shared" si="213"/>
        <v>6.0089031145958263</v>
      </c>
      <c r="L447" s="337">
        <f t="shared" si="214"/>
        <v>1.4035986874926289</v>
      </c>
      <c r="M447" s="325">
        <f t="shared" si="194"/>
        <v>1.0374551225629849</v>
      </c>
      <c r="N447" s="337">
        <f t="shared" si="195"/>
        <v>0.26952638828175601</v>
      </c>
      <c r="O447" s="343">
        <f t="shared" si="196"/>
        <v>1.0371141499758056</v>
      </c>
      <c r="P447" s="691">
        <f t="shared" si="197"/>
        <v>0.26833368636364074</v>
      </c>
      <c r="Q447" s="336">
        <f t="shared" si="212"/>
        <v>4.574113900340298</v>
      </c>
      <c r="R447" s="692">
        <f t="shared" si="198"/>
        <v>0.43246643236668014</v>
      </c>
      <c r="S447" s="329">
        <f t="shared" si="199"/>
        <v>0.98415467566694459</v>
      </c>
      <c r="T447" s="330">
        <f t="shared" si="200"/>
        <v>0.28090573457167062</v>
      </c>
      <c r="U447" s="331">
        <f t="shared" si="201"/>
        <v>-11.014147882062641</v>
      </c>
      <c r="V447" s="332">
        <f t="shared" si="202"/>
        <v>-137.45462275762077</v>
      </c>
      <c r="W447" s="334">
        <f t="shared" si="203"/>
        <v>42.545377242379232</v>
      </c>
      <c r="Y447" s="307">
        <f t="shared" si="204"/>
        <v>47318.5</v>
      </c>
      <c r="Z447" s="307">
        <f t="shared" si="205"/>
        <v>2239040442.25</v>
      </c>
      <c r="AB447" s="333">
        <f t="shared" si="206"/>
        <v>15.553940200903815</v>
      </c>
      <c r="AC447" s="334">
        <f t="shared" si="207"/>
        <v>-25.021671594020159</v>
      </c>
      <c r="AE447" s="333">
        <f t="shared" si="208"/>
        <v>-1.6372799532321669</v>
      </c>
      <c r="AF447" s="334">
        <f t="shared" si="209"/>
        <v>-103.02883752698794</v>
      </c>
      <c r="AH447">
        <f t="shared" si="210"/>
        <v>0</v>
      </c>
      <c r="AI447">
        <f t="shared" si="215"/>
        <v>0</v>
      </c>
    </row>
    <row r="448" spans="1:35" x14ac:dyDescent="0.25">
      <c r="A448" s="335">
        <v>47590.75</v>
      </c>
      <c r="B448" s="352">
        <f t="shared" si="211"/>
        <v>47.59075</v>
      </c>
      <c r="C448" s="325">
        <f t="shared" si="186"/>
        <v>29.682818828121697</v>
      </c>
      <c r="D448" s="326">
        <f t="shared" si="187"/>
        <v>1.5371004279497935</v>
      </c>
      <c r="E448" s="326">
        <f t="shared" si="188"/>
        <v>1.000194724423815</v>
      </c>
      <c r="F448" s="327">
        <f t="shared" si="189"/>
        <v>1.9732857424284277E-2</v>
      </c>
      <c r="G448" s="326">
        <f t="shared" si="190"/>
        <v>1</v>
      </c>
      <c r="H448" s="327">
        <f t="shared" si="191"/>
        <v>0</v>
      </c>
      <c r="I448" s="325">
        <f t="shared" si="192"/>
        <v>74641.725809855794</v>
      </c>
      <c r="J448" s="328">
        <f t="shared" si="193"/>
        <v>1.5707829294626514</v>
      </c>
      <c r="K448" s="336">
        <f t="shared" si="213"/>
        <v>6.0425208778103965</v>
      </c>
      <c r="L448" s="337">
        <f t="shared" si="214"/>
        <v>1.4045375888479312</v>
      </c>
      <c r="M448" s="325">
        <f t="shared" si="194"/>
        <v>1.0378794739637711</v>
      </c>
      <c r="N448" s="337">
        <f t="shared" si="195"/>
        <v>0.27100250422766992</v>
      </c>
      <c r="O448" s="343">
        <f t="shared" si="196"/>
        <v>1.0375347068872993</v>
      </c>
      <c r="P448" s="691">
        <f t="shared" si="197"/>
        <v>0.26980391651437341</v>
      </c>
      <c r="Q448" s="336">
        <f t="shared" si="212"/>
        <v>4.5787102770625054</v>
      </c>
      <c r="R448" s="692">
        <f t="shared" si="198"/>
        <v>0.43465738550053512</v>
      </c>
      <c r="S448" s="329">
        <f t="shared" si="199"/>
        <v>0.98398789439259249</v>
      </c>
      <c r="T448" s="330">
        <f t="shared" si="200"/>
        <v>0.28261544952473855</v>
      </c>
      <c r="U448" s="331">
        <f t="shared" si="201"/>
        <v>-11.072558039763749</v>
      </c>
      <c r="V448" s="332">
        <f t="shared" si="202"/>
        <v>-137.6292945230133</v>
      </c>
      <c r="W448" s="334">
        <f t="shared" si="203"/>
        <v>42.3707054769867</v>
      </c>
      <c r="Y448" s="307">
        <f t="shared" si="204"/>
        <v>47590.75</v>
      </c>
      <c r="Z448" s="307">
        <f t="shared" si="205"/>
        <v>2264879485.5625</v>
      </c>
      <c r="AB448" s="333">
        <f t="shared" si="206"/>
        <v>15.549015686843568</v>
      </c>
      <c r="AC448" s="334">
        <f t="shared" si="207"/>
        <v>-25.052456139286608</v>
      </c>
      <c r="AE448" s="333">
        <f t="shared" si="208"/>
        <v>-1.6855632882069396</v>
      </c>
      <c r="AF448" s="334">
        <f t="shared" si="209"/>
        <v>-103.13143036193587</v>
      </c>
      <c r="AH448">
        <f t="shared" si="210"/>
        <v>0</v>
      </c>
      <c r="AI448">
        <f t="shared" si="215"/>
        <v>0</v>
      </c>
    </row>
    <row r="449" spans="1:35" x14ac:dyDescent="0.25">
      <c r="A449" s="335">
        <v>47863</v>
      </c>
      <c r="B449" s="352">
        <f t="shared" si="211"/>
        <v>47.863</v>
      </c>
      <c r="C449" s="325">
        <f t="shared" si="186"/>
        <v>29.852431652242856</v>
      </c>
      <c r="D449" s="326">
        <f t="shared" si="187"/>
        <v>1.5372919501096356</v>
      </c>
      <c r="E449" s="326">
        <f t="shared" si="188"/>
        <v>1.000196958476701</v>
      </c>
      <c r="F449" s="327">
        <f t="shared" si="189"/>
        <v>1.9845712631803666E-2</v>
      </c>
      <c r="G449" s="326">
        <f t="shared" si="190"/>
        <v>1</v>
      </c>
      <c r="H449" s="327">
        <f t="shared" si="191"/>
        <v>0</v>
      </c>
      <c r="I449" s="325">
        <f t="shared" si="192"/>
        <v>75068.724960911321</v>
      </c>
      <c r="J449" s="328">
        <f t="shared" si="193"/>
        <v>1.5707830056681484</v>
      </c>
      <c r="K449" s="336">
        <f t="shared" si="213"/>
        <v>6.0761439087779072</v>
      </c>
      <c r="L449" s="337">
        <f t="shared" si="214"/>
        <v>1.405466099980095</v>
      </c>
      <c r="M449" s="325">
        <f t="shared" si="194"/>
        <v>1.0383060849677543</v>
      </c>
      <c r="N449" s="337">
        <f t="shared" si="195"/>
        <v>0.27247741039536477</v>
      </c>
      <c r="O449" s="343">
        <f t="shared" si="196"/>
        <v>1.0379575046894187</v>
      </c>
      <c r="P449" s="691">
        <f t="shared" si="197"/>
        <v>0.27127295208207691</v>
      </c>
      <c r="Q449" s="336">
        <f t="shared" si="212"/>
        <v>4.5833283746410993</v>
      </c>
      <c r="R449" s="692">
        <f t="shared" si="198"/>
        <v>0.43684395556950234</v>
      </c>
      <c r="S449" s="329">
        <f t="shared" si="199"/>
        <v>0.98382053211104736</v>
      </c>
      <c r="T449" s="330">
        <f t="shared" si="200"/>
        <v>0.28432676643822075</v>
      </c>
      <c r="U449" s="331">
        <f t="shared" si="201"/>
        <v>-11.130689022785766</v>
      </c>
      <c r="V449" s="332">
        <f t="shared" si="202"/>
        <v>-137.80427523843403</v>
      </c>
      <c r="W449" s="334">
        <f t="shared" si="203"/>
        <v>42.19572476156597</v>
      </c>
      <c r="Y449" s="307">
        <f t="shared" si="204"/>
        <v>47863</v>
      </c>
      <c r="Z449" s="307">
        <f t="shared" si="205"/>
        <v>2290866769</v>
      </c>
      <c r="AB449" s="333">
        <f t="shared" si="206"/>
        <v>15.544096652484797</v>
      </c>
      <c r="AC449" s="334">
        <f t="shared" si="207"/>
        <v>-25.083766635058588</v>
      </c>
      <c r="AE449" s="333">
        <f t="shared" si="208"/>
        <v>-1.7335578430912846</v>
      </c>
      <c r="AF449" s="334">
        <f t="shared" si="209"/>
        <v>-103.23398888296019</v>
      </c>
      <c r="AH449">
        <f t="shared" si="210"/>
        <v>0</v>
      </c>
      <c r="AI449">
        <f t="shared" si="215"/>
        <v>0</v>
      </c>
    </row>
    <row r="450" spans="1:35" x14ac:dyDescent="0.25">
      <c r="A450" s="335">
        <v>48141.75</v>
      </c>
      <c r="B450" s="352">
        <f t="shared" si="211"/>
        <v>48.141750000000002</v>
      </c>
      <c r="C450" s="325">
        <f t="shared" si="186"/>
        <v>30.026095123574606</v>
      </c>
      <c r="D450" s="326">
        <f t="shared" si="187"/>
        <v>1.5374858030102092</v>
      </c>
      <c r="E450" s="326">
        <f t="shared" si="188"/>
        <v>1.0001992590664441</v>
      </c>
      <c r="F450" s="327">
        <f t="shared" si="189"/>
        <v>1.9961261746496498E-2</v>
      </c>
      <c r="G450" s="326">
        <f t="shared" si="190"/>
        <v>1</v>
      </c>
      <c r="H450" s="327">
        <f t="shared" si="191"/>
        <v>0</v>
      </c>
      <c r="I450" s="325">
        <f t="shared" si="192"/>
        <v>75505.918765711511</v>
      </c>
      <c r="J450" s="328">
        <f t="shared" si="193"/>
        <v>1.5707830828000366</v>
      </c>
      <c r="K450" s="336">
        <f t="shared" si="213"/>
        <v>6.1105750605633826</v>
      </c>
      <c r="L450" s="337">
        <f t="shared" si="214"/>
        <v>1.406406191598365</v>
      </c>
      <c r="M450" s="325">
        <f t="shared" si="194"/>
        <v>1.0387452196204701</v>
      </c>
      <c r="N450" s="337">
        <f t="shared" si="195"/>
        <v>0.27398627152828481</v>
      </c>
      <c r="O450" s="343">
        <f t="shared" si="196"/>
        <v>1.0383927157604695</v>
      </c>
      <c r="P450" s="691">
        <f t="shared" si="197"/>
        <v>0.27277581824429858</v>
      </c>
      <c r="Q450" s="336">
        <f t="shared" si="212"/>
        <v>4.5880791662658549</v>
      </c>
      <c r="R450" s="692">
        <f t="shared" si="198"/>
        <v>0.43907818130746773</v>
      </c>
      <c r="S450" s="329">
        <f t="shared" si="199"/>
        <v>0.98364857899444924</v>
      </c>
      <c r="T450" s="330">
        <f t="shared" si="200"/>
        <v>0.28608061026496978</v>
      </c>
      <c r="U450" s="331">
        <f t="shared" si="201"/>
        <v>-11.189922326575761</v>
      </c>
      <c r="V450" s="332">
        <f t="shared" si="202"/>
        <v>-137.98374589332116</v>
      </c>
      <c r="W450" s="334">
        <f t="shared" si="203"/>
        <v>42.016254106678844</v>
      </c>
      <c r="Y450" s="307">
        <f t="shared" si="204"/>
        <v>48141.75</v>
      </c>
      <c r="Z450" s="307">
        <f t="shared" si="205"/>
        <v>2317628093.0625</v>
      </c>
      <c r="AB450" s="333">
        <f t="shared" si="206"/>
        <v>15.539065372449786</v>
      </c>
      <c r="AC450" s="334">
        <f t="shared" si="207"/>
        <v>-25.116359147132634</v>
      </c>
      <c r="AE450" s="333">
        <f t="shared" si="208"/>
        <v>-1.7824024720700193</v>
      </c>
      <c r="AF450" s="334">
        <f t="shared" si="209"/>
        <v>-103.3389632087288</v>
      </c>
      <c r="AH450">
        <f t="shared" si="210"/>
        <v>0</v>
      </c>
      <c r="AI450">
        <f t="shared" si="215"/>
        <v>0</v>
      </c>
    </row>
    <row r="451" spans="1:35" x14ac:dyDescent="0.25">
      <c r="A451" s="335">
        <v>48420.5</v>
      </c>
      <c r="B451" s="352">
        <f t="shared" si="211"/>
        <v>48.420499999999997</v>
      </c>
      <c r="C451" s="325">
        <f t="shared" si="186"/>
        <v>30.199759710278251</v>
      </c>
      <c r="D451" s="326">
        <f t="shared" si="187"/>
        <v>1.5376774264045558</v>
      </c>
      <c r="E451" s="326">
        <f t="shared" si="188"/>
        <v>1.0002015730103839</v>
      </c>
      <c r="F451" s="327">
        <f t="shared" si="189"/>
        <v>2.0076810328091499E-2</v>
      </c>
      <c r="G451" s="326">
        <f t="shared" si="190"/>
        <v>1</v>
      </c>
      <c r="H451" s="327">
        <f t="shared" si="191"/>
        <v>0</v>
      </c>
      <c r="I451" s="325">
        <f t="shared" si="192"/>
        <v>75943.112570512152</v>
      </c>
      <c r="J451" s="328">
        <f t="shared" si="193"/>
        <v>1.5707831590438501</v>
      </c>
      <c r="K451" s="336">
        <f t="shared" si="213"/>
        <v>6.1450115521852222</v>
      </c>
      <c r="L451" s="337">
        <f t="shared" si="214"/>
        <v>1.4073357475304866</v>
      </c>
      <c r="M451" s="325">
        <f t="shared" si="194"/>
        <v>1.0391867171430582</v>
      </c>
      <c r="N451" s="337">
        <f t="shared" si="195"/>
        <v>0.2754938540145026</v>
      </c>
      <c r="O451" s="343">
        <f t="shared" si="196"/>
        <v>1.0388302701840653</v>
      </c>
      <c r="P451" s="691">
        <f t="shared" si="197"/>
        <v>0.27427742178378645</v>
      </c>
      <c r="Q451" s="336">
        <f t="shared" si="212"/>
        <v>4.5928525891108363</v>
      </c>
      <c r="R451" s="692">
        <f t="shared" si="198"/>
        <v>0.44130779684017724</v>
      </c>
      <c r="S451" s="329">
        <f t="shared" si="199"/>
        <v>0.98347603093953373</v>
      </c>
      <c r="T451" s="330">
        <f t="shared" si="200"/>
        <v>0.28783615221653663</v>
      </c>
      <c r="U451" s="331">
        <f t="shared" si="201"/>
        <v>-11.248870388391124</v>
      </c>
      <c r="V451" s="332">
        <f t="shared" si="202"/>
        <v>-138.16352466889887</v>
      </c>
      <c r="W451" s="334">
        <f t="shared" si="203"/>
        <v>41.836475331101127</v>
      </c>
      <c r="Y451" s="307">
        <f t="shared" si="204"/>
        <v>48420.5</v>
      </c>
      <c r="Z451" s="307">
        <f t="shared" si="205"/>
        <v>2344544820.25</v>
      </c>
      <c r="AB451" s="333">
        <f t="shared" si="206"/>
        <v>15.534038875385045</v>
      </c>
      <c r="AC451" s="334">
        <f t="shared" si="207"/>
        <v>-25.149481997615414</v>
      </c>
      <c r="AE451" s="333">
        <f t="shared" si="208"/>
        <v>-1.8309512227621474</v>
      </c>
      <c r="AF451" s="334">
        <f t="shared" si="209"/>
        <v>-103.44390711912958</v>
      </c>
      <c r="AH451">
        <f t="shared" si="210"/>
        <v>0</v>
      </c>
      <c r="AI451">
        <f t="shared" si="215"/>
        <v>0</v>
      </c>
    </row>
    <row r="452" spans="1:35" x14ac:dyDescent="0.25">
      <c r="A452" s="335">
        <v>48699.25</v>
      </c>
      <c r="B452" s="352">
        <f t="shared" si="211"/>
        <v>48.699249999999999</v>
      </c>
      <c r="C452" s="325">
        <f t="shared" si="186"/>
        <v>30.373425393221869</v>
      </c>
      <c r="D452" s="326">
        <f t="shared" si="187"/>
        <v>1.5378668585213247</v>
      </c>
      <c r="E452" s="326">
        <f t="shared" si="188"/>
        <v>1.000203900308428</v>
      </c>
      <c r="F452" s="327">
        <f t="shared" si="189"/>
        <v>2.01923583735069E-2</v>
      </c>
      <c r="G452" s="326">
        <f t="shared" si="190"/>
        <v>1</v>
      </c>
      <c r="H452" s="327">
        <f t="shared" si="191"/>
        <v>0</v>
      </c>
      <c r="I452" s="325">
        <f t="shared" si="192"/>
        <v>76380.30637531323</v>
      </c>
      <c r="J452" s="328">
        <f t="shared" si="193"/>
        <v>1.5707832344148385</v>
      </c>
      <c r="K452" s="336">
        <f t="shared" si="213"/>
        <v>6.1794532943708571</v>
      </c>
      <c r="L452" s="337">
        <f t="shared" si="214"/>
        <v>1.4082549423212722</v>
      </c>
      <c r="M452" s="325">
        <f t="shared" si="194"/>
        <v>1.0396305745252155</v>
      </c>
      <c r="N452" s="337">
        <f t="shared" si="195"/>
        <v>0.27700015263451727</v>
      </c>
      <c r="O452" s="343">
        <f t="shared" si="196"/>
        <v>1.0392701650004048</v>
      </c>
      <c r="P452" s="691">
        <f t="shared" si="197"/>
        <v>0.27577775752793304</v>
      </c>
      <c r="Q452" s="336">
        <f t="shared" si="212"/>
        <v>4.5976485726936458</v>
      </c>
      <c r="R452" s="692">
        <f t="shared" si="198"/>
        <v>0.4435327947199077</v>
      </c>
      <c r="S452" s="329">
        <f t="shared" si="199"/>
        <v>0.98330289517189307</v>
      </c>
      <c r="T452" s="330">
        <f t="shared" si="200"/>
        <v>0.28959340176594467</v>
      </c>
      <c r="U452" s="331">
        <f t="shared" si="201"/>
        <v>-11.307536855605417</v>
      </c>
      <c r="V452" s="332">
        <f t="shared" si="202"/>
        <v>-138.34360386923098</v>
      </c>
      <c r="W452" s="334">
        <f t="shared" si="203"/>
        <v>41.656396130769025</v>
      </c>
      <c r="Y452" s="307">
        <f t="shared" si="204"/>
        <v>48699.25</v>
      </c>
      <c r="Z452" s="307">
        <f t="shared" si="205"/>
        <v>2371616950.5625</v>
      </c>
      <c r="AB452" s="333">
        <f t="shared" si="206"/>
        <v>15.529016697121843</v>
      </c>
      <c r="AC452" s="334">
        <f t="shared" si="207"/>
        <v>-25.183124887644183</v>
      </c>
      <c r="AE452" s="333">
        <f t="shared" si="208"/>
        <v>-1.8792074773740162</v>
      </c>
      <c r="AF452" s="334">
        <f t="shared" si="209"/>
        <v>-103.5488233474436</v>
      </c>
      <c r="AH452">
        <f t="shared" si="210"/>
        <v>0</v>
      </c>
      <c r="AI452">
        <f t="shared" si="215"/>
        <v>0</v>
      </c>
    </row>
    <row r="453" spans="1:35" x14ac:dyDescent="0.25">
      <c r="A453" s="335">
        <v>48978</v>
      </c>
      <c r="B453" s="352">
        <f t="shared" si="211"/>
        <v>48.978000000000002</v>
      </c>
      <c r="C453" s="325">
        <f t="shared" si="186"/>
        <v>30.547092153708505</v>
      </c>
      <c r="D453" s="326">
        <f t="shared" si="187"/>
        <v>1.5380541367204494</v>
      </c>
      <c r="E453" s="326">
        <f t="shared" si="188"/>
        <v>1.0002062409604828</v>
      </c>
      <c r="F453" s="327">
        <f t="shared" si="189"/>
        <v>2.0307905879661005E-2</v>
      </c>
      <c r="G453" s="326">
        <f t="shared" si="190"/>
        <v>1</v>
      </c>
      <c r="H453" s="327">
        <f t="shared" si="191"/>
        <v>0</v>
      </c>
      <c r="I453" s="325">
        <f t="shared" si="192"/>
        <v>76817.50018011473</v>
      </c>
      <c r="J453" s="328">
        <f t="shared" si="193"/>
        <v>1.5707833089279042</v>
      </c>
      <c r="K453" s="336">
        <f t="shared" si="213"/>
        <v>6.2139001998134953</v>
      </c>
      <c r="L453" s="337">
        <f t="shared" si="214"/>
        <v>1.4091639467160832</v>
      </c>
      <c r="M453" s="325">
        <f t="shared" si="194"/>
        <v>1.0400767887457001</v>
      </c>
      <c r="N453" s="337">
        <f t="shared" si="195"/>
        <v>0.27850516220101779</v>
      </c>
      <c r="O453" s="343">
        <f t="shared" si="196"/>
        <v>1.0397123972388784</v>
      </c>
      <c r="P453" s="691">
        <f t="shared" si="197"/>
        <v>0.27727682033569218</v>
      </c>
      <c r="Q453" s="336">
        <f t="shared" si="212"/>
        <v>4.6024670464932553</v>
      </c>
      <c r="R453" s="692">
        <f t="shared" si="198"/>
        <v>0.44575316771097995</v>
      </c>
      <c r="S453" s="329">
        <f t="shared" si="199"/>
        <v>0.98312917896467944</v>
      </c>
      <c r="T453" s="330">
        <f t="shared" si="200"/>
        <v>0.29135236837500611</v>
      </c>
      <c r="U453" s="331">
        <f t="shared" si="201"/>
        <v>-11.36592530558813</v>
      </c>
      <c r="V453" s="332">
        <f t="shared" si="202"/>
        <v>-138.5239759778232</v>
      </c>
      <c r="W453" s="334">
        <f t="shared" si="203"/>
        <v>41.476024022176802</v>
      </c>
      <c r="Y453" s="307">
        <f t="shared" si="204"/>
        <v>48978</v>
      </c>
      <c r="Z453" s="307">
        <f t="shared" si="205"/>
        <v>2398844484</v>
      </c>
      <c r="AB453" s="333">
        <f t="shared" si="206"/>
        <v>15.523998387816537</v>
      </c>
      <c r="AC453" s="334">
        <f t="shared" si="207"/>
        <v>-25.217277737873161</v>
      </c>
      <c r="AE453" s="333">
        <f t="shared" si="208"/>
        <v>-1.9271745619443874</v>
      </c>
      <c r="AF453" s="334">
        <f t="shared" si="209"/>
        <v>-103.65371457653589</v>
      </c>
      <c r="AH453">
        <f t="shared" si="210"/>
        <v>0</v>
      </c>
      <c r="AI453">
        <f t="shared" si="215"/>
        <v>0</v>
      </c>
    </row>
    <row r="454" spans="1:35" x14ac:dyDescent="0.25">
      <c r="A454" s="335">
        <v>49263.25</v>
      </c>
      <c r="B454" s="352">
        <f t="shared" si="211"/>
        <v>49.263249999999999</v>
      </c>
      <c r="C454" s="325">
        <f t="shared" si="186"/>
        <v>30.724809639153616</v>
      </c>
      <c r="D454" s="326">
        <f t="shared" si="187"/>
        <v>1.5382435901945091</v>
      </c>
      <c r="E454" s="326">
        <f t="shared" si="188"/>
        <v>1.0002086500173997</v>
      </c>
      <c r="F454" s="327">
        <f t="shared" si="189"/>
        <v>2.0426147205639553E-2</v>
      </c>
      <c r="G454" s="326">
        <f t="shared" si="190"/>
        <v>1</v>
      </c>
      <c r="H454" s="327">
        <f t="shared" si="191"/>
        <v>0</v>
      </c>
      <c r="I454" s="325">
        <f t="shared" si="192"/>
        <v>77264.888638660923</v>
      </c>
      <c r="J454" s="328">
        <f t="shared" si="193"/>
        <v>1.5707833843055248</v>
      </c>
      <c r="K454" s="336">
        <f t="shared" si="213"/>
        <v>6.2491556076603381</v>
      </c>
      <c r="L454" s="337">
        <f t="shared" si="214"/>
        <v>1.4100837722823873</v>
      </c>
      <c r="M454" s="325">
        <f t="shared" si="194"/>
        <v>1.0405358447136164</v>
      </c>
      <c r="N454" s="337">
        <f t="shared" si="195"/>
        <v>0.28004392629097558</v>
      </c>
      <c r="O454" s="343">
        <f t="shared" si="196"/>
        <v>1.0401673583237452</v>
      </c>
      <c r="P454" s="691">
        <f t="shared" si="197"/>
        <v>0.27880951573094936</v>
      </c>
      <c r="Q454" s="336">
        <f t="shared" si="212"/>
        <v>4.6074210886967588</v>
      </c>
      <c r="R454" s="692">
        <f t="shared" si="198"/>
        <v>0.44802052097454242</v>
      </c>
      <c r="S454" s="329">
        <f t="shared" si="199"/>
        <v>0.98295081871425272</v>
      </c>
      <c r="T454" s="330">
        <f t="shared" si="200"/>
        <v>0.29315413869035267</v>
      </c>
      <c r="U454" s="331">
        <f t="shared" si="201"/>
        <v>-11.425391123429602</v>
      </c>
      <c r="V454" s="332">
        <f t="shared" si="202"/>
        <v>-138.70884964753373</v>
      </c>
      <c r="W454" s="334">
        <f t="shared" si="203"/>
        <v>41.291150352466275</v>
      </c>
      <c r="Y454" s="307">
        <f t="shared" si="204"/>
        <v>49263.25</v>
      </c>
      <c r="Z454" s="307">
        <f t="shared" si="205"/>
        <v>2426867800.5625</v>
      </c>
      <c r="AB454" s="333">
        <f t="shared" si="206"/>
        <v>15.5188666101953</v>
      </c>
      <c r="AC454" s="334">
        <f t="shared" si="207"/>
        <v>-25.252744621916634</v>
      </c>
      <c r="AE454" s="333">
        <f t="shared" si="208"/>
        <v>-1.9759642108161837</v>
      </c>
      <c r="AF454" s="334">
        <f t="shared" si="209"/>
        <v>-103.76102856691493</v>
      </c>
      <c r="AH454">
        <f t="shared" si="210"/>
        <v>0</v>
      </c>
      <c r="AI454">
        <f t="shared" si="215"/>
        <v>0</v>
      </c>
    </row>
    <row r="455" spans="1:35" x14ac:dyDescent="0.25">
      <c r="A455" s="335">
        <v>49548.5</v>
      </c>
      <c r="B455" s="352">
        <f t="shared" si="211"/>
        <v>49.548499999999997</v>
      </c>
      <c r="C455" s="325">
        <f t="shared" si="186"/>
        <v>30.902528214708461</v>
      </c>
      <c r="D455" s="326">
        <f t="shared" si="187"/>
        <v>1.5384308646042251</v>
      </c>
      <c r="E455" s="326">
        <f t="shared" si="188"/>
        <v>1.0002110730581775</v>
      </c>
      <c r="F455" s="327">
        <f t="shared" si="189"/>
        <v>2.0544387960385026E-2</v>
      </c>
      <c r="G455" s="326">
        <f t="shared" si="190"/>
        <v>1</v>
      </c>
      <c r="H455" s="327">
        <f t="shared" si="191"/>
        <v>0</v>
      </c>
      <c r="I455" s="325">
        <f t="shared" si="192"/>
        <v>77712.277097207538</v>
      </c>
      <c r="J455" s="328">
        <f t="shared" si="193"/>
        <v>1.5707834588152494</v>
      </c>
      <c r="K455" s="336">
        <f t="shared" si="213"/>
        <v>6.2844162434613704</v>
      </c>
      <c r="L455" s="337">
        <f t="shared" si="214"/>
        <v>1.4109932766867483</v>
      </c>
      <c r="M455" s="325">
        <f t="shared" si="194"/>
        <v>1.0409973622806861</v>
      </c>
      <c r="N455" s="337">
        <f t="shared" si="195"/>
        <v>0.28158132962185201</v>
      </c>
      <c r="O455" s="343">
        <f t="shared" si="196"/>
        <v>1.0406247607831884</v>
      </c>
      <c r="P455" s="691">
        <f t="shared" si="197"/>
        <v>0.28034086734067554</v>
      </c>
      <c r="Q455" s="336">
        <f t="shared" si="212"/>
        <v>4.6123985326903991</v>
      </c>
      <c r="R455" s="692">
        <f t="shared" si="198"/>
        <v>0.45028301648864194</v>
      </c>
      <c r="S455" s="329">
        <f t="shared" si="199"/>
        <v>0.98277186620191004</v>
      </c>
      <c r="T455" s="330">
        <f t="shared" si="200"/>
        <v>0.29495772708773693</v>
      </c>
      <c r="U455" s="331">
        <f t="shared" si="201"/>
        <v>-11.484573169721939</v>
      </c>
      <c r="V455" s="332">
        <f t="shared" si="202"/>
        <v>-138.89401467544857</v>
      </c>
      <c r="W455" s="334">
        <f t="shared" si="203"/>
        <v>41.105985324551426</v>
      </c>
      <c r="Y455" s="307">
        <f t="shared" si="204"/>
        <v>49548.5</v>
      </c>
      <c r="Z455" s="307">
        <f t="shared" si="205"/>
        <v>2455053852.25</v>
      </c>
      <c r="AB455" s="333">
        <f t="shared" si="206"/>
        <v>15.513737974896971</v>
      </c>
      <c r="AC455" s="334">
        <f t="shared" si="207"/>
        <v>-25.288724849500639</v>
      </c>
      <c r="AE455" s="333">
        <f t="shared" si="208"/>
        <v>-2.0244579189420837</v>
      </c>
      <c r="AF455" s="334">
        <f t="shared" si="209"/>
        <v>-103.86832190726057</v>
      </c>
      <c r="AH455">
        <f t="shared" si="210"/>
        <v>0</v>
      </c>
      <c r="AI455">
        <f t="shared" si="215"/>
        <v>0</v>
      </c>
    </row>
    <row r="456" spans="1:35" x14ac:dyDescent="0.25">
      <c r="A456" s="335">
        <v>49833.75</v>
      </c>
      <c r="B456" s="352">
        <f t="shared" si="211"/>
        <v>49.833750000000002</v>
      </c>
      <c r="C456" s="325">
        <f t="shared" si="186"/>
        <v>31.080247861673115</v>
      </c>
      <c r="D456" s="326">
        <f t="shared" si="187"/>
        <v>1.5386159973166043</v>
      </c>
      <c r="E456" s="326">
        <f t="shared" si="188"/>
        <v>1.0002135100827143</v>
      </c>
      <c r="F456" s="327">
        <f t="shared" si="189"/>
        <v>2.0662628140595374E-2</v>
      </c>
      <c r="G456" s="326">
        <f t="shared" si="190"/>
        <v>1</v>
      </c>
      <c r="H456" s="327">
        <f t="shared" si="191"/>
        <v>0</v>
      </c>
      <c r="I456" s="325">
        <f t="shared" si="192"/>
        <v>78159.665555754589</v>
      </c>
      <c r="J456" s="328">
        <f t="shared" si="193"/>
        <v>1.5707835324719819</v>
      </c>
      <c r="K456" s="336">
        <f t="shared" si="213"/>
        <v>6.3196820197085568</v>
      </c>
      <c r="L456" s="337">
        <f t="shared" si="214"/>
        <v>1.4118926311975586</v>
      </c>
      <c r="M456" s="325">
        <f t="shared" si="194"/>
        <v>1.0414613381743791</v>
      </c>
      <c r="N456" s="337">
        <f t="shared" si="195"/>
        <v>0.28311736673989213</v>
      </c>
      <c r="O456" s="343">
        <f t="shared" si="196"/>
        <v>1.0410846013993411</v>
      </c>
      <c r="P456" s="691">
        <f t="shared" si="197"/>
        <v>0.28187086975865022</v>
      </c>
      <c r="Q456" s="336">
        <f t="shared" si="212"/>
        <v>4.6173993028020641</v>
      </c>
      <c r="R456" s="692">
        <f t="shared" si="198"/>
        <v>0.45254064718092957</v>
      </c>
      <c r="S456" s="329">
        <f t="shared" si="199"/>
        <v>0.98259232937679164</v>
      </c>
      <c r="T456" s="330">
        <f t="shared" si="200"/>
        <v>0.29676314366855455</v>
      </c>
      <c r="U456" s="331">
        <f t="shared" si="201"/>
        <v>-11.543475061623308</v>
      </c>
      <c r="V456" s="332">
        <f t="shared" si="202"/>
        <v>-139.07946356145456</v>
      </c>
      <c r="W456" s="334">
        <f t="shared" si="203"/>
        <v>40.92053643854544</v>
      </c>
      <c r="Y456" s="307">
        <f t="shared" si="204"/>
        <v>49833.75</v>
      </c>
      <c r="Z456" s="307">
        <f t="shared" si="205"/>
        <v>2483402639.0625</v>
      </c>
      <c r="AB456" s="333">
        <f t="shared" si="206"/>
        <v>15.508612043464778</v>
      </c>
      <c r="AC456" s="334">
        <f t="shared" si="207"/>
        <v>-25.325208296045879</v>
      </c>
      <c r="AE456" s="333">
        <f t="shared" si="208"/>
        <v>-2.0726590760769374</v>
      </c>
      <c r="AF456" s="334">
        <f t="shared" si="209"/>
        <v>-103.97559731750117</v>
      </c>
      <c r="AH456">
        <f t="shared" si="210"/>
        <v>0</v>
      </c>
      <c r="AI456">
        <f t="shared" si="215"/>
        <v>0</v>
      </c>
    </row>
    <row r="457" spans="1:35" x14ac:dyDescent="0.25">
      <c r="A457" s="335">
        <v>50119</v>
      </c>
      <c r="B457" s="352">
        <f t="shared" si="211"/>
        <v>50.119</v>
      </c>
      <c r="C457" s="325">
        <f t="shared" si="186"/>
        <v>31.257968561772824</v>
      </c>
      <c r="D457" s="326">
        <f t="shared" si="187"/>
        <v>1.5387990248494305</v>
      </c>
      <c r="E457" s="326">
        <f t="shared" si="188"/>
        <v>1.0002159610909083</v>
      </c>
      <c r="F457" s="327">
        <f t="shared" si="189"/>
        <v>2.0780867742968639E-2</v>
      </c>
      <c r="G457" s="326">
        <f t="shared" si="190"/>
        <v>1</v>
      </c>
      <c r="H457" s="327">
        <f t="shared" si="191"/>
        <v>0</v>
      </c>
      <c r="I457" s="325">
        <f t="shared" si="192"/>
        <v>78607.054014302048</v>
      </c>
      <c r="J457" s="328">
        <f t="shared" si="193"/>
        <v>1.5707836052902866</v>
      </c>
      <c r="K457" s="336">
        <f t="shared" si="213"/>
        <v>6.3549528508236914</v>
      </c>
      <c r="L457" s="337">
        <f t="shared" si="214"/>
        <v>1.4127820033474738</v>
      </c>
      <c r="M457" s="325">
        <f t="shared" si="194"/>
        <v>1.0419277691105784</v>
      </c>
      <c r="N457" s="337">
        <f t="shared" si="195"/>
        <v>0.28465203222681684</v>
      </c>
      <c r="O457" s="343">
        <f t="shared" si="196"/>
        <v>1.0415468769428811</v>
      </c>
      <c r="P457" s="691">
        <f t="shared" si="197"/>
        <v>0.28339951761344145</v>
      </c>
      <c r="Q457" s="336">
        <f t="shared" si="212"/>
        <v>4.6224233233332566</v>
      </c>
      <c r="R457" s="692">
        <f t="shared" si="198"/>
        <v>0.45479340620597647</v>
      </c>
      <c r="S457" s="329">
        <f t="shared" si="199"/>
        <v>0.9824122162405684</v>
      </c>
      <c r="T457" s="330">
        <f t="shared" si="200"/>
        <v>0.2985703985209428</v>
      </c>
      <c r="U457" s="331">
        <f t="shared" si="201"/>
        <v>-11.602100346984255</v>
      </c>
      <c r="V457" s="332">
        <f t="shared" si="202"/>
        <v>-139.26518898308552</v>
      </c>
      <c r="W457" s="334">
        <f t="shared" si="203"/>
        <v>40.734811016914477</v>
      </c>
      <c r="Y457" s="307">
        <f t="shared" si="204"/>
        <v>50119</v>
      </c>
      <c r="Z457" s="307">
        <f t="shared" si="205"/>
        <v>2511914161</v>
      </c>
      <c r="AB457" s="333">
        <f t="shared" si="206"/>
        <v>15.50348839119118</v>
      </c>
      <c r="AC457" s="334">
        <f t="shared" si="207"/>
        <v>-25.362185053028224</v>
      </c>
      <c r="AE457" s="333">
        <f t="shared" si="208"/>
        <v>-2.1205710158255435</v>
      </c>
      <c r="AF457" s="334">
        <f t="shared" si="209"/>
        <v>-104.08285746814845</v>
      </c>
      <c r="AH457">
        <f t="shared" si="210"/>
        <v>0</v>
      </c>
      <c r="AI457">
        <f t="shared" si="215"/>
        <v>0</v>
      </c>
    </row>
    <row r="458" spans="1:35" x14ac:dyDescent="0.25">
      <c r="A458" s="335">
        <v>50410.75</v>
      </c>
      <c r="B458" s="352">
        <f t="shared" si="211"/>
        <v>50.41075</v>
      </c>
      <c r="C458" s="325">
        <f t="shared" si="186"/>
        <v>31.43974005939625</v>
      </c>
      <c r="D458" s="326">
        <f t="shared" si="187"/>
        <v>1.5389840825511076</v>
      </c>
      <c r="E458" s="326">
        <f t="shared" si="188"/>
        <v>1.0002184824154459</v>
      </c>
      <c r="F458" s="327">
        <f t="shared" si="189"/>
        <v>2.0901801073401498E-2</v>
      </c>
      <c r="G458" s="326">
        <f t="shared" si="190"/>
        <v>1</v>
      </c>
      <c r="H458" s="327">
        <f t="shared" si="191"/>
        <v>0</v>
      </c>
      <c r="I458" s="325">
        <f t="shared" si="192"/>
        <v>79064.637126594229</v>
      </c>
      <c r="J458" s="328">
        <f t="shared" si="193"/>
        <v>1.5707836789154352</v>
      </c>
      <c r="K458" s="336">
        <f t="shared" si="213"/>
        <v>6.3910325411156181</v>
      </c>
      <c r="L458" s="337">
        <f t="shared" si="214"/>
        <v>1.4136814862998486</v>
      </c>
      <c r="M458" s="325">
        <f t="shared" si="194"/>
        <v>1.0424073647815288</v>
      </c>
      <c r="N458" s="337">
        <f t="shared" si="195"/>
        <v>0.28622024370002747</v>
      </c>
      <c r="O458" s="343">
        <f t="shared" si="196"/>
        <v>1.0420222017814806</v>
      </c>
      <c r="P458" s="691">
        <f t="shared" si="197"/>
        <v>0.28496159203442389</v>
      </c>
      <c r="Q458" s="336">
        <f t="shared" si="212"/>
        <v>4.6275857986096209</v>
      </c>
      <c r="R458" s="692">
        <f t="shared" si="198"/>
        <v>0.45709245256916975</v>
      </c>
      <c r="S458" s="329">
        <f t="shared" si="199"/>
        <v>0.98222741109703138</v>
      </c>
      <c r="T458" s="330">
        <f t="shared" si="200"/>
        <v>0.30042074742455016</v>
      </c>
      <c r="U458" s="331">
        <f t="shared" si="201"/>
        <v>-11.661779022603689</v>
      </c>
      <c r="V458" s="332">
        <f t="shared" si="202"/>
        <v>-139.45542514414493</v>
      </c>
      <c r="W458" s="334">
        <f t="shared" si="203"/>
        <v>40.544574855855075</v>
      </c>
      <c r="Y458" s="307">
        <f t="shared" si="204"/>
        <v>50410.75</v>
      </c>
      <c r="Z458" s="307">
        <f t="shared" si="205"/>
        <v>2541243715.5625</v>
      </c>
      <c r="AB458" s="333">
        <f t="shared" si="206"/>
        <v>15.498249915025772</v>
      </c>
      <c r="AC458" s="334">
        <f t="shared" si="207"/>
        <v>-25.400504593366211</v>
      </c>
      <c r="AE458" s="333">
        <f t="shared" si="208"/>
        <v>-2.1692789653476576</v>
      </c>
      <c r="AF458" s="334">
        <f t="shared" si="209"/>
        <v>-104.19254870691339</v>
      </c>
      <c r="AH458">
        <f t="shared" si="210"/>
        <v>0</v>
      </c>
      <c r="AI458">
        <f t="shared" si="215"/>
        <v>0</v>
      </c>
    </row>
    <row r="459" spans="1:35" x14ac:dyDescent="0.25">
      <c r="A459" s="335">
        <v>50702.5</v>
      </c>
      <c r="B459" s="352">
        <f t="shared" si="211"/>
        <v>50.702500000000001</v>
      </c>
      <c r="C459" s="325">
        <f t="shared" si="186"/>
        <v>31.621512621337633</v>
      </c>
      <c r="D459" s="326">
        <f t="shared" si="187"/>
        <v>1.5391670126939396</v>
      </c>
      <c r="E459" s="326">
        <f t="shared" si="188"/>
        <v>1.0002210183679756</v>
      </c>
      <c r="F459" s="327">
        <f t="shared" si="189"/>
        <v>2.1022733792376139E-2</v>
      </c>
      <c r="G459" s="326">
        <f t="shared" si="190"/>
        <v>1</v>
      </c>
      <c r="H459" s="327">
        <f t="shared" si="191"/>
        <v>0</v>
      </c>
      <c r="I459" s="325">
        <f t="shared" si="192"/>
        <v>79522.220238886832</v>
      </c>
      <c r="J459" s="328">
        <f t="shared" si="193"/>
        <v>1.5707837516932832</v>
      </c>
      <c r="K459" s="336">
        <f t="shared" si="213"/>
        <v>6.4271173441409664</v>
      </c>
      <c r="L459" s="337">
        <f t="shared" si="214"/>
        <v>1.4145708697402273</v>
      </c>
      <c r="M459" s="325">
        <f t="shared" si="194"/>
        <v>1.0428895216700824</v>
      </c>
      <c r="N459" s="337">
        <f t="shared" si="195"/>
        <v>0.28778700896767034</v>
      </c>
      <c r="O459" s="343">
        <f t="shared" si="196"/>
        <v>1.0425000669117521</v>
      </c>
      <c r="P459" s="691">
        <f t="shared" si="197"/>
        <v>0.28652223820141831</v>
      </c>
      <c r="Q459" s="336">
        <f t="shared" si="212"/>
        <v>4.6327724357468449</v>
      </c>
      <c r="R459" s="692">
        <f t="shared" si="198"/>
        <v>0.45938638894916611</v>
      </c>
      <c r="S459" s="329">
        <f t="shared" si="199"/>
        <v>0.98204202017865527</v>
      </c>
      <c r="T459" s="330">
        <f t="shared" si="200"/>
        <v>0.30227304063494137</v>
      </c>
      <c r="U459" s="331">
        <f t="shared" si="201"/>
        <v>-11.721175634818016</v>
      </c>
      <c r="V459" s="332">
        <f t="shared" si="202"/>
        <v>-139.64593564251439</v>
      </c>
      <c r="W459" s="334">
        <f t="shared" si="203"/>
        <v>40.354064357485612</v>
      </c>
      <c r="Y459" s="307">
        <f t="shared" si="204"/>
        <v>50702.5</v>
      </c>
      <c r="Z459" s="307">
        <f t="shared" si="205"/>
        <v>2570743506.25</v>
      </c>
      <c r="AB459" s="333">
        <f t="shared" si="206"/>
        <v>15.493012966494442</v>
      </c>
      <c r="AC459" s="334">
        <f t="shared" si="207"/>
        <v>-25.439319883095198</v>
      </c>
      <c r="AE459" s="333">
        <f t="shared" si="208"/>
        <v>-2.2176912461541893</v>
      </c>
      <c r="AF459" s="334">
        <f t="shared" si="209"/>
        <v>-104.30222948114259</v>
      </c>
      <c r="AH459">
        <f t="shared" si="210"/>
        <v>0</v>
      </c>
      <c r="AI459">
        <f t="shared" si="215"/>
        <v>0</v>
      </c>
    </row>
    <row r="460" spans="1:35" x14ac:dyDescent="0.25">
      <c r="A460" s="335">
        <v>50994.25</v>
      </c>
      <c r="B460" s="352">
        <f t="shared" si="211"/>
        <v>50.994250000000001</v>
      </c>
      <c r="C460" s="325">
        <f t="shared" si="186"/>
        <v>31.803286229347556</v>
      </c>
      <c r="D460" s="326">
        <f t="shared" si="187"/>
        <v>1.5393478517461514</v>
      </c>
      <c r="E460" s="326">
        <f t="shared" si="188"/>
        <v>1.0002235689483858</v>
      </c>
      <c r="F460" s="327">
        <f t="shared" si="189"/>
        <v>2.1143665896360016E-2</v>
      </c>
      <c r="G460" s="326">
        <f t="shared" si="190"/>
        <v>1</v>
      </c>
      <c r="H460" s="327">
        <f t="shared" si="191"/>
        <v>0</v>
      </c>
      <c r="I460" s="325">
        <f t="shared" si="192"/>
        <v>79979.803351179857</v>
      </c>
      <c r="J460" s="328">
        <f t="shared" si="193"/>
        <v>1.5707838236383731</v>
      </c>
      <c r="K460" s="336">
        <f t="shared" si="213"/>
        <v>6.4632071742648654</v>
      </c>
      <c r="L460" s="337">
        <f t="shared" si="214"/>
        <v>1.4154503214333403</v>
      </c>
      <c r="M460" s="325">
        <f t="shared" si="194"/>
        <v>1.0433742362255223</v>
      </c>
      <c r="N460" s="337">
        <f t="shared" si="195"/>
        <v>0.28935232234798275</v>
      </c>
      <c r="O460" s="343">
        <f t="shared" si="196"/>
        <v>1.0429804688420188</v>
      </c>
      <c r="P460" s="691">
        <f t="shared" si="197"/>
        <v>0.28808145048055755</v>
      </c>
      <c r="Q460" s="336">
        <f t="shared" si="212"/>
        <v>4.6379831536928542</v>
      </c>
      <c r="R460" s="692">
        <f t="shared" si="198"/>
        <v>0.4616752087489403</v>
      </c>
      <c r="S460" s="329">
        <f t="shared" si="199"/>
        <v>0.98185605221783212</v>
      </c>
      <c r="T460" s="330">
        <f t="shared" si="200"/>
        <v>0.30412728890101765</v>
      </c>
      <c r="U460" s="331">
        <f t="shared" si="201"/>
        <v>-11.780293765781988</v>
      </c>
      <c r="V460" s="332">
        <f t="shared" si="202"/>
        <v>-139.83671319163457</v>
      </c>
      <c r="W460" s="334">
        <f t="shared" si="203"/>
        <v>40.163286808365427</v>
      </c>
      <c r="Y460" s="307">
        <f t="shared" si="204"/>
        <v>50994.25</v>
      </c>
      <c r="Z460" s="307">
        <f t="shared" si="205"/>
        <v>2600413533.0625</v>
      </c>
      <c r="AB460" s="333">
        <f t="shared" si="206"/>
        <v>15.487777132953187</v>
      </c>
      <c r="AC460" s="334">
        <f t="shared" si="207"/>
        <v>-25.478620985296359</v>
      </c>
      <c r="AE460" s="333">
        <f t="shared" si="208"/>
        <v>-2.2658112509266406</v>
      </c>
      <c r="AF460" s="334">
        <f t="shared" si="209"/>
        <v>-104.41190249638049</v>
      </c>
      <c r="AH460">
        <f t="shared" si="210"/>
        <v>0</v>
      </c>
      <c r="AI460">
        <f t="shared" si="215"/>
        <v>0</v>
      </c>
    </row>
    <row r="461" spans="1:35" x14ac:dyDescent="0.25">
      <c r="A461" s="335">
        <v>51286</v>
      </c>
      <c r="B461" s="352">
        <f t="shared" si="211"/>
        <v>51.286000000000001</v>
      </c>
      <c r="C461" s="325">
        <f t="shared" ref="C461:C524" si="216">SQRT(1+(A461/pole1)^2)</f>
        <v>31.985060865591354</v>
      </c>
      <c r="D461" s="326">
        <f t="shared" ref="D461:D524" si="217">ATAN(A461/pole1)</f>
        <v>1.5395266353475106</v>
      </c>
      <c r="E461" s="326">
        <f t="shared" ref="E461:E524" si="218">SQRT(1+(A461/Zero1)^2)</f>
        <v>1.0002261341565646</v>
      </c>
      <c r="F461" s="327">
        <f t="shared" ref="F461:F524" si="219">ATAN(A461/Zero1)</f>
        <v>2.1264597381820679E-2</v>
      </c>
      <c r="G461" s="326">
        <f t="shared" ref="G461:G524" si="220">IF(VIN_nom&gt;Vout, 1, SQRT(1+(A461/z_RHP)^2))</f>
        <v>1</v>
      </c>
      <c r="H461" s="327">
        <f t="shared" ref="H461:H524" si="221">IF(VIN_nom&gt;Vout, 0, -ATAN(A461/z_RHP))</f>
        <v>0</v>
      </c>
      <c r="I461" s="325">
        <f t="shared" ref="I461:I524" si="222">SQRT(1+(A461/Pole2)^2)</f>
        <v>80437.386463473289</v>
      </c>
      <c r="J461" s="328">
        <f t="shared" ref="J461:J524" si="223">ATAN(A461/Pole2)</f>
        <v>1.5707838947649166</v>
      </c>
      <c r="K461" s="336">
        <f t="shared" si="213"/>
        <v>6.4993019477427207</v>
      </c>
      <c r="L461" s="337">
        <f t="shared" si="214"/>
        <v>1.4163200054793335</v>
      </c>
      <c r="M461" s="325">
        <f t="shared" ref="M461:M524" si="224">SQRT(1+(A461/pole4)^2)</f>
        <v>1.0438615048849096</v>
      </c>
      <c r="N461" s="337">
        <f t="shared" ref="N461:N524" si="225">ATAN(A461/pole4)</f>
        <v>0.29091617819818655</v>
      </c>
      <c r="O461" s="343">
        <f t="shared" ref="O461:O524" si="226">IF(VOUT_setting=1,1,SQRT(1+(A461*zterm1)^2))</f>
        <v>1.0434634040685153</v>
      </c>
      <c r="P461" s="691">
        <f t="shared" ref="P461:P524" si="227">IF(VOUT_setting=1,0,ATAN(((A461*zterm1))))</f>
        <v>0.28963922327620983</v>
      </c>
      <c r="Q461" s="336">
        <f t="shared" si="212"/>
        <v>4.6432178713839516</v>
      </c>
      <c r="R461" s="692">
        <f t="shared" ref="R461:R524" si="228">IF(VOUT_setting=1,0,ATAN(A461*$Q$4/(1+Afbr-$Q$5*(A461)^2)))</f>
        <v>0.46395890561328912</v>
      </c>
      <c r="S461" s="329">
        <f t="shared" ref="S461:S524" si="229">SQRT((1-(Z461/pterm2))^2+(A461/pterm1)^2)</f>
        <v>0.9816695160048603</v>
      </c>
      <c r="T461" s="330">
        <f t="shared" ref="T461:T524" si="230">IF((ATAN((A461/pterm1)/(1-A461^2/pterm2))&gt;0),ATAN((A461/pterm1)/(1-A461^2/pterm2)),PI()+ATAN((A461/pterm1)/(1-A461^2/pterm2)))</f>
        <v>0.30598350295603494</v>
      </c>
      <c r="U461" s="331">
        <f t="shared" ref="U461:U524" si="231">20*LOG10(((E461*K461*G461*O461)/(C461*I461*S461*M461*Q461))*Adc)</f>
        <v>-11.839136929178879</v>
      </c>
      <c r="V461" s="332">
        <f t="shared" ref="V461:V524" si="232">((F461+L461+H461+P461)-(D461+J461+T461+N461+R461))*radconv</f>
        <v>-140.0277506804274</v>
      </c>
      <c r="W461" s="334">
        <f t="shared" ref="W461:W524" si="233">IF(V461&gt;0,V461,V461+180)</f>
        <v>39.972249319572597</v>
      </c>
      <c r="Y461" s="307">
        <f t="shared" ref="Y461:Y524" si="234">IF(U461&lt;0,A461,1000000000)</f>
        <v>51286</v>
      </c>
      <c r="Z461" s="307">
        <f t="shared" ref="Z461:Z524" si="235">A461^2</f>
        <v>2630253796</v>
      </c>
      <c r="AB461" s="333">
        <f t="shared" ref="AB461:AB524" si="236">20*LOG10((K461/(I461*M461))*AEA)</f>
        <v>15.482542014925315</v>
      </c>
      <c r="AC461" s="334">
        <f t="shared" ref="AC461:AC524" si="237">(L461-(J461+N461))*radconv</f>
        <v>-25.518398175230818</v>
      </c>
      <c r="AE461" s="333">
        <f t="shared" ref="AE461:AE524" si="238">20*LOG10((E461*G461/(C461*S461))*Acs*Am)</f>
        <v>-2.3136423163362334</v>
      </c>
      <c r="AF461" s="334">
        <f t="shared" ref="AF461:AF524" si="239">(F461+H461-(D461+T461))*radconv</f>
        <v>-104.52157040980805</v>
      </c>
      <c r="AH461">
        <f t="shared" ref="AH461:AH524" si="240">SUM((U462&lt;0)*(U461&gt;0))*A461</f>
        <v>0</v>
      </c>
      <c r="AI461">
        <f t="shared" si="215"/>
        <v>0</v>
      </c>
    </row>
    <row r="462" spans="1:35" x14ac:dyDescent="0.25">
      <c r="A462" s="335">
        <v>51584.75</v>
      </c>
      <c r="B462" s="352">
        <f t="shared" ref="B462:B525" si="241">A462/1000</f>
        <v>51.58475</v>
      </c>
      <c r="C462" s="325">
        <f t="shared" si="216"/>
        <v>32.171197894336053</v>
      </c>
      <c r="D462" s="326">
        <f t="shared" si="217"/>
        <v>1.5397076148943161</v>
      </c>
      <c r="E462" s="326">
        <f t="shared" si="218"/>
        <v>1.0002287760704656</v>
      </c>
      <c r="F462" s="327">
        <f t="shared" si="219"/>
        <v>2.1388429749273311E-2</v>
      </c>
      <c r="G462" s="326">
        <f t="shared" si="220"/>
        <v>1</v>
      </c>
      <c r="H462" s="327">
        <f t="shared" si="221"/>
        <v>0</v>
      </c>
      <c r="I462" s="325">
        <f t="shared" si="222"/>
        <v>80905.948433645652</v>
      </c>
      <c r="J462" s="328">
        <f t="shared" si="223"/>
        <v>1.570783966764276</v>
      </c>
      <c r="K462" s="336">
        <f t="shared" si="213"/>
        <v>6.5362677854896951</v>
      </c>
      <c r="L462" s="337">
        <f t="shared" si="214"/>
        <v>1.4172006016537806</v>
      </c>
      <c r="M462" s="325">
        <f t="shared" si="224"/>
        <v>1.0443631076779485</v>
      </c>
      <c r="N462" s="337">
        <f t="shared" si="225"/>
        <v>0.29251603960929451</v>
      </c>
      <c r="O462" s="343">
        <f t="shared" si="226"/>
        <v>1.0439605479553593</v>
      </c>
      <c r="P462" s="691">
        <f t="shared" si="227"/>
        <v>0.2912328744309276</v>
      </c>
      <c r="Q462" s="336">
        <f t="shared" si="212"/>
        <v>4.6486029721277262</v>
      </c>
      <c r="R462" s="692">
        <f t="shared" si="228"/>
        <v>0.46629208037815473</v>
      </c>
      <c r="S462" s="329">
        <f t="shared" si="229"/>
        <v>0.98147792457757455</v>
      </c>
      <c r="T462" s="330">
        <f t="shared" si="230"/>
        <v>0.30788630172147052</v>
      </c>
      <c r="U462" s="331">
        <f t="shared" si="231"/>
        <v>-11.899110582539363</v>
      </c>
      <c r="V462" s="332">
        <f t="shared" si="232"/>
        <v>-140.22363388074368</v>
      </c>
      <c r="W462" s="334">
        <f t="shared" si="233"/>
        <v>39.776366119256323</v>
      </c>
      <c r="Y462" s="307">
        <f t="shared" si="234"/>
        <v>51584.75</v>
      </c>
      <c r="Z462" s="307">
        <f t="shared" si="235"/>
        <v>2660986432.5625</v>
      </c>
      <c r="AB462" s="333">
        <f t="shared" si="236"/>
        <v>15.477181627525178</v>
      </c>
      <c r="AC462" s="334">
        <f t="shared" si="237"/>
        <v>-25.559613162948473</v>
      </c>
      <c r="AE462" s="333">
        <f t="shared" si="238"/>
        <v>-2.3623250059135446</v>
      </c>
      <c r="AF462" s="334">
        <f t="shared" si="239"/>
        <v>-104.63386704064652</v>
      </c>
      <c r="AH462">
        <f t="shared" si="240"/>
        <v>0</v>
      </c>
      <c r="AI462">
        <f t="shared" si="215"/>
        <v>0</v>
      </c>
    </row>
    <row r="463" spans="1:35" x14ac:dyDescent="0.25">
      <c r="A463" s="335">
        <v>51883.5</v>
      </c>
      <c r="B463" s="352">
        <f t="shared" si="241"/>
        <v>51.883499999999998</v>
      </c>
      <c r="C463" s="325">
        <f t="shared" si="216"/>
        <v>32.357335964679997</v>
      </c>
      <c r="D463" s="326">
        <f t="shared" si="217"/>
        <v>1.5398865122493266</v>
      </c>
      <c r="E463" s="326">
        <f t="shared" si="218"/>
        <v>1.0002314333222486</v>
      </c>
      <c r="F463" s="327">
        <f t="shared" si="219"/>
        <v>2.1512261460669539E-2</v>
      </c>
      <c r="G463" s="326">
        <f t="shared" si="220"/>
        <v>1</v>
      </c>
      <c r="H463" s="327">
        <f t="shared" si="221"/>
        <v>0</v>
      </c>
      <c r="I463" s="325">
        <f t="shared" si="222"/>
        <v>81374.510403818407</v>
      </c>
      <c r="J463" s="328">
        <f t="shared" si="223"/>
        <v>1.5707840379344775</v>
      </c>
      <c r="K463" s="336">
        <f t="shared" si="213"/>
        <v>6.5732386347729417</v>
      </c>
      <c r="L463" s="337">
        <f t="shared" si="214"/>
        <v>1.418071292759522</v>
      </c>
      <c r="M463" s="325">
        <f t="shared" si="224"/>
        <v>1.0448673810068934</v>
      </c>
      <c r="N463" s="337">
        <f t="shared" si="225"/>
        <v>0.29411436085962012</v>
      </c>
      <c r="O463" s="343">
        <f t="shared" si="226"/>
        <v>1.0444603406859312</v>
      </c>
      <c r="P463" s="691">
        <f t="shared" si="227"/>
        <v>0.29282500444551907</v>
      </c>
      <c r="Q463" s="336">
        <f t="shared" ref="Q463:Q526" si="242">IF(VOUT_setting=1,1,SQRT((1+Afbr-$Q$5*(A463)^2)^2+(A463*$Q$4)^2))</f>
        <v>4.654013066032193</v>
      </c>
      <c r="R463" s="692">
        <f t="shared" si="228"/>
        <v>0.46861987071003269</v>
      </c>
      <c r="S463" s="329">
        <f t="shared" si="229"/>
        <v>0.98128575614471436</v>
      </c>
      <c r="T463" s="330">
        <f t="shared" si="230"/>
        <v>0.30979118446585591</v>
      </c>
      <c r="U463" s="331">
        <f t="shared" si="231"/>
        <v>-11.958803159773455</v>
      </c>
      <c r="V463" s="332">
        <f t="shared" si="232"/>
        <v>-140.41977509708281</v>
      </c>
      <c r="W463" s="334">
        <f t="shared" si="233"/>
        <v>39.580224902917195</v>
      </c>
      <c r="Y463" s="307">
        <f t="shared" si="234"/>
        <v>51883.5</v>
      </c>
      <c r="Z463" s="307">
        <f t="shared" si="235"/>
        <v>2691897572.25</v>
      </c>
      <c r="AB463" s="333">
        <f t="shared" si="236"/>
        <v>15.471821183049375</v>
      </c>
      <c r="AC463" s="334">
        <f t="shared" si="237"/>
        <v>-25.601307377079458</v>
      </c>
      <c r="AE463" s="333">
        <f t="shared" si="238"/>
        <v>-2.4107116315382284</v>
      </c>
      <c r="AF463" s="334">
        <f t="shared" si="239"/>
        <v>-104.74616381147068</v>
      </c>
      <c r="AH463">
        <f t="shared" si="240"/>
        <v>0</v>
      </c>
      <c r="AI463">
        <f t="shared" si="215"/>
        <v>0</v>
      </c>
    </row>
    <row r="464" spans="1:35" x14ac:dyDescent="0.25">
      <c r="A464" s="335">
        <v>52182.25</v>
      </c>
      <c r="B464" s="352">
        <f t="shared" si="241"/>
        <v>52.182250000000003</v>
      </c>
      <c r="C464" s="325">
        <f t="shared" si="216"/>
        <v>32.543475058750346</v>
      </c>
      <c r="D464" s="326">
        <f t="shared" si="217"/>
        <v>1.5400633631295642</v>
      </c>
      <c r="E464" s="326">
        <f t="shared" si="218"/>
        <v>1.0002341059117916</v>
      </c>
      <c r="F464" s="327">
        <f t="shared" si="219"/>
        <v>2.1636092512216865E-2</v>
      </c>
      <c r="G464" s="326">
        <f t="shared" si="220"/>
        <v>1</v>
      </c>
      <c r="H464" s="327">
        <f t="shared" si="221"/>
        <v>0</v>
      </c>
      <c r="I464" s="325">
        <f t="shared" si="222"/>
        <v>81843.072373991585</v>
      </c>
      <c r="J464" s="328">
        <f t="shared" si="223"/>
        <v>1.5707841082897622</v>
      </c>
      <c r="K464" s="336">
        <f t="shared" si="213"/>
        <v>6.6102144115040735</v>
      </c>
      <c r="L464" s="337">
        <f t="shared" si="214"/>
        <v>1.4189322436841496</v>
      </c>
      <c r="M464" s="325">
        <f t="shared" si="224"/>
        <v>1.0453743210070612</v>
      </c>
      <c r="N464" s="337">
        <f t="shared" si="225"/>
        <v>0.29571113601770455</v>
      </c>
      <c r="O464" s="343">
        <f t="shared" si="226"/>
        <v>1.0449627784595032</v>
      </c>
      <c r="P464" s="691">
        <f t="shared" si="227"/>
        <v>0.29441560743671169</v>
      </c>
      <c r="Q464" s="336">
        <f t="shared" si="242"/>
        <v>4.6594480660475535</v>
      </c>
      <c r="R464" s="692">
        <f t="shared" si="228"/>
        <v>0.47094227056242233</v>
      </c>
      <c r="S464" s="329">
        <f t="shared" si="229"/>
        <v>0.98109302033406243</v>
      </c>
      <c r="T464" s="330">
        <f t="shared" si="230"/>
        <v>0.31169816266073525</v>
      </c>
      <c r="U464" s="331">
        <f t="shared" si="231"/>
        <v>-12.018218221511173</v>
      </c>
      <c r="V464" s="332">
        <f t="shared" si="232"/>
        <v>-140.61616723762063</v>
      </c>
      <c r="W464" s="334">
        <f t="shared" si="233"/>
        <v>39.38383276237937</v>
      </c>
      <c r="Y464" s="307">
        <f t="shared" si="234"/>
        <v>52182.25</v>
      </c>
      <c r="Z464" s="307">
        <f t="shared" si="235"/>
        <v>2722987215.0625</v>
      </c>
      <c r="AB464" s="333">
        <f t="shared" si="236"/>
        <v>15.466460292729902</v>
      </c>
      <c r="AC464" s="334">
        <f t="shared" si="237"/>
        <v>-25.643471031229041</v>
      </c>
      <c r="AE464" s="333">
        <f t="shared" si="238"/>
        <v>-2.4588056015431761</v>
      </c>
      <c r="AF464" s="334">
        <f t="shared" si="239"/>
        <v>-104.85846342620354</v>
      </c>
      <c r="AH464">
        <f t="shared" si="240"/>
        <v>0</v>
      </c>
      <c r="AI464">
        <f t="shared" si="215"/>
        <v>0</v>
      </c>
    </row>
    <row r="465" spans="1:35" x14ac:dyDescent="0.25">
      <c r="A465" s="335">
        <v>52481</v>
      </c>
      <c r="B465" s="352">
        <f t="shared" si="241"/>
        <v>52.481000000000002</v>
      </c>
      <c r="C465" s="325">
        <f t="shared" si="216"/>
        <v>32.72961515908078</v>
      </c>
      <c r="D465" s="326">
        <f t="shared" si="217"/>
        <v>1.5402382024400481</v>
      </c>
      <c r="E465" s="326">
        <f t="shared" si="218"/>
        <v>1.0002367938389718</v>
      </c>
      <c r="F465" s="327">
        <f t="shared" si="219"/>
        <v>2.1759922900122915E-2</v>
      </c>
      <c r="G465" s="326">
        <f t="shared" si="220"/>
        <v>1</v>
      </c>
      <c r="H465" s="327">
        <f t="shared" si="221"/>
        <v>0</v>
      </c>
      <c r="I465" s="325">
        <f t="shared" si="222"/>
        <v>82311.63434416517</v>
      </c>
      <c r="J465" s="328">
        <f t="shared" si="223"/>
        <v>1.5707841778440468</v>
      </c>
      <c r="K465" s="336">
        <f t="shared" si="213"/>
        <v>6.6471950334546266</v>
      </c>
      <c r="L465" s="337">
        <f t="shared" si="214"/>
        <v>1.4197836157044459</v>
      </c>
      <c r="M465" s="325">
        <f t="shared" si="224"/>
        <v>1.0458839238008451</v>
      </c>
      <c r="N465" s="337">
        <f t="shared" si="225"/>
        <v>0.29730635919509479</v>
      </c>
      <c r="O465" s="343">
        <f t="shared" si="226"/>
        <v>1.04546785746256</v>
      </c>
      <c r="P465" s="691">
        <f t="shared" si="227"/>
        <v>0.29600467756342014</v>
      </c>
      <c r="Q465" s="336">
        <f t="shared" si="242"/>
        <v>4.664907885129896</v>
      </c>
      <c r="R465" s="692">
        <f t="shared" si="228"/>
        <v>0.47325927414716679</v>
      </c>
      <c r="S465" s="329">
        <f t="shared" si="229"/>
        <v>0.98089972683754034</v>
      </c>
      <c r="T465" s="330">
        <f t="shared" si="230"/>
        <v>0.31360724775910548</v>
      </c>
      <c r="U465" s="331">
        <f t="shared" si="231"/>
        <v>-12.077359260426245</v>
      </c>
      <c r="V465" s="332">
        <f t="shared" si="232"/>
        <v>-140.81280338466067</v>
      </c>
      <c r="W465" s="334">
        <f t="shared" si="233"/>
        <v>39.187196615339332</v>
      </c>
      <c r="Y465" s="307">
        <f t="shared" si="234"/>
        <v>52481</v>
      </c>
      <c r="Z465" s="307">
        <f t="shared" si="235"/>
        <v>2754255361</v>
      </c>
      <c r="AB465" s="333">
        <f t="shared" si="236"/>
        <v>15.461098580465979</v>
      </c>
      <c r="AC465" s="334">
        <f t="shared" si="237"/>
        <v>-25.686094548332107</v>
      </c>
      <c r="AE465" s="333">
        <f t="shared" si="238"/>
        <v>-2.5066102681344931</v>
      </c>
      <c r="AF465" s="334">
        <f t="shared" si="239"/>
        <v>-104.970768541181</v>
      </c>
      <c r="AH465">
        <f t="shared" si="240"/>
        <v>0</v>
      </c>
      <c r="AI465">
        <f t="shared" si="215"/>
        <v>0</v>
      </c>
    </row>
    <row r="466" spans="1:35" x14ac:dyDescent="0.25">
      <c r="A466" s="335">
        <v>52786.5</v>
      </c>
      <c r="B466" s="352">
        <f t="shared" si="241"/>
        <v>52.786499999999997</v>
      </c>
      <c r="C466" s="325">
        <f t="shared" si="216"/>
        <v>32.919961958153593</v>
      </c>
      <c r="D466" s="326">
        <f t="shared" si="217"/>
        <v>1.5404149473791144</v>
      </c>
      <c r="E466" s="326">
        <f t="shared" si="218"/>
        <v>1.0002395583587953</v>
      </c>
      <c r="F466" s="327">
        <f t="shared" si="219"/>
        <v>2.1886550439175784E-2</v>
      </c>
      <c r="G466" s="326">
        <f t="shared" si="220"/>
        <v>1</v>
      </c>
      <c r="H466" s="327">
        <f t="shared" si="221"/>
        <v>0</v>
      </c>
      <c r="I466" s="325">
        <f t="shared" si="222"/>
        <v>82790.783070150603</v>
      </c>
      <c r="J466" s="328">
        <f t="shared" si="223"/>
        <v>1.5707842481556695</v>
      </c>
      <c r="K466" s="336">
        <f t="shared" si="213"/>
        <v>6.6850161277235305</v>
      </c>
      <c r="L466" s="337">
        <f t="shared" si="214"/>
        <v>1.4206444821143336</v>
      </c>
      <c r="M466" s="325">
        <f t="shared" si="224"/>
        <v>1.0464077902976217</v>
      </c>
      <c r="N466" s="337">
        <f t="shared" si="225"/>
        <v>0.2989360140062568</v>
      </c>
      <c r="O466" s="343">
        <f t="shared" si="226"/>
        <v>1.0459870757238852</v>
      </c>
      <c r="P466" s="691">
        <f t="shared" si="227"/>
        <v>0.29762806011845555</v>
      </c>
      <c r="Q466" s="336">
        <f t="shared" si="242"/>
        <v>4.6705166400084757</v>
      </c>
      <c r="R466" s="692">
        <f t="shared" si="228"/>
        <v>0.47562304214720869</v>
      </c>
      <c r="S466" s="329">
        <f t="shared" si="229"/>
        <v>0.9807014994770733</v>
      </c>
      <c r="T466" s="330">
        <f t="shared" si="230"/>
        <v>0.31556165775803641</v>
      </c>
      <c r="U466" s="331">
        <f t="shared" si="231"/>
        <v>-12.137556730393317</v>
      </c>
      <c r="V466" s="332">
        <f t="shared" si="232"/>
        <v>-141.01412766527122</v>
      </c>
      <c r="W466" s="334">
        <f t="shared" si="233"/>
        <v>38.985872334728782</v>
      </c>
      <c r="Y466" s="307">
        <f t="shared" si="234"/>
        <v>52786.5</v>
      </c>
      <c r="Z466" s="307">
        <f t="shared" si="235"/>
        <v>2786414582.25</v>
      </c>
      <c r="AB466" s="333">
        <f t="shared" si="236"/>
        <v>15.455614495864838</v>
      </c>
      <c r="AC466" s="334">
        <f t="shared" si="237"/>
        <v>-25.730146907673312</v>
      </c>
      <c r="AE466" s="333">
        <f t="shared" si="238"/>
        <v>-2.5551992933841801</v>
      </c>
      <c r="AF466" s="334">
        <f t="shared" si="239"/>
        <v>-105.0856195011901</v>
      </c>
      <c r="AH466">
        <f t="shared" si="240"/>
        <v>0</v>
      </c>
      <c r="AI466">
        <f t="shared" si="215"/>
        <v>0</v>
      </c>
    </row>
    <row r="467" spans="1:35" x14ac:dyDescent="0.25">
      <c r="A467" s="335">
        <v>53092</v>
      </c>
      <c r="B467" s="352">
        <f t="shared" si="241"/>
        <v>53.091999999999999</v>
      </c>
      <c r="C467" s="325">
        <f t="shared" si="216"/>
        <v>33.110309773781601</v>
      </c>
      <c r="D467" s="326">
        <f t="shared" si="217"/>
        <v>1.5405896601460984</v>
      </c>
      <c r="E467" s="326">
        <f t="shared" si="218"/>
        <v>1.0002423389169046</v>
      </c>
      <c r="F467" s="327">
        <f t="shared" si="219"/>
        <v>2.20131772762392E-2</v>
      </c>
      <c r="G467" s="326">
        <f t="shared" si="220"/>
        <v>1</v>
      </c>
      <c r="H467" s="327">
        <f t="shared" si="221"/>
        <v>0</v>
      </c>
      <c r="I467" s="325">
        <f t="shared" si="222"/>
        <v>83269.931796136443</v>
      </c>
      <c r="J467" s="328">
        <f t="shared" si="223"/>
        <v>1.5707843176581235</v>
      </c>
      <c r="K467" s="336">
        <f t="shared" si="213"/>
        <v>6.7228421204530964</v>
      </c>
      <c r="L467" s="337">
        <f t="shared" si="214"/>
        <v>1.4214956618395049</v>
      </c>
      <c r="M467" s="325">
        <f t="shared" si="224"/>
        <v>1.046934433032396</v>
      </c>
      <c r="N467" s="337">
        <f t="shared" si="225"/>
        <v>0.30056403359664213</v>
      </c>
      <c r="O467" s="343">
        <f t="shared" si="226"/>
        <v>1.0465090478095966</v>
      </c>
      <c r="P467" s="691">
        <f t="shared" si="227"/>
        <v>0.29924982754007962</v>
      </c>
      <c r="Q467" s="336">
        <f t="shared" si="242"/>
        <v>4.6761511640936488</v>
      </c>
      <c r="R467" s="692">
        <f t="shared" si="228"/>
        <v>0.47798115585313472</v>
      </c>
      <c r="S467" s="329">
        <f t="shared" si="229"/>
        <v>0.98050270964959918</v>
      </c>
      <c r="T467" s="330">
        <f t="shared" si="230"/>
        <v>0.31751829510586804</v>
      </c>
      <c r="U467" s="331">
        <f t="shared" si="231"/>
        <v>-12.197474831942809</v>
      </c>
      <c r="V467" s="332">
        <f t="shared" si="232"/>
        <v>-141.21569301059051</v>
      </c>
      <c r="W467" s="334">
        <f t="shared" si="233"/>
        <v>38.784306989409487</v>
      </c>
      <c r="Y467" s="307">
        <f t="shared" si="234"/>
        <v>53092</v>
      </c>
      <c r="Z467" s="307">
        <f t="shared" si="235"/>
        <v>2818760464</v>
      </c>
      <c r="AB467" s="333">
        <f t="shared" si="236"/>
        <v>15.450128795068006</v>
      </c>
      <c r="AC467" s="334">
        <f t="shared" si="237"/>
        <v>-25.774660535555725</v>
      </c>
      <c r="AE467" s="333">
        <f t="shared" si="238"/>
        <v>-2.6034927102570449</v>
      </c>
      <c r="AF467" s="334">
        <f t="shared" si="239"/>
        <v>-105.20048168422817</v>
      </c>
      <c r="AH467">
        <f t="shared" si="240"/>
        <v>0</v>
      </c>
      <c r="AI467">
        <f t="shared" si="215"/>
        <v>0</v>
      </c>
    </row>
    <row r="468" spans="1:35" x14ac:dyDescent="0.25">
      <c r="A468" s="335">
        <v>53397.5</v>
      </c>
      <c r="B468" s="352">
        <f t="shared" si="241"/>
        <v>53.397500000000001</v>
      </c>
      <c r="C468" s="325">
        <f t="shared" si="216"/>
        <v>33.300658588532784</v>
      </c>
      <c r="D468" s="326">
        <f t="shared" si="217"/>
        <v>1.5407623755783399</v>
      </c>
      <c r="E468" s="326">
        <f t="shared" si="218"/>
        <v>1.0002451355131665</v>
      </c>
      <c r="F468" s="327">
        <f t="shared" si="219"/>
        <v>2.2139803407258268E-2</v>
      </c>
      <c r="G468" s="326">
        <f t="shared" si="220"/>
        <v>1</v>
      </c>
      <c r="H468" s="327">
        <f t="shared" si="221"/>
        <v>0</v>
      </c>
      <c r="I468" s="325">
        <f t="shared" si="222"/>
        <v>83749.080522122676</v>
      </c>
      <c r="J468" s="328">
        <f t="shared" si="223"/>
        <v>1.5707843863652968</v>
      </c>
      <c r="K468" s="336">
        <f t="shared" si="213"/>
        <v>6.7606729294226016</v>
      </c>
      <c r="L468" s="337">
        <f t="shared" si="214"/>
        <v>1.4223373162479447</v>
      </c>
      <c r="M468" s="325">
        <f t="shared" si="224"/>
        <v>1.0474638478176663</v>
      </c>
      <c r="N468" s="337">
        <f t="shared" si="225"/>
        <v>0.30219041180928313</v>
      </c>
      <c r="O468" s="343">
        <f t="shared" si="226"/>
        <v>1.0470337696011471</v>
      </c>
      <c r="P468" s="691">
        <f t="shared" si="227"/>
        <v>0.3008699737193275</v>
      </c>
      <c r="Q468" s="336">
        <f t="shared" si="242"/>
        <v>4.6818113643561148</v>
      </c>
      <c r="R468" s="692">
        <f t="shared" si="228"/>
        <v>0.48033360990090535</v>
      </c>
      <c r="S468" s="329">
        <f t="shared" si="229"/>
        <v>0.98030336792778983</v>
      </c>
      <c r="T468" s="330">
        <f t="shared" si="230"/>
        <v>0.31947717198708847</v>
      </c>
      <c r="U468" s="331">
        <f t="shared" si="231"/>
        <v>-12.257117090415729</v>
      </c>
      <c r="V468" s="332">
        <f t="shared" si="232"/>
        <v>-141.41749256000745</v>
      </c>
      <c r="W468" s="334">
        <f t="shared" si="233"/>
        <v>38.582507439992554</v>
      </c>
      <c r="Y468" s="307">
        <f t="shared" si="234"/>
        <v>53397.5</v>
      </c>
      <c r="Z468" s="307">
        <f t="shared" si="235"/>
        <v>2851293006.25</v>
      </c>
      <c r="AB468" s="333">
        <f t="shared" si="236"/>
        <v>15.444641114345943</v>
      </c>
      <c r="AC468" s="334">
        <f t="shared" si="237"/>
        <v>-25.819625834302332</v>
      </c>
      <c r="AE468" s="333">
        <f t="shared" si="238"/>
        <v>-2.6514939295196873</v>
      </c>
      <c r="AF468" s="334">
        <f t="shared" si="239"/>
        <v>-105.31535778467989</v>
      </c>
      <c r="AH468">
        <f t="shared" si="240"/>
        <v>0</v>
      </c>
      <c r="AI468">
        <f t="shared" si="215"/>
        <v>0</v>
      </c>
    </row>
    <row r="469" spans="1:35" x14ac:dyDescent="0.25">
      <c r="A469" s="335">
        <v>53703</v>
      </c>
      <c r="B469" s="352">
        <f t="shared" si="241"/>
        <v>53.703000000000003</v>
      </c>
      <c r="C469" s="325">
        <f t="shared" si="216"/>
        <v>33.491008385371352</v>
      </c>
      <c r="D469" s="326">
        <f t="shared" si="217"/>
        <v>1.5409331277216551</v>
      </c>
      <c r="E469" s="326">
        <f t="shared" si="218"/>
        <v>1.0002479481474458</v>
      </c>
      <c r="F469" s="327">
        <f t="shared" si="219"/>
        <v>2.2266428828178243E-2</v>
      </c>
      <c r="G469" s="326">
        <f t="shared" si="220"/>
        <v>1</v>
      </c>
      <c r="H469" s="327">
        <f t="shared" si="221"/>
        <v>0</v>
      </c>
      <c r="I469" s="325">
        <f t="shared" si="222"/>
        <v>84228.229248109303</v>
      </c>
      <c r="J469" s="328">
        <f t="shared" si="223"/>
        <v>1.5707844542907616</v>
      </c>
      <c r="K469" s="336">
        <f t="shared" si="213"/>
        <v>6.7985084742310642</v>
      </c>
      <c r="L469" s="337">
        <f t="shared" si="214"/>
        <v>1.4231696031700813</v>
      </c>
      <c r="M469" s="325">
        <f t="shared" si="224"/>
        <v>1.0479960304523734</v>
      </c>
      <c r="N469" s="337">
        <f t="shared" si="225"/>
        <v>0.30381514253435327</v>
      </c>
      <c r="O469" s="343">
        <f t="shared" si="226"/>
        <v>1.0475612369665661</v>
      </c>
      <c r="P469" s="691">
        <f t="shared" si="227"/>
        <v>0.30248849259348654</v>
      </c>
      <c r="Q469" s="336">
        <f t="shared" si="242"/>
        <v>4.6874971477930139</v>
      </c>
      <c r="R469" s="692">
        <f t="shared" si="228"/>
        <v>0.48268039920033057</v>
      </c>
      <c r="S469" s="329">
        <f t="shared" si="229"/>
        <v>0.98010348495497468</v>
      </c>
      <c r="T469" s="330">
        <f t="shared" si="230"/>
        <v>0.32143830056431982</v>
      </c>
      <c r="U469" s="331">
        <f t="shared" si="231"/>
        <v>-12.316486964086552</v>
      </c>
      <c r="V469" s="332">
        <f t="shared" si="232"/>
        <v>-141.61951962471687</v>
      </c>
      <c r="W469" s="334">
        <f t="shared" si="233"/>
        <v>38.380480375283128</v>
      </c>
      <c r="Y469" s="307">
        <f t="shared" si="234"/>
        <v>53703</v>
      </c>
      <c r="Z469" s="307">
        <f t="shared" si="235"/>
        <v>2884012209</v>
      </c>
      <c r="AB469" s="333">
        <f t="shared" si="236"/>
        <v>15.43915110208658</v>
      </c>
      <c r="AC469" s="334">
        <f t="shared" si="237"/>
        <v>-25.865033411606067</v>
      </c>
      <c r="AE469" s="333">
        <f t="shared" si="238"/>
        <v>-2.699206306010077</v>
      </c>
      <c r="AF469" s="334">
        <f t="shared" si="239"/>
        <v>-105.430250450326</v>
      </c>
      <c r="AH469">
        <f t="shared" si="240"/>
        <v>0</v>
      </c>
      <c r="AI469">
        <f t="shared" si="215"/>
        <v>0</v>
      </c>
    </row>
    <row r="470" spans="1:35" x14ac:dyDescent="0.25">
      <c r="A470" s="335">
        <v>54015.75</v>
      </c>
      <c r="B470" s="352">
        <f t="shared" si="241"/>
        <v>54.015749999999997</v>
      </c>
      <c r="C470" s="325">
        <f t="shared" si="216"/>
        <v>33.685876485022284</v>
      </c>
      <c r="D470" s="326">
        <f t="shared" si="217"/>
        <v>1.5411059330932826</v>
      </c>
      <c r="E470" s="326">
        <f t="shared" si="218"/>
        <v>1.0002508441433062</v>
      </c>
      <c r="F470" s="327">
        <f t="shared" si="219"/>
        <v>2.2396058531552229E-2</v>
      </c>
      <c r="G470" s="326">
        <f t="shared" si="220"/>
        <v>1</v>
      </c>
      <c r="H470" s="327">
        <f t="shared" si="221"/>
        <v>0</v>
      </c>
      <c r="I470" s="325">
        <f t="shared" si="222"/>
        <v>84718.748934042</v>
      </c>
      <c r="J470" s="328">
        <f t="shared" si="223"/>
        <v>1.5707845230322985</v>
      </c>
      <c r="K470" s="336">
        <f t="shared" si="213"/>
        <v>6.8372467402542512</v>
      </c>
      <c r="L470" s="337">
        <f t="shared" si="214"/>
        <v>1.424012099172171</v>
      </c>
      <c r="M470" s="325">
        <f t="shared" si="224"/>
        <v>1.0485437053826132</v>
      </c>
      <c r="N470" s="337">
        <f t="shared" si="225"/>
        <v>0.30547671777157953</v>
      </c>
      <c r="O470" s="343">
        <f t="shared" si="226"/>
        <v>1.0481040617241724</v>
      </c>
      <c r="P470" s="691">
        <f t="shared" si="227"/>
        <v>0.30414372951758462</v>
      </c>
      <c r="Q470" s="336">
        <f t="shared" si="242"/>
        <v>4.6933442679010771</v>
      </c>
      <c r="R470" s="692">
        <f t="shared" si="228"/>
        <v>0.48507700851253693</v>
      </c>
      <c r="S470" s="329">
        <f t="shared" si="229"/>
        <v>0.97989830895811392</v>
      </c>
      <c r="T470" s="330">
        <f t="shared" si="230"/>
        <v>0.32344831499592602</v>
      </c>
      <c r="U470" s="331">
        <f t="shared" si="231"/>
        <v>-12.376987163464987</v>
      </c>
      <c r="V470" s="332">
        <f t="shared" si="232"/>
        <v>-141.82656998295974</v>
      </c>
      <c r="W470" s="334">
        <f t="shared" si="233"/>
        <v>38.173430017040261</v>
      </c>
      <c r="Y470" s="307">
        <f t="shared" si="234"/>
        <v>54015.75</v>
      </c>
      <c r="Z470" s="307">
        <f t="shared" si="235"/>
        <v>2917701248.0625</v>
      </c>
      <c r="AB470" s="333">
        <f t="shared" si="236"/>
        <v>15.433528033128425</v>
      </c>
      <c r="AC470" s="334">
        <f t="shared" si="237"/>
        <v>-25.91196713351977</v>
      </c>
      <c r="AE470" s="333">
        <f t="shared" si="238"/>
        <v>-2.7477552120946691</v>
      </c>
      <c r="AF470" s="334">
        <f t="shared" si="239"/>
        <v>-105.54788957772043</v>
      </c>
      <c r="AH470">
        <f t="shared" si="240"/>
        <v>0</v>
      </c>
      <c r="AI470">
        <f t="shared" si="215"/>
        <v>0</v>
      </c>
    </row>
    <row r="471" spans="1:35" x14ac:dyDescent="0.25">
      <c r="A471" s="335">
        <v>54328.5</v>
      </c>
      <c r="B471" s="352">
        <f t="shared" si="241"/>
        <v>54.328499999999998</v>
      </c>
      <c r="C471" s="325">
        <f t="shared" si="216"/>
        <v>33.880745579019369</v>
      </c>
      <c r="D471" s="326">
        <f t="shared" si="217"/>
        <v>1.5412767506491141</v>
      </c>
      <c r="E471" s="326">
        <f t="shared" si="218"/>
        <v>1.0002537569471444</v>
      </c>
      <c r="F471" s="327">
        <f t="shared" si="219"/>
        <v>2.252568748212426E-2</v>
      </c>
      <c r="G471" s="326">
        <f t="shared" si="220"/>
        <v>1</v>
      </c>
      <c r="H471" s="327">
        <f t="shared" si="221"/>
        <v>0</v>
      </c>
      <c r="I471" s="325">
        <f t="shared" si="222"/>
        <v>85209.268619975104</v>
      </c>
      <c r="J471" s="328">
        <f t="shared" si="223"/>
        <v>1.5707845909823939</v>
      </c>
      <c r="K471" s="336">
        <f t="shared" ref="K471:K534" si="243">SQRT(1+(A471/Zero2)^2)</f>
        <v>6.8759898046669061</v>
      </c>
      <c r="L471" s="337">
        <f t="shared" ref="L471:L534" si="244">ATAN(A471/Zero2)</f>
        <v>1.4248451015990564</v>
      </c>
      <c r="M471" s="325">
        <f t="shared" si="224"/>
        <v>1.0490942721390009</v>
      </c>
      <c r="N471" s="337">
        <f t="shared" si="225"/>
        <v>0.30713655359137099</v>
      </c>
      <c r="O471" s="343">
        <f t="shared" si="226"/>
        <v>1.0486497551094964</v>
      </c>
      <c r="P471" s="691">
        <f t="shared" si="227"/>
        <v>0.3057972482730979</v>
      </c>
      <c r="Q471" s="336">
        <f t="shared" si="242"/>
        <v>4.6992180027044537</v>
      </c>
      <c r="R471" s="692">
        <f t="shared" si="228"/>
        <v>0.48746767109292277</v>
      </c>
      <c r="S471" s="329">
        <f t="shared" si="229"/>
        <v>0.97969258851704988</v>
      </c>
      <c r="T471" s="330">
        <f t="shared" si="230"/>
        <v>0.32546071498831763</v>
      </c>
      <c r="U471" s="331">
        <f t="shared" si="231"/>
        <v>-12.437209023044177</v>
      </c>
      <c r="V471" s="332">
        <f t="shared" si="232"/>
        <v>-142.03384512978511</v>
      </c>
      <c r="W471" s="334">
        <f t="shared" si="233"/>
        <v>37.966154870214893</v>
      </c>
      <c r="Y471" s="307">
        <f t="shared" si="234"/>
        <v>54328.5</v>
      </c>
      <c r="Z471" s="307">
        <f t="shared" si="235"/>
        <v>2951585912.25</v>
      </c>
      <c r="AB471" s="333">
        <f t="shared" si="236"/>
        <v>15.427901812123164</v>
      </c>
      <c r="AC471" s="334">
        <f t="shared" si="237"/>
        <v>-25.959345090601584</v>
      </c>
      <c r="AE471" s="333">
        <f t="shared" si="238"/>
        <v>-2.7960083446099171</v>
      </c>
      <c r="AF471" s="334">
        <f t="shared" si="239"/>
        <v>-105.66555153735648</v>
      </c>
      <c r="AH471">
        <f t="shared" si="240"/>
        <v>0</v>
      </c>
      <c r="AI471">
        <f t="shared" si="215"/>
        <v>0</v>
      </c>
    </row>
    <row r="472" spans="1:35" x14ac:dyDescent="0.25">
      <c r="A472" s="335">
        <v>54641.25</v>
      </c>
      <c r="B472" s="352">
        <f t="shared" si="241"/>
        <v>54.641249999999999</v>
      </c>
      <c r="C472" s="325">
        <f t="shared" si="216"/>
        <v>34.075615650303433</v>
      </c>
      <c r="D472" s="326">
        <f t="shared" si="217"/>
        <v>1.5414456144825845</v>
      </c>
      <c r="E472" s="326">
        <f t="shared" si="218"/>
        <v>1.0002566865588132</v>
      </c>
      <c r="F472" s="327">
        <f t="shared" si="219"/>
        <v>2.2655315675544449E-2</v>
      </c>
      <c r="G472" s="326">
        <f t="shared" si="220"/>
        <v>1</v>
      </c>
      <c r="H472" s="327">
        <f t="shared" si="221"/>
        <v>0</v>
      </c>
      <c r="I472" s="325">
        <f t="shared" si="222"/>
        <v>85699.788305908587</v>
      </c>
      <c r="J472" s="328">
        <f t="shared" si="223"/>
        <v>1.5707846581546374</v>
      </c>
      <c r="K472" s="336">
        <f t="shared" si="243"/>
        <v>6.9147375868133398</v>
      </c>
      <c r="L472" s="337">
        <f t="shared" si="244"/>
        <v>1.4256687688809542</v>
      </c>
      <c r="M472" s="325">
        <f t="shared" si="224"/>
        <v>1.0496477261710284</v>
      </c>
      <c r="N472" s="337">
        <f t="shared" si="225"/>
        <v>0.30879464359217484</v>
      </c>
      <c r="O472" s="343">
        <f t="shared" si="226"/>
        <v>1.0491983126465747</v>
      </c>
      <c r="P472" s="691">
        <f t="shared" si="227"/>
        <v>0.30744904250613719</v>
      </c>
      <c r="Q472" s="336">
        <f t="shared" si="242"/>
        <v>4.7051182525388091</v>
      </c>
      <c r="R472" s="692">
        <f t="shared" si="228"/>
        <v>0.48985238235751055</v>
      </c>
      <c r="S472" s="329">
        <f t="shared" si="229"/>
        <v>0.97948633528196893</v>
      </c>
      <c r="T472" s="330">
        <f t="shared" si="230"/>
        <v>0.32747551351678672</v>
      </c>
      <c r="U472" s="331">
        <f t="shared" si="231"/>
        <v>-12.49715604568771</v>
      </c>
      <c r="V472" s="332">
        <f t="shared" si="232"/>
        <v>-142.24133842030429</v>
      </c>
      <c r="W472" s="334">
        <f t="shared" si="233"/>
        <v>37.758661579695712</v>
      </c>
      <c r="Y472" s="307">
        <f t="shared" si="234"/>
        <v>54641.25</v>
      </c>
      <c r="Z472" s="307">
        <f t="shared" si="235"/>
        <v>2985666201.5625</v>
      </c>
      <c r="AB472" s="333">
        <f t="shared" si="236"/>
        <v>15.422272098743605</v>
      </c>
      <c r="AC472" s="334">
        <f t="shared" si="237"/>
        <v>-26.007157839465425</v>
      </c>
      <c r="AE472" s="333">
        <f t="shared" si="238"/>
        <v>-2.8439691290701252</v>
      </c>
      <c r="AF472" s="334">
        <f t="shared" si="239"/>
        <v>-105.78323902632278</v>
      </c>
      <c r="AH472">
        <f t="shared" si="240"/>
        <v>0</v>
      </c>
      <c r="AI472">
        <f t="shared" si="215"/>
        <v>0</v>
      </c>
    </row>
    <row r="473" spans="1:35" x14ac:dyDescent="0.25">
      <c r="A473" s="335">
        <v>54954</v>
      </c>
      <c r="B473" s="352">
        <f t="shared" si="241"/>
        <v>54.954000000000001</v>
      </c>
      <c r="C473" s="325">
        <f t="shared" si="216"/>
        <v>34.270486682203227</v>
      </c>
      <c r="D473" s="326">
        <f t="shared" si="217"/>
        <v>1.5416125579121234</v>
      </c>
      <c r="E473" s="326">
        <f t="shared" si="218"/>
        <v>1.0002596329781652</v>
      </c>
      <c r="F473" s="327">
        <f t="shared" si="219"/>
        <v>2.2784943107463058E-2</v>
      </c>
      <c r="G473" s="326">
        <f t="shared" si="220"/>
        <v>1</v>
      </c>
      <c r="H473" s="327">
        <f t="shared" si="221"/>
        <v>0</v>
      </c>
      <c r="I473" s="325">
        <f t="shared" si="222"/>
        <v>86190.307991842463</v>
      </c>
      <c r="J473" s="328">
        <f t="shared" si="223"/>
        <v>1.5707847245623101</v>
      </c>
      <c r="K473" s="336">
        <f t="shared" si="243"/>
        <v>6.9534900078259385</v>
      </c>
      <c r="L473" s="337">
        <f t="shared" si="244"/>
        <v>1.4264832559676111</v>
      </c>
      <c r="M473" s="325">
        <f t="shared" si="224"/>
        <v>1.0502040629139424</v>
      </c>
      <c r="N473" s="337">
        <f t="shared" si="225"/>
        <v>0.310450981424295</v>
      </c>
      <c r="O473" s="343">
        <f t="shared" si="226"/>
        <v>1.0497497298453311</v>
      </c>
      <c r="P473" s="691">
        <f t="shared" si="227"/>
        <v>0.30909910591370121</v>
      </c>
      <c r="Q473" s="336">
        <f t="shared" si="242"/>
        <v>4.7110449177903391</v>
      </c>
      <c r="R473" s="692">
        <f t="shared" si="228"/>
        <v>0.49223113801318918</v>
      </c>
      <c r="S473" s="329">
        <f t="shared" si="229"/>
        <v>0.97927956098124458</v>
      </c>
      <c r="T473" s="330">
        <f t="shared" si="230"/>
        <v>0.3294927235307355</v>
      </c>
      <c r="U473" s="331">
        <f t="shared" si="231"/>
        <v>-12.55683166778824</v>
      </c>
      <c r="V473" s="332">
        <f t="shared" si="232"/>
        <v>-142.44904337985957</v>
      </c>
      <c r="W473" s="334">
        <f t="shared" si="233"/>
        <v>37.550956620140425</v>
      </c>
      <c r="Y473" s="307">
        <f t="shared" si="234"/>
        <v>54954</v>
      </c>
      <c r="Z473" s="307">
        <f t="shared" si="235"/>
        <v>3019942116</v>
      </c>
      <c r="AB473" s="333">
        <f t="shared" si="236"/>
        <v>15.416638564303593</v>
      </c>
      <c r="AC473" s="334">
        <f t="shared" si="237"/>
        <v>-26.055396139094906</v>
      </c>
      <c r="AE473" s="333">
        <f t="shared" si="238"/>
        <v>-2.8916409350182724</v>
      </c>
      <c r="AF473" s="334">
        <f t="shared" si="239"/>
        <v>-105.90095469582002</v>
      </c>
      <c r="AH473">
        <f t="shared" si="240"/>
        <v>0</v>
      </c>
      <c r="AI473">
        <f t="shared" si="215"/>
        <v>0</v>
      </c>
    </row>
    <row r="474" spans="1:35" x14ac:dyDescent="0.25">
      <c r="A474" s="335">
        <v>55274</v>
      </c>
      <c r="B474" s="352">
        <f t="shared" si="241"/>
        <v>55.274000000000001</v>
      </c>
      <c r="C474" s="325">
        <f t="shared" si="216"/>
        <v>34.469876085411059</v>
      </c>
      <c r="D474" s="326">
        <f t="shared" si="217"/>
        <v>1.5417814175991118</v>
      </c>
      <c r="E474" s="326">
        <f t="shared" si="218"/>
        <v>1.0002626650962883</v>
      </c>
      <c r="F474" s="327">
        <f t="shared" si="219"/>
        <v>2.2917574699118173E-2</v>
      </c>
      <c r="G474" s="326">
        <f t="shared" si="220"/>
        <v>1</v>
      </c>
      <c r="H474" s="327">
        <f t="shared" si="221"/>
        <v>0</v>
      </c>
      <c r="I474" s="325">
        <f t="shared" si="222"/>
        <v>86692.198637722424</v>
      </c>
      <c r="J474" s="328">
        <f t="shared" si="223"/>
        <v>1.5707847917315838</v>
      </c>
      <c r="K474" s="336">
        <f t="shared" si="243"/>
        <v>6.9931454873143224</v>
      </c>
      <c r="L474" s="337">
        <f t="shared" si="244"/>
        <v>1.4273072802393196</v>
      </c>
      <c r="M474" s="325">
        <f t="shared" si="224"/>
        <v>1.0507762752995367</v>
      </c>
      <c r="N474" s="337">
        <f t="shared" si="225"/>
        <v>0.31214389544229626</v>
      </c>
      <c r="O474" s="343">
        <f t="shared" si="226"/>
        <v>1.0503168848657334</v>
      </c>
      <c r="P474" s="691">
        <f t="shared" si="227"/>
        <v>0.31078562219564104</v>
      </c>
      <c r="Q474" s="336">
        <f t="shared" si="242"/>
        <v>4.7171362089586593</v>
      </c>
      <c r="R474" s="692">
        <f t="shared" si="228"/>
        <v>0.49465886821161537</v>
      </c>
      <c r="S474" s="329">
        <f t="shared" si="229"/>
        <v>0.97906746634249575</v>
      </c>
      <c r="T474" s="330">
        <f t="shared" si="230"/>
        <v>0.33155920487260432</v>
      </c>
      <c r="U474" s="331">
        <f t="shared" si="231"/>
        <v>-12.617613263303953</v>
      </c>
      <c r="V474" s="332">
        <f t="shared" si="232"/>
        <v>-142.66177574936836</v>
      </c>
      <c r="W474" s="334">
        <f t="shared" si="233"/>
        <v>37.33822425063164</v>
      </c>
      <c r="Y474" s="307">
        <f t="shared" si="234"/>
        <v>55274</v>
      </c>
      <c r="Z474" s="307">
        <f t="shared" si="235"/>
        <v>3055215076</v>
      </c>
      <c r="AB474" s="333">
        <f t="shared" si="236"/>
        <v>15.410870150362406</v>
      </c>
      <c r="AC474" s="334">
        <f t="shared" si="237"/>
        <v>-26.105183702992459</v>
      </c>
      <c r="AE474" s="333">
        <f t="shared" si="238"/>
        <v>-2.9401221954115986</v>
      </c>
      <c r="AF474" s="334">
        <f t="shared" si="239"/>
        <v>-106.02143107225172</v>
      </c>
      <c r="AH474">
        <f t="shared" si="240"/>
        <v>0</v>
      </c>
      <c r="AI474">
        <f t="shared" ref="AI474:AI537" si="245">IF(AH474&gt;0,W474,0)</f>
        <v>0</v>
      </c>
    </row>
    <row r="475" spans="1:35" x14ac:dyDescent="0.25">
      <c r="A475" s="335">
        <v>55594</v>
      </c>
      <c r="B475" s="352">
        <f t="shared" si="241"/>
        <v>55.594000000000001</v>
      </c>
      <c r="C475" s="325">
        <f t="shared" si="216"/>
        <v>34.669266460173702</v>
      </c>
      <c r="D475" s="326">
        <f t="shared" si="217"/>
        <v>1.5419483349943823</v>
      </c>
      <c r="E475" s="326">
        <f t="shared" si="218"/>
        <v>1.0002657148100644</v>
      </c>
      <c r="F475" s="327">
        <f t="shared" si="219"/>
        <v>2.3050205484344517E-2</v>
      </c>
      <c r="G475" s="326">
        <f t="shared" si="220"/>
        <v>1</v>
      </c>
      <c r="H475" s="327">
        <f t="shared" si="221"/>
        <v>0</v>
      </c>
      <c r="I475" s="325">
        <f t="shared" si="222"/>
        <v>87194.089283602763</v>
      </c>
      <c r="J475" s="328">
        <f t="shared" si="223"/>
        <v>1.5707848581276023</v>
      </c>
      <c r="K475" s="336">
        <f t="shared" si="243"/>
        <v>7.0328056617088022</v>
      </c>
      <c r="L475" s="337">
        <f t="shared" si="244"/>
        <v>1.4281220112016983</v>
      </c>
      <c r="M475" s="325">
        <f t="shared" si="224"/>
        <v>1.0513514958825589</v>
      </c>
      <c r="N475" s="337">
        <f t="shared" si="225"/>
        <v>0.31383496183158566</v>
      </c>
      <c r="O475" s="343">
        <f t="shared" si="226"/>
        <v>1.0508870241119272</v>
      </c>
      <c r="P475" s="691">
        <f t="shared" si="227"/>
        <v>0.3124703132888883</v>
      </c>
      <c r="Q475" s="336">
        <f t="shared" si="242"/>
        <v>4.7232549436305344</v>
      </c>
      <c r="R475" s="692">
        <f t="shared" si="228"/>
        <v>0.49708035530975725</v>
      </c>
      <c r="S475" s="329">
        <f t="shared" si="229"/>
        <v>0.97885485129275562</v>
      </c>
      <c r="T475" s="330">
        <f t="shared" si="230"/>
        <v>0.33362823814194126</v>
      </c>
      <c r="U475" s="331">
        <f t="shared" si="231"/>
        <v>-12.678117802133972</v>
      </c>
      <c r="V475" s="332">
        <f t="shared" si="232"/>
        <v>-142.87471652872014</v>
      </c>
      <c r="W475" s="334">
        <f t="shared" si="233"/>
        <v>37.125283471279857</v>
      </c>
      <c r="Y475" s="307">
        <f t="shared" si="234"/>
        <v>55594</v>
      </c>
      <c r="Z475" s="307">
        <f t="shared" si="235"/>
        <v>3090692836</v>
      </c>
      <c r="AB475" s="333">
        <f t="shared" si="236"/>
        <v>15.405097075658357</v>
      </c>
      <c r="AC475" s="334">
        <f t="shared" si="237"/>
        <v>-26.15539782866124</v>
      </c>
      <c r="AE475" s="333">
        <f t="shared" si="238"/>
        <v>-2.9883078871064903</v>
      </c>
      <c r="AF475" s="334">
        <f t="shared" si="239"/>
        <v>-106.14194242444393</v>
      </c>
      <c r="AH475">
        <f t="shared" si="240"/>
        <v>0</v>
      </c>
      <c r="AI475">
        <f t="shared" si="245"/>
        <v>0</v>
      </c>
    </row>
    <row r="476" spans="1:35" x14ac:dyDescent="0.25">
      <c r="A476" s="335">
        <v>55914</v>
      </c>
      <c r="B476" s="352">
        <f t="shared" si="241"/>
        <v>55.914000000000001</v>
      </c>
      <c r="C476" s="325">
        <f t="shared" si="216"/>
        <v>34.868657789824148</v>
      </c>
      <c r="D476" s="326">
        <f t="shared" si="217"/>
        <v>1.542113343408688</v>
      </c>
      <c r="E476" s="326">
        <f t="shared" si="218"/>
        <v>1.0002687821193323</v>
      </c>
      <c r="F476" s="327">
        <f t="shared" si="219"/>
        <v>2.3182835458483292E-2</v>
      </c>
      <c r="G476" s="326">
        <f t="shared" si="220"/>
        <v>1</v>
      </c>
      <c r="H476" s="327">
        <f t="shared" si="221"/>
        <v>0</v>
      </c>
      <c r="I476" s="325">
        <f t="shared" si="222"/>
        <v>87695.979929483496</v>
      </c>
      <c r="J476" s="328">
        <f t="shared" si="223"/>
        <v>1.5707849237636422</v>
      </c>
      <c r="K476" s="336">
        <f t="shared" si="243"/>
        <v>7.0724704520267387</v>
      </c>
      <c r="L476" s="337">
        <f t="shared" si="244"/>
        <v>1.4289276041239343</v>
      </c>
      <c r="M476" s="325">
        <f t="shared" si="224"/>
        <v>1.0519297197281443</v>
      </c>
      <c r="N476" s="337">
        <f t="shared" si="225"/>
        <v>0.31552417395920268</v>
      </c>
      <c r="O476" s="343">
        <f t="shared" si="226"/>
        <v>1.051460142729451</v>
      </c>
      <c r="P476" s="691">
        <f t="shared" si="227"/>
        <v>0.31415317260736719</v>
      </c>
      <c r="Q476" s="336">
        <f t="shared" si="242"/>
        <v>4.7294010153013222</v>
      </c>
      <c r="R476" s="692">
        <f t="shared" si="228"/>
        <v>0.49949559563781376</v>
      </c>
      <c r="S476" s="329">
        <f t="shared" si="229"/>
        <v>0.97864172865021304</v>
      </c>
      <c r="T476" s="330">
        <f t="shared" si="230"/>
        <v>0.33569983712234425</v>
      </c>
      <c r="U476" s="331">
        <f t="shared" si="231"/>
        <v>-12.738348759980685</v>
      </c>
      <c r="V476" s="332">
        <f t="shared" si="232"/>
        <v>-143.0878593080306</v>
      </c>
      <c r="W476" s="334">
        <f t="shared" si="233"/>
        <v>36.912140691969398</v>
      </c>
      <c r="Y476" s="307">
        <f t="shared" si="234"/>
        <v>55914</v>
      </c>
      <c r="Z476" s="307">
        <f t="shared" si="235"/>
        <v>3126375396</v>
      </c>
      <c r="AB476" s="333">
        <f t="shared" si="236"/>
        <v>15.399319023507143</v>
      </c>
      <c r="AC476" s="334">
        <f t="shared" si="237"/>
        <v>-26.206029240552212</v>
      </c>
      <c r="AE476" s="333">
        <f t="shared" si="238"/>
        <v>-3.0362014457805802</v>
      </c>
      <c r="AF476" s="334">
        <f t="shared" si="239"/>
        <v>-106.26249145097114</v>
      </c>
      <c r="AH476">
        <f t="shared" si="240"/>
        <v>0</v>
      </c>
      <c r="AI476">
        <f t="shared" si="245"/>
        <v>0</v>
      </c>
    </row>
    <row r="477" spans="1:35" x14ac:dyDescent="0.25">
      <c r="A477" s="335">
        <v>56234</v>
      </c>
      <c r="B477" s="352">
        <f t="shared" si="241"/>
        <v>56.234000000000002</v>
      </c>
      <c r="C477" s="325">
        <f t="shared" si="216"/>
        <v>35.068050058074384</v>
      </c>
      <c r="D477" s="326">
        <f t="shared" si="217"/>
        <v>1.5422764753956013</v>
      </c>
      <c r="E477" s="326">
        <f t="shared" si="218"/>
        <v>1.0002718670239301</v>
      </c>
      <c r="F477" s="327">
        <f t="shared" si="219"/>
        <v>2.3315464616875871E-2</v>
      </c>
      <c r="G477" s="326">
        <f t="shared" si="220"/>
        <v>1</v>
      </c>
      <c r="H477" s="327">
        <f t="shared" si="221"/>
        <v>0</v>
      </c>
      <c r="I477" s="325">
        <f t="shared" si="222"/>
        <v>88197.870575364621</v>
      </c>
      <c r="J477" s="328">
        <f t="shared" si="223"/>
        <v>1.5707849886526772</v>
      </c>
      <c r="K477" s="336">
        <f t="shared" si="243"/>
        <v>7.1121397810383655</v>
      </c>
      <c r="L477" s="337">
        <f t="shared" si="244"/>
        <v>1.4297242108590891</v>
      </c>
      <c r="M477" s="325">
        <f t="shared" si="224"/>
        <v>1.0525109418865353</v>
      </c>
      <c r="N477" s="337">
        <f t="shared" si="225"/>
        <v>0.3172115252490525</v>
      </c>
      <c r="O477" s="343">
        <f t="shared" si="226"/>
        <v>1.0520362358490818</v>
      </c>
      <c r="P477" s="691">
        <f t="shared" si="227"/>
        <v>0.31583419362081661</v>
      </c>
      <c r="Q477" s="336">
        <f t="shared" si="242"/>
        <v>4.735574317544696</v>
      </c>
      <c r="R477" s="692">
        <f t="shared" si="228"/>
        <v>0.50190458583346609</v>
      </c>
      <c r="S477" s="329">
        <f t="shared" si="229"/>
        <v>0.97842811131939189</v>
      </c>
      <c r="T477" s="330">
        <f t="shared" si="230"/>
        <v>0.33777401556682524</v>
      </c>
      <c r="U477" s="331">
        <f t="shared" si="231"/>
        <v>-12.798309546824594</v>
      </c>
      <c r="V477" s="332">
        <f t="shared" si="232"/>
        <v>-143.30119784566955</v>
      </c>
      <c r="W477" s="334">
        <f t="shared" si="233"/>
        <v>36.698802154330451</v>
      </c>
      <c r="Y477" s="307">
        <f t="shared" si="234"/>
        <v>56234</v>
      </c>
      <c r="Z477" s="307">
        <f t="shared" si="235"/>
        <v>3162262756</v>
      </c>
      <c r="AB477" s="333">
        <f t="shared" si="236"/>
        <v>15.393535688381085</v>
      </c>
      <c r="AC477" s="334">
        <f t="shared" si="237"/>
        <v>-26.257068862086665</v>
      </c>
      <c r="AE477" s="333">
        <f t="shared" si="238"/>
        <v>-3.083806251228363</v>
      </c>
      <c r="AF477" s="334">
        <f t="shared" si="239"/>
        <v>-106.38308080527216</v>
      </c>
      <c r="AH477">
        <f t="shared" si="240"/>
        <v>0</v>
      </c>
      <c r="AI477">
        <f t="shared" si="245"/>
        <v>0</v>
      </c>
    </row>
    <row r="478" spans="1:35" x14ac:dyDescent="0.25">
      <c r="A478" s="335">
        <v>56561.5</v>
      </c>
      <c r="B478" s="352">
        <f t="shared" si="241"/>
        <v>56.561500000000002</v>
      </c>
      <c r="C478" s="325">
        <f t="shared" si="216"/>
        <v>35.27211653785659</v>
      </c>
      <c r="D478" s="326">
        <f t="shared" si="217"/>
        <v>1.542441521075637</v>
      </c>
      <c r="E478" s="326">
        <f t="shared" si="218"/>
        <v>1.0002750424495583</v>
      </c>
      <c r="F478" s="327">
        <f t="shared" si="219"/>
        <v>2.3451201421658258E-2</v>
      </c>
      <c r="G478" s="326">
        <f t="shared" si="220"/>
        <v>1</v>
      </c>
      <c r="H478" s="327">
        <f t="shared" si="221"/>
        <v>0</v>
      </c>
      <c r="I478" s="325">
        <f t="shared" si="222"/>
        <v>88711.524283258943</v>
      </c>
      <c r="J478" s="328">
        <f t="shared" si="223"/>
        <v>1.5707850543023079</v>
      </c>
      <c r="K478" s="336">
        <f t="shared" si="243"/>
        <v>7.1527434806507495</v>
      </c>
      <c r="L478" s="337">
        <f t="shared" si="244"/>
        <v>1.4305303384626364</v>
      </c>
      <c r="M478" s="325">
        <f t="shared" si="224"/>
        <v>1.0531088858044024</v>
      </c>
      <c r="N478" s="337">
        <f t="shared" si="225"/>
        <v>0.31893649026321846</v>
      </c>
      <c r="O478" s="343">
        <f t="shared" si="226"/>
        <v>1.0526289059461813</v>
      </c>
      <c r="P478" s="691">
        <f t="shared" si="227"/>
        <v>0.31755270337055047</v>
      </c>
      <c r="Q478" s="336">
        <f t="shared" si="242"/>
        <v>4.7419203909660119</v>
      </c>
      <c r="R478" s="692">
        <f t="shared" si="228"/>
        <v>0.50436356196761345</v>
      </c>
      <c r="S478" s="329">
        <f t="shared" si="229"/>
        <v>0.97820898867376493</v>
      </c>
      <c r="T478" s="330">
        <f t="shared" si="230"/>
        <v>0.33989949274426479</v>
      </c>
      <c r="U478" s="331">
        <f t="shared" si="231"/>
        <v>-12.859399412362517</v>
      </c>
      <c r="V478" s="332">
        <f t="shared" si="232"/>
        <v>-143.51973285832437</v>
      </c>
      <c r="W478" s="334">
        <f t="shared" si="233"/>
        <v>36.480267141675625</v>
      </c>
      <c r="Y478" s="307">
        <f t="shared" si="234"/>
        <v>56561.5</v>
      </c>
      <c r="Z478" s="307">
        <f t="shared" si="235"/>
        <v>3199203282.25</v>
      </c>
      <c r="AB478" s="333">
        <f t="shared" si="236"/>
        <v>15.387611028681265</v>
      </c>
      <c r="AC478" s="334">
        <f t="shared" si="237"/>
        <v>-26.30971812928075</v>
      </c>
      <c r="AE478" s="333">
        <f t="shared" si="238"/>
        <v>-3.1322312798709007</v>
      </c>
      <c r="AF478" s="334">
        <f t="shared" si="239"/>
        <v>-106.50654095198618</v>
      </c>
      <c r="AH478">
        <f t="shared" si="240"/>
        <v>0</v>
      </c>
      <c r="AI478">
        <f t="shared" si="245"/>
        <v>0</v>
      </c>
    </row>
    <row r="479" spans="1:35" x14ac:dyDescent="0.25">
      <c r="A479" s="335">
        <v>56889</v>
      </c>
      <c r="B479" s="352">
        <f t="shared" si="241"/>
        <v>56.889000000000003</v>
      </c>
      <c r="C479" s="325">
        <f t="shared" si="216"/>
        <v>35.476183967400324</v>
      </c>
      <c r="D479" s="326">
        <f t="shared" si="217"/>
        <v>1.5426046679962326</v>
      </c>
      <c r="E479" s="326">
        <f t="shared" si="218"/>
        <v>1.0002782363046168</v>
      </c>
      <c r="F479" s="327">
        <f t="shared" si="219"/>
        <v>2.3586937362135314E-2</v>
      </c>
      <c r="G479" s="326">
        <f t="shared" si="220"/>
        <v>1</v>
      </c>
      <c r="H479" s="327">
        <f t="shared" si="221"/>
        <v>0</v>
      </c>
      <c r="I479" s="325">
        <f t="shared" si="222"/>
        <v>89225.177991153629</v>
      </c>
      <c r="J479" s="328">
        <f t="shared" si="223"/>
        <v>1.5707851191960716</v>
      </c>
      <c r="K479" s="336">
        <f t="shared" si="243"/>
        <v>7.1933517759384147</v>
      </c>
      <c r="L479" s="337">
        <f t="shared" si="244"/>
        <v>1.4313273649896885</v>
      </c>
      <c r="M479" s="325">
        <f t="shared" si="224"/>
        <v>1.0537099596905131</v>
      </c>
      <c r="N479" s="337">
        <f t="shared" si="225"/>
        <v>0.32065949243571995</v>
      </c>
      <c r="O479" s="343">
        <f t="shared" si="226"/>
        <v>1.0532246812427046</v>
      </c>
      <c r="P479" s="691">
        <f t="shared" si="227"/>
        <v>0.31926927397373805</v>
      </c>
      <c r="Q479" s="336">
        <f t="shared" si="242"/>
        <v>4.7482947610668775</v>
      </c>
      <c r="R479" s="692">
        <f t="shared" si="228"/>
        <v>0.50681598540900297</v>
      </c>
      <c r="S479" s="329">
        <f t="shared" si="229"/>
        <v>0.97798937550707765</v>
      </c>
      <c r="T479" s="330">
        <f t="shared" si="230"/>
        <v>0.34202770076258715</v>
      </c>
      <c r="U479" s="331">
        <f t="shared" si="231"/>
        <v>-12.920213317621979</v>
      </c>
      <c r="V479" s="332">
        <f t="shared" si="232"/>
        <v>-143.73846020594979</v>
      </c>
      <c r="W479" s="334">
        <f t="shared" si="233"/>
        <v>36.261539794050208</v>
      </c>
      <c r="Y479" s="307">
        <f t="shared" si="234"/>
        <v>56889</v>
      </c>
      <c r="Z479" s="307">
        <f t="shared" si="235"/>
        <v>3236358321</v>
      </c>
      <c r="AB479" s="333">
        <f t="shared" si="236"/>
        <v>15.381680222153966</v>
      </c>
      <c r="AC479" s="334">
        <f t="shared" si="237"/>
        <v>-26.362776343896318</v>
      </c>
      <c r="AE479" s="333">
        <f t="shared" si="238"/>
        <v>-3.1803608507137571</v>
      </c>
      <c r="AF479" s="334">
        <f t="shared" si="239"/>
        <v>-106.63004882297619</v>
      </c>
      <c r="AH479">
        <f t="shared" si="240"/>
        <v>0</v>
      </c>
      <c r="AI479">
        <f t="shared" si="245"/>
        <v>0</v>
      </c>
    </row>
    <row r="480" spans="1:35" x14ac:dyDescent="0.25">
      <c r="A480" s="335">
        <v>57216.5</v>
      </c>
      <c r="B480" s="352">
        <f t="shared" si="241"/>
        <v>57.216500000000003</v>
      </c>
      <c r="C480" s="325">
        <f t="shared" si="216"/>
        <v>35.680252330409537</v>
      </c>
      <c r="D480" s="326">
        <f t="shared" si="217"/>
        <v>1.5427659487277186</v>
      </c>
      <c r="E480" s="326">
        <f t="shared" si="218"/>
        <v>1.0002814485889293</v>
      </c>
      <c r="F480" s="327">
        <f t="shared" si="219"/>
        <v>2.3722672433313677E-2</v>
      </c>
      <c r="G480" s="326">
        <f t="shared" si="220"/>
        <v>1</v>
      </c>
      <c r="H480" s="327">
        <f t="shared" si="221"/>
        <v>0</v>
      </c>
      <c r="I480" s="325">
        <f t="shared" si="222"/>
        <v>89738.831699048707</v>
      </c>
      <c r="J480" s="328">
        <f t="shared" si="223"/>
        <v>1.5707851833469479</v>
      </c>
      <c r="K480" s="336">
        <f t="shared" si="243"/>
        <v>7.2339645895070657</v>
      </c>
      <c r="L480" s="337">
        <f t="shared" si="244"/>
        <v>1.4321154427043719</v>
      </c>
      <c r="M480" s="325">
        <f t="shared" si="224"/>
        <v>1.0543141581915985</v>
      </c>
      <c r="N480" s="337">
        <f t="shared" si="225"/>
        <v>0.32238052490215519</v>
      </c>
      <c r="O480" s="343">
        <f t="shared" si="226"/>
        <v>1.0538235564721126</v>
      </c>
      <c r="P480" s="691">
        <f t="shared" si="227"/>
        <v>0.32098389861170962</v>
      </c>
      <c r="Q480" s="336">
        <f t="shared" si="242"/>
        <v>4.7546973140525042</v>
      </c>
      <c r="R480" s="692">
        <f t="shared" si="228"/>
        <v>0.50926185353476938</v>
      </c>
      <c r="S480" s="329">
        <f t="shared" si="229"/>
        <v>0.97776928593458012</v>
      </c>
      <c r="T480" s="330">
        <f t="shared" si="230"/>
        <v>0.34415865426131598</v>
      </c>
      <c r="U480" s="331">
        <f t="shared" si="231"/>
        <v>-12.980754714919751</v>
      </c>
      <c r="V480" s="332">
        <f t="shared" si="232"/>
        <v>-143.95737371750985</v>
      </c>
      <c r="W480" s="334">
        <f t="shared" si="233"/>
        <v>36.042626282490147</v>
      </c>
      <c r="Y480" s="307">
        <f t="shared" si="234"/>
        <v>57216.5</v>
      </c>
      <c r="Z480" s="307">
        <f t="shared" si="235"/>
        <v>3273727872.25</v>
      </c>
      <c r="AB480" s="333">
        <f t="shared" si="236"/>
        <v>15.375742975228491</v>
      </c>
      <c r="AC480" s="334">
        <f t="shared" si="237"/>
        <v>-26.416234389283925</v>
      </c>
      <c r="AE480" s="333">
        <f t="shared" si="238"/>
        <v>-3.228198413271643</v>
      </c>
      <c r="AF480" s="334">
        <f t="shared" si="239"/>
        <v>-106.75360712345368</v>
      </c>
      <c r="AH480">
        <f t="shared" si="240"/>
        <v>0</v>
      </c>
      <c r="AI480">
        <f t="shared" si="245"/>
        <v>0</v>
      </c>
    </row>
    <row r="481" spans="1:35" x14ac:dyDescent="0.25">
      <c r="A481" s="335">
        <v>57544</v>
      </c>
      <c r="B481" s="352">
        <f t="shared" si="241"/>
        <v>57.543999999999997</v>
      </c>
      <c r="C481" s="325">
        <f t="shared" si="216"/>
        <v>35.88432161095885</v>
      </c>
      <c r="D481" s="326">
        <f t="shared" si="217"/>
        <v>1.5429253950999273</v>
      </c>
      <c r="E481" s="326">
        <f t="shared" si="218"/>
        <v>1.0002846793023183</v>
      </c>
      <c r="F481" s="327">
        <f t="shared" si="219"/>
        <v>2.3858406630200168E-2</v>
      </c>
      <c r="G481" s="326">
        <f t="shared" si="220"/>
        <v>1</v>
      </c>
      <c r="H481" s="327">
        <f t="shared" si="221"/>
        <v>0</v>
      </c>
      <c r="I481" s="325">
        <f t="shared" si="222"/>
        <v>90252.48540694415</v>
      </c>
      <c r="J481" s="328">
        <f t="shared" si="223"/>
        <v>1.5707852467676209</v>
      </c>
      <c r="K481" s="336">
        <f t="shared" si="243"/>
        <v>7.2745818456822056</v>
      </c>
      <c r="L481" s="337">
        <f t="shared" si="244"/>
        <v>1.4328947205152096</v>
      </c>
      <c r="M481" s="325">
        <f t="shared" si="224"/>
        <v>1.0549214759388583</v>
      </c>
      <c r="N481" s="337">
        <f t="shared" si="225"/>
        <v>0.32409958086048096</v>
      </c>
      <c r="O481" s="343">
        <f t="shared" si="226"/>
        <v>1.0544255263524585</v>
      </c>
      <c r="P481" s="691">
        <f t="shared" si="227"/>
        <v>0.32269657052701428</v>
      </c>
      <c r="Q481" s="336">
        <f t="shared" si="242"/>
        <v>4.7611279362384522</v>
      </c>
      <c r="R481" s="692">
        <f t="shared" si="228"/>
        <v>0.5117011640465382</v>
      </c>
      <c r="S481" s="329">
        <f t="shared" si="229"/>
        <v>0.9775487341669451</v>
      </c>
      <c r="T481" s="330">
        <f t="shared" si="230"/>
        <v>0.34629236784380846</v>
      </c>
      <c r="U481" s="331">
        <f t="shared" si="231"/>
        <v>-13.041026991545513</v>
      </c>
      <c r="V481" s="332">
        <f t="shared" si="232"/>
        <v>-144.17646738837109</v>
      </c>
      <c r="W481" s="334">
        <f t="shared" si="233"/>
        <v>35.823532611628906</v>
      </c>
      <c r="Y481" s="307">
        <f t="shared" si="234"/>
        <v>57544</v>
      </c>
      <c r="Z481" s="307">
        <f t="shared" si="235"/>
        <v>3311311936</v>
      </c>
      <c r="AB481" s="333">
        <f t="shared" si="236"/>
        <v>15.369799005034427</v>
      </c>
      <c r="AC481" s="334">
        <f t="shared" si="237"/>
        <v>-26.470083344612036</v>
      </c>
      <c r="AE481" s="333">
        <f t="shared" si="238"/>
        <v>-3.2757473612189574</v>
      </c>
      <c r="AF481" s="334">
        <f t="shared" si="239"/>
        <v>-106.87721851413052</v>
      </c>
      <c r="AH481">
        <f t="shared" si="240"/>
        <v>0</v>
      </c>
      <c r="AI481">
        <f t="shared" si="245"/>
        <v>0</v>
      </c>
    </row>
    <row r="482" spans="1:35" x14ac:dyDescent="0.25">
      <c r="A482" s="335">
        <v>57879</v>
      </c>
      <c r="B482" s="352">
        <f t="shared" si="241"/>
        <v>57.878999999999998</v>
      </c>
      <c r="C482" s="325">
        <f t="shared" si="216"/>
        <v>36.093065166885197</v>
      </c>
      <c r="D482" s="326">
        <f t="shared" si="217"/>
        <v>1.5430866274917345</v>
      </c>
      <c r="E482" s="326">
        <f t="shared" si="218"/>
        <v>1.0002880030682926</v>
      </c>
      <c r="F482" s="327">
        <f t="shared" si="219"/>
        <v>2.3997248334049977E-2</v>
      </c>
      <c r="G482" s="326">
        <f t="shared" si="220"/>
        <v>1</v>
      </c>
      <c r="H482" s="327">
        <f t="shared" si="221"/>
        <v>0</v>
      </c>
      <c r="I482" s="325">
        <f t="shared" si="222"/>
        <v>90777.902176852833</v>
      </c>
      <c r="J482" s="328">
        <f t="shared" si="223"/>
        <v>1.5707853108981196</v>
      </c>
      <c r="K482" s="336">
        <f t="shared" si="243"/>
        <v>7.3161337872712373</v>
      </c>
      <c r="L482" s="337">
        <f t="shared" si="244"/>
        <v>1.4336828917013236</v>
      </c>
      <c r="M482" s="325">
        <f t="shared" si="224"/>
        <v>1.0555459233268147</v>
      </c>
      <c r="N482" s="337">
        <f t="shared" si="225"/>
        <v>0.32585595256495498</v>
      </c>
      <c r="O482" s="343">
        <f t="shared" si="226"/>
        <v>1.0550444780473791</v>
      </c>
      <c r="P482" s="691">
        <f t="shared" si="227"/>
        <v>0.32444643664304218</v>
      </c>
      <c r="Q482" s="336">
        <f t="shared" si="242"/>
        <v>4.7677347469558926</v>
      </c>
      <c r="R482" s="692">
        <f t="shared" si="228"/>
        <v>0.51418954997669442</v>
      </c>
      <c r="S482" s="329">
        <f t="shared" si="229"/>
        <v>0.97732266831722148</v>
      </c>
      <c r="T482" s="330">
        <f t="shared" si="230"/>
        <v>0.34847781590121213</v>
      </c>
      <c r="U482" s="331">
        <f t="shared" si="231"/>
        <v>-13.102404578322872</v>
      </c>
      <c r="V482" s="332">
        <f t="shared" si="232"/>
        <v>-144.40075877684967</v>
      </c>
      <c r="W482" s="334">
        <f t="shared" si="233"/>
        <v>35.599241223150329</v>
      </c>
      <c r="Y482" s="307">
        <f t="shared" si="234"/>
        <v>57879</v>
      </c>
      <c r="Z482" s="307">
        <f t="shared" si="235"/>
        <v>3349978641</v>
      </c>
      <c r="AB482" s="333">
        <f t="shared" si="236"/>
        <v>15.363711673353595</v>
      </c>
      <c r="AC482" s="334">
        <f t="shared" si="237"/>
        <v>-26.525560822506748</v>
      </c>
      <c r="AE482" s="333">
        <f t="shared" si="238"/>
        <v>-3.3240900925889179</v>
      </c>
      <c r="AF482" s="334">
        <f t="shared" si="239"/>
        <v>-107.00371835622971</v>
      </c>
      <c r="AH482">
        <f t="shared" si="240"/>
        <v>0</v>
      </c>
      <c r="AI482">
        <f t="shared" si="245"/>
        <v>0</v>
      </c>
    </row>
    <row r="483" spans="1:35" x14ac:dyDescent="0.25">
      <c r="A483" s="335">
        <v>58214</v>
      </c>
      <c r="B483" s="352">
        <f t="shared" si="241"/>
        <v>58.213999999999999</v>
      </c>
      <c r="C483" s="325">
        <f t="shared" si="216"/>
        <v>36.301809650292128</v>
      </c>
      <c r="D483" s="326">
        <f t="shared" si="217"/>
        <v>1.5432460056345016</v>
      </c>
      <c r="E483" s="326">
        <f t="shared" si="218"/>
        <v>1.0002913461167091</v>
      </c>
      <c r="F483" s="327">
        <f t="shared" si="219"/>
        <v>2.4136089112537507E-2</v>
      </c>
      <c r="G483" s="326">
        <f t="shared" si="220"/>
        <v>1</v>
      </c>
      <c r="H483" s="327">
        <f t="shared" si="221"/>
        <v>0</v>
      </c>
      <c r="I483" s="325">
        <f t="shared" si="222"/>
        <v>91303.318946761879</v>
      </c>
      <c r="J483" s="328">
        <f t="shared" si="223"/>
        <v>1.5707853742905238</v>
      </c>
      <c r="K483" s="336">
        <f t="shared" si="243"/>
        <v>7.3576902224083431</v>
      </c>
      <c r="L483" s="337">
        <f t="shared" si="244"/>
        <v>1.4344621601422531</v>
      </c>
      <c r="M483" s="325">
        <f t="shared" si="224"/>
        <v>1.0561736230504999</v>
      </c>
      <c r="N483" s="337">
        <f t="shared" si="225"/>
        <v>0.32761024200003114</v>
      </c>
      <c r="O483" s="343">
        <f t="shared" si="226"/>
        <v>1.0556666565276136</v>
      </c>
      <c r="P483" s="691">
        <f t="shared" si="227"/>
        <v>0.32619424546774767</v>
      </c>
      <c r="Q483" s="336">
        <f t="shared" si="242"/>
        <v>4.7743706869596636</v>
      </c>
      <c r="R483" s="692">
        <f t="shared" si="228"/>
        <v>0.51667107066558848</v>
      </c>
      <c r="S483" s="329">
        <f t="shared" si="229"/>
        <v>0.97709614924563437</v>
      </c>
      <c r="T483" s="330">
        <f t="shared" si="230"/>
        <v>0.35066618269681787</v>
      </c>
      <c r="U483" s="331">
        <f t="shared" si="231"/>
        <v>-13.163507545511397</v>
      </c>
      <c r="V483" s="332">
        <f t="shared" si="232"/>
        <v>-144.6252264760316</v>
      </c>
      <c r="W483" s="334">
        <f t="shared" si="233"/>
        <v>35.3747735239684</v>
      </c>
      <c r="Y483" s="307">
        <f t="shared" si="234"/>
        <v>58214</v>
      </c>
      <c r="Z483" s="307">
        <f t="shared" si="235"/>
        <v>3388869796</v>
      </c>
      <c r="AB483" s="333">
        <f t="shared" si="236"/>
        <v>15.357616740985707</v>
      </c>
      <c r="AC483" s="334">
        <f t="shared" si="237"/>
        <v>-26.58142904258905</v>
      </c>
      <c r="AE483" s="333">
        <f t="shared" si="238"/>
        <v>-3.3721378487245879</v>
      </c>
      <c r="AF483" s="334">
        <f t="shared" si="239"/>
        <v>-107.13027924208465</v>
      </c>
      <c r="AH483">
        <f t="shared" si="240"/>
        <v>0</v>
      </c>
      <c r="AI483">
        <f t="shared" si="245"/>
        <v>0</v>
      </c>
    </row>
    <row r="484" spans="1:35" x14ac:dyDescent="0.25">
      <c r="A484" s="335">
        <v>58549</v>
      </c>
      <c r="B484" s="352">
        <f t="shared" si="241"/>
        <v>58.548999999999999</v>
      </c>
      <c r="C484" s="325">
        <f t="shared" si="216"/>
        <v>36.510555045271403</v>
      </c>
      <c r="D484" s="326">
        <f t="shared" si="217"/>
        <v>1.5434035613245036</v>
      </c>
      <c r="E484" s="326">
        <f t="shared" si="218"/>
        <v>1.0002947084473746</v>
      </c>
      <c r="F484" s="327">
        <f t="shared" si="219"/>
        <v>2.427492896031927E-2</v>
      </c>
      <c r="G484" s="326">
        <f t="shared" si="220"/>
        <v>1</v>
      </c>
      <c r="H484" s="327">
        <f t="shared" si="221"/>
        <v>0</v>
      </c>
      <c r="I484" s="325">
        <f t="shared" si="222"/>
        <v>91828.73571667129</v>
      </c>
      <c r="J484" s="328">
        <f t="shared" si="223"/>
        <v>1.5707854369575029</v>
      </c>
      <c r="K484" s="336">
        <f t="shared" si="243"/>
        <v>7.3992510753821383</v>
      </c>
      <c r="L484" s="337">
        <f t="shared" si="244"/>
        <v>1.4352326749009856</v>
      </c>
      <c r="M484" s="325">
        <f t="shared" si="224"/>
        <v>1.0568045693146413</v>
      </c>
      <c r="N484" s="337">
        <f t="shared" si="225"/>
        <v>0.32936244208795251</v>
      </c>
      <c r="O484" s="343">
        <f t="shared" si="226"/>
        <v>1.0562920560912266</v>
      </c>
      <c r="P484" s="691">
        <f t="shared" si="227"/>
        <v>0.32793998996742252</v>
      </c>
      <c r="Q484" s="336">
        <f t="shared" si="242"/>
        <v>4.781035634971845</v>
      </c>
      <c r="R484" s="692">
        <f t="shared" si="228"/>
        <v>0.51914572468567832</v>
      </c>
      <c r="S484" s="329">
        <f t="shared" si="229"/>
        <v>0.97686919247273285</v>
      </c>
      <c r="T484" s="330">
        <f t="shared" si="230"/>
        <v>0.35285748373845838</v>
      </c>
      <c r="U484" s="331">
        <f t="shared" si="231"/>
        <v>-13.224339317942588</v>
      </c>
      <c r="V484" s="332">
        <f t="shared" si="232"/>
        <v>-144.84986457227876</v>
      </c>
      <c r="W484" s="334">
        <f t="shared" si="233"/>
        <v>35.150135427721239</v>
      </c>
      <c r="Y484" s="307">
        <f t="shared" si="234"/>
        <v>58549</v>
      </c>
      <c r="Z484" s="307">
        <f t="shared" si="235"/>
        <v>3427985401</v>
      </c>
      <c r="AB484" s="333">
        <f t="shared" si="236"/>
        <v>15.351513937672181</v>
      </c>
      <c r="AC484" s="334">
        <f t="shared" si="237"/>
        <v>-26.637679059379192</v>
      </c>
      <c r="AE484" s="333">
        <f t="shared" si="238"/>
        <v>-3.4198940887673683</v>
      </c>
      <c r="AF484" s="334">
        <f t="shared" si="239"/>
        <v>-107.25690388232722</v>
      </c>
      <c r="AH484">
        <f t="shared" si="240"/>
        <v>0</v>
      </c>
      <c r="AI484">
        <f t="shared" si="245"/>
        <v>0</v>
      </c>
    </row>
    <row r="485" spans="1:35" x14ac:dyDescent="0.25">
      <c r="A485" s="335">
        <v>58884</v>
      </c>
      <c r="B485" s="352">
        <f t="shared" si="241"/>
        <v>58.884</v>
      </c>
      <c r="C485" s="325">
        <f t="shared" si="216"/>
        <v>36.719301336276409</v>
      </c>
      <c r="D485" s="326">
        <f t="shared" si="217"/>
        <v>1.5435593256353455</v>
      </c>
      <c r="E485" s="326">
        <f t="shared" si="218"/>
        <v>1.0002980900600944</v>
      </c>
      <c r="F485" s="327">
        <f t="shared" si="219"/>
        <v>2.4413767872051979E-2</v>
      </c>
      <c r="G485" s="326">
        <f t="shared" si="220"/>
        <v>1</v>
      </c>
      <c r="H485" s="327">
        <f t="shared" si="221"/>
        <v>0</v>
      </c>
      <c r="I485" s="325">
        <f t="shared" si="222"/>
        <v>92354.152486581064</v>
      </c>
      <c r="J485" s="328">
        <f t="shared" si="223"/>
        <v>1.5707854989114383</v>
      </c>
      <c r="K485" s="336">
        <f t="shared" si="243"/>
        <v>7.4408162721648363</v>
      </c>
      <c r="L485" s="337">
        <f t="shared" si="244"/>
        <v>1.43599458175189</v>
      </c>
      <c r="M485" s="325">
        <f t="shared" si="224"/>
        <v>1.0574387563078596</v>
      </c>
      <c r="N485" s="337">
        <f t="shared" si="225"/>
        <v>0.3311125458191288</v>
      </c>
      <c r="O485" s="343">
        <f t="shared" si="226"/>
        <v>1.0569206710202936</v>
      </c>
      <c r="P485" s="691">
        <f t="shared" si="227"/>
        <v>0.32968366317529368</v>
      </c>
      <c r="Q485" s="336">
        <f t="shared" si="242"/>
        <v>4.7877294698611772</v>
      </c>
      <c r="R485" s="692">
        <f t="shared" si="228"/>
        <v>0.52161351095017061</v>
      </c>
      <c r="S485" s="329">
        <f t="shared" si="229"/>
        <v>0.9766418136243038</v>
      </c>
      <c r="T485" s="330">
        <f t="shared" si="230"/>
        <v>0.3550517344912964</v>
      </c>
      <c r="U485" s="331">
        <f t="shared" si="231"/>
        <v>-13.284903256264379</v>
      </c>
      <c r="V485" s="332">
        <f t="shared" si="232"/>
        <v>-145.07466731610344</v>
      </c>
      <c r="W485" s="334">
        <f t="shared" si="233"/>
        <v>34.925332683896556</v>
      </c>
      <c r="Y485" s="307">
        <f t="shared" si="234"/>
        <v>58884</v>
      </c>
      <c r="Z485" s="307">
        <f t="shared" si="235"/>
        <v>3467325456</v>
      </c>
      <c r="AB485" s="333">
        <f t="shared" si="236"/>
        <v>15.345403003392759</v>
      </c>
      <c r="AC485" s="334">
        <f t="shared" si="237"/>
        <v>-26.694302119710482</v>
      </c>
      <c r="AE485" s="333">
        <f t="shared" si="238"/>
        <v>-3.4673622161889703</v>
      </c>
      <c r="AF485" s="334">
        <f t="shared" si="239"/>
        <v>-107.38359494373854</v>
      </c>
      <c r="AH485">
        <f t="shared" si="240"/>
        <v>0</v>
      </c>
      <c r="AI485">
        <f t="shared" si="245"/>
        <v>0</v>
      </c>
    </row>
    <row r="486" spans="1:35" x14ac:dyDescent="0.25">
      <c r="A486" s="335">
        <v>59227</v>
      </c>
      <c r="B486" s="352">
        <f t="shared" si="241"/>
        <v>59.226999999999997</v>
      </c>
      <c r="C486" s="325">
        <f t="shared" si="216"/>
        <v>36.933033525846021</v>
      </c>
      <c r="D486" s="326">
        <f t="shared" si="217"/>
        <v>1.5437169853463069</v>
      </c>
      <c r="E486" s="326">
        <f t="shared" si="218"/>
        <v>1.0003015724057935</v>
      </c>
      <c r="F486" s="327">
        <f t="shared" si="219"/>
        <v>2.4555921364459644E-2</v>
      </c>
      <c r="G486" s="326">
        <f t="shared" si="220"/>
        <v>1</v>
      </c>
      <c r="H486" s="327">
        <f t="shared" si="221"/>
        <v>0</v>
      </c>
      <c r="I486" s="325">
        <f t="shared" si="222"/>
        <v>92892.116522638287</v>
      </c>
      <c r="J486" s="328">
        <f t="shared" si="223"/>
        <v>1.5707855616187174</v>
      </c>
      <c r="K486" s="336">
        <f t="shared" si="243"/>
        <v>7.4833784957170506</v>
      </c>
      <c r="L486" s="337">
        <f t="shared" si="244"/>
        <v>1.4367659135675999</v>
      </c>
      <c r="M486" s="325">
        <f t="shared" si="224"/>
        <v>1.0580914397182379</v>
      </c>
      <c r="N486" s="337">
        <f t="shared" si="225"/>
        <v>0.33290226377544846</v>
      </c>
      <c r="O486" s="343">
        <f t="shared" si="226"/>
        <v>1.0575676231206184</v>
      </c>
      <c r="P486" s="691">
        <f t="shared" si="227"/>
        <v>0.33146682305693681</v>
      </c>
      <c r="Q486" s="336">
        <f t="shared" si="242"/>
        <v>4.7946129610486459</v>
      </c>
      <c r="R486" s="692">
        <f t="shared" si="228"/>
        <v>0.52413311292003695</v>
      </c>
      <c r="S486" s="329">
        <f t="shared" si="229"/>
        <v>0.97640858394783514</v>
      </c>
      <c r="T486" s="330">
        <f t="shared" si="230"/>
        <v>0.35730145758111553</v>
      </c>
      <c r="U486" s="331">
        <f t="shared" si="231"/>
        <v>-13.346639437058947</v>
      </c>
      <c r="V486" s="332">
        <f t="shared" si="232"/>
        <v>-145.30500323951074</v>
      </c>
      <c r="W486" s="334">
        <f t="shared" si="233"/>
        <v>34.694996760489261</v>
      </c>
      <c r="Y486" s="307">
        <f t="shared" si="234"/>
        <v>59227</v>
      </c>
      <c r="Z486" s="307">
        <f t="shared" si="235"/>
        <v>3507837529</v>
      </c>
      <c r="AB486" s="333">
        <f t="shared" si="236"/>
        <v>15.339137450657374</v>
      </c>
      <c r="AC486" s="334">
        <f t="shared" si="237"/>
        <v>-26.752654940411151</v>
      </c>
      <c r="AE486" s="333">
        <f t="shared" si="238"/>
        <v>-3.515668892905937</v>
      </c>
      <c r="AF486" s="334">
        <f t="shared" si="239"/>
        <v>-107.51338302288593</v>
      </c>
      <c r="AH486">
        <f t="shared" si="240"/>
        <v>0</v>
      </c>
      <c r="AI486">
        <f t="shared" si="245"/>
        <v>0</v>
      </c>
    </row>
    <row r="487" spans="1:35" x14ac:dyDescent="0.25">
      <c r="A487" s="335">
        <v>59570</v>
      </c>
      <c r="B487" s="352">
        <f t="shared" si="241"/>
        <v>59.57</v>
      </c>
      <c r="C487" s="325">
        <f t="shared" si="216"/>
        <v>37.14676662288052</v>
      </c>
      <c r="D487" s="326">
        <f t="shared" si="217"/>
        <v>1.5438728307929268</v>
      </c>
      <c r="E487" s="326">
        <f t="shared" si="218"/>
        <v>1.0003050749650615</v>
      </c>
      <c r="F487" s="327">
        <f t="shared" si="219"/>
        <v>2.4698073864241495E-2</v>
      </c>
      <c r="G487" s="326">
        <f t="shared" si="220"/>
        <v>1</v>
      </c>
      <c r="H487" s="327">
        <f t="shared" si="221"/>
        <v>0</v>
      </c>
      <c r="I487" s="325">
        <f t="shared" si="222"/>
        <v>93430.080558695903</v>
      </c>
      <c r="J487" s="328">
        <f t="shared" si="223"/>
        <v>1.5707856236038682</v>
      </c>
      <c r="K487" s="336">
        <f t="shared" si="243"/>
        <v>7.5259451211659156</v>
      </c>
      <c r="L487" s="337">
        <f t="shared" si="244"/>
        <v>1.4375285205518877</v>
      </c>
      <c r="M487" s="325">
        <f t="shared" si="224"/>
        <v>1.0587475081061652</v>
      </c>
      <c r="N487" s="337">
        <f t="shared" si="225"/>
        <v>0.33468976940156459</v>
      </c>
      <c r="O487" s="343">
        <f t="shared" si="226"/>
        <v>1.0582179338076481</v>
      </c>
      <c r="P487" s="691">
        <f t="shared" si="227"/>
        <v>0.33324779697165224</v>
      </c>
      <c r="Q487" s="336">
        <f t="shared" si="242"/>
        <v>4.8015264787529377</v>
      </c>
      <c r="R487" s="692">
        <f t="shared" si="228"/>
        <v>0.52664551397833337</v>
      </c>
      <c r="S487" s="329">
        <f t="shared" si="229"/>
        <v>0.97617494528836013</v>
      </c>
      <c r="T487" s="330">
        <f t="shared" si="230"/>
        <v>0.35955430561789925</v>
      </c>
      <c r="U487" s="331">
        <f t="shared" si="231"/>
        <v>-13.408101770064665</v>
      </c>
      <c r="V487" s="332">
        <f t="shared" si="232"/>
        <v>-145.53550007867057</v>
      </c>
      <c r="W487" s="334">
        <f t="shared" si="233"/>
        <v>34.464499921329434</v>
      </c>
      <c r="Y487" s="307">
        <f t="shared" si="234"/>
        <v>59570</v>
      </c>
      <c r="Z487" s="307">
        <f t="shared" si="235"/>
        <v>3548584900</v>
      </c>
      <c r="AB487" s="333">
        <f t="shared" si="236"/>
        <v>15.332862853729825</v>
      </c>
      <c r="AC487" s="334">
        <f t="shared" si="237"/>
        <v>-26.811380858571233</v>
      </c>
      <c r="AE487" s="333">
        <f t="shared" si="238"/>
        <v>-3.5636805799241325</v>
      </c>
      <c r="AF487" s="334">
        <f t="shared" si="239"/>
        <v>-107.64324625548929</v>
      </c>
      <c r="AH487">
        <f t="shared" si="240"/>
        <v>0</v>
      </c>
      <c r="AI487">
        <f t="shared" si="245"/>
        <v>0</v>
      </c>
    </row>
    <row r="488" spans="1:35" x14ac:dyDescent="0.25">
      <c r="A488" s="335">
        <v>59913</v>
      </c>
      <c r="B488" s="352">
        <f t="shared" si="241"/>
        <v>59.912999999999997</v>
      </c>
      <c r="C488" s="325">
        <f t="shared" si="216"/>
        <v>37.360500611805541</v>
      </c>
      <c r="D488" s="326">
        <f t="shared" si="217"/>
        <v>1.5440268931049965</v>
      </c>
      <c r="E488" s="326">
        <f t="shared" si="218"/>
        <v>1.0003085977376853</v>
      </c>
      <c r="F488" s="327">
        <f t="shared" si="219"/>
        <v>2.4840225365662938E-2</v>
      </c>
      <c r="G488" s="326">
        <f t="shared" si="220"/>
        <v>1</v>
      </c>
      <c r="H488" s="327">
        <f t="shared" si="221"/>
        <v>0</v>
      </c>
      <c r="I488" s="325">
        <f t="shared" si="222"/>
        <v>93968.044594753839</v>
      </c>
      <c r="J488" s="328">
        <f t="shared" si="223"/>
        <v>1.5707856848792929</v>
      </c>
      <c r="K488" s="336">
        <f t="shared" si="243"/>
        <v>7.568516074240379</v>
      </c>
      <c r="L488" s="337">
        <f t="shared" si="244"/>
        <v>1.4382825490349549</v>
      </c>
      <c r="M488" s="325">
        <f t="shared" si="224"/>
        <v>1.0594069551829062</v>
      </c>
      <c r="N488" s="337">
        <f t="shared" si="225"/>
        <v>0.33647505539547745</v>
      </c>
      <c r="O488" s="343">
        <f t="shared" si="226"/>
        <v>1.0588715968933102</v>
      </c>
      <c r="P488" s="691">
        <f t="shared" si="227"/>
        <v>0.33502657765941524</v>
      </c>
      <c r="Q488" s="336">
        <f t="shared" si="242"/>
        <v>4.8084698934747498</v>
      </c>
      <c r="R488" s="692">
        <f t="shared" si="228"/>
        <v>0.5291507140446613</v>
      </c>
      <c r="S488" s="329">
        <f t="shared" si="229"/>
        <v>0.97594091476224498</v>
      </c>
      <c r="T488" s="330">
        <f t="shared" si="230"/>
        <v>0.36181029505706558</v>
      </c>
      <c r="U488" s="331">
        <f t="shared" si="231"/>
        <v>-13.46929366391949</v>
      </c>
      <c r="V488" s="332">
        <f t="shared" si="232"/>
        <v>-145.76615216993935</v>
      </c>
      <c r="W488" s="334">
        <f t="shared" si="233"/>
        <v>34.233847830060654</v>
      </c>
      <c r="Y488" s="307">
        <f t="shared" si="234"/>
        <v>59913</v>
      </c>
      <c r="Z488" s="307">
        <f t="shared" si="235"/>
        <v>3589567569</v>
      </c>
      <c r="AB488" s="333">
        <f t="shared" si="236"/>
        <v>15.326578964703607</v>
      </c>
      <c r="AC488" s="334">
        <f t="shared" si="237"/>
        <v>-26.870471072424607</v>
      </c>
      <c r="AE488" s="333">
        <f t="shared" si="238"/>
        <v>-3.6114007573169822</v>
      </c>
      <c r="AF488" s="334">
        <f t="shared" si="239"/>
        <v>-107.77318736830881</v>
      </c>
      <c r="AH488">
        <f t="shared" si="240"/>
        <v>0</v>
      </c>
      <c r="AI488">
        <f t="shared" si="245"/>
        <v>0</v>
      </c>
    </row>
    <row r="489" spans="1:35" x14ac:dyDescent="0.25">
      <c r="A489" s="335">
        <v>60256</v>
      </c>
      <c r="B489" s="352">
        <f t="shared" si="241"/>
        <v>60.256</v>
      </c>
      <c r="C489" s="325">
        <f t="shared" si="216"/>
        <v>37.574235477401032</v>
      </c>
      <c r="D489" s="326">
        <f t="shared" si="217"/>
        <v>1.5441792027043433</v>
      </c>
      <c r="E489" s="326">
        <f t="shared" si="218"/>
        <v>1.0003121407234519</v>
      </c>
      <c r="F489" s="327">
        <f t="shared" si="219"/>
        <v>2.4982375862989632E-2</v>
      </c>
      <c r="G489" s="326">
        <f t="shared" si="220"/>
        <v>1</v>
      </c>
      <c r="H489" s="327">
        <f t="shared" si="221"/>
        <v>0</v>
      </c>
      <c r="I489" s="325">
        <f t="shared" si="222"/>
        <v>94506.008630812139</v>
      </c>
      <c r="J489" s="328">
        <f t="shared" si="223"/>
        <v>1.5707857454571117</v>
      </c>
      <c r="K489" s="336">
        <f t="shared" si="243"/>
        <v>7.6110912823235966</v>
      </c>
      <c r="L489" s="337">
        <f t="shared" si="244"/>
        <v>1.4390281421123334</v>
      </c>
      <c r="M489" s="325">
        <f t="shared" si="224"/>
        <v>1.0600697746430268</v>
      </c>
      <c r="N489" s="337">
        <f t="shared" si="225"/>
        <v>0.3382581145299059</v>
      </c>
      <c r="O489" s="343">
        <f t="shared" si="226"/>
        <v>1.0595286061729419</v>
      </c>
      <c r="P489" s="691">
        <f t="shared" si="227"/>
        <v>0.33680315793358662</v>
      </c>
      <c r="Q489" s="336">
        <f t="shared" si="242"/>
        <v>4.8154430759033051</v>
      </c>
      <c r="R489" s="692">
        <f t="shared" si="228"/>
        <v>0.53164871339673214</v>
      </c>
      <c r="S489" s="329">
        <f t="shared" si="229"/>
        <v>0.97570650960235117</v>
      </c>
      <c r="T489" s="330">
        <f t="shared" si="230"/>
        <v>0.36406944230350269</v>
      </c>
      <c r="U489" s="331">
        <f t="shared" si="231"/>
        <v>-13.530218463693471</v>
      </c>
      <c r="V489" s="332">
        <f t="shared" si="232"/>
        <v>-145.99695401212608</v>
      </c>
      <c r="W489" s="334">
        <f t="shared" si="233"/>
        <v>34.003045987873918</v>
      </c>
      <c r="Y489" s="307">
        <f t="shared" si="234"/>
        <v>60256</v>
      </c>
      <c r="Z489" s="307">
        <f t="shared" si="235"/>
        <v>3630785536</v>
      </c>
      <c r="AB489" s="333">
        <f t="shared" si="236"/>
        <v>15.320285545502532</v>
      </c>
      <c r="AC489" s="334">
        <f t="shared" si="237"/>
        <v>-26.929916969802928</v>
      </c>
      <c r="AE489" s="333">
        <f t="shared" si="238"/>
        <v>-3.6588328494585114</v>
      </c>
      <c r="AF489" s="334">
        <f t="shared" si="239"/>
        <v>-107.90320904464622</v>
      </c>
      <c r="AH489">
        <f t="shared" si="240"/>
        <v>0</v>
      </c>
      <c r="AI489">
        <f t="shared" si="245"/>
        <v>0</v>
      </c>
    </row>
    <row r="490" spans="1:35" x14ac:dyDescent="0.25">
      <c r="A490" s="335">
        <v>60607</v>
      </c>
      <c r="B490" s="352">
        <f t="shared" si="241"/>
        <v>60.606999999999999</v>
      </c>
      <c r="C490" s="325">
        <f t="shared" si="216"/>
        <v>37.792956304809707</v>
      </c>
      <c r="D490" s="326">
        <f t="shared" si="217"/>
        <v>1.5443332812227599</v>
      </c>
      <c r="E490" s="326">
        <f t="shared" si="218"/>
        <v>1.0003157872700366</v>
      </c>
      <c r="F490" s="327">
        <f t="shared" si="219"/>
        <v>2.5127840778331863E-2</v>
      </c>
      <c r="G490" s="326">
        <f t="shared" si="220"/>
        <v>1</v>
      </c>
      <c r="H490" s="327">
        <f t="shared" si="221"/>
        <v>0</v>
      </c>
      <c r="I490" s="325">
        <f t="shared" si="222"/>
        <v>95056.519933017917</v>
      </c>
      <c r="J490" s="328">
        <f t="shared" si="223"/>
        <v>1.5707858067379796</v>
      </c>
      <c r="K490" s="336">
        <f t="shared" si="243"/>
        <v>7.6546638291311409</v>
      </c>
      <c r="L490" s="337">
        <f t="shared" si="244"/>
        <v>1.4397825382905427</v>
      </c>
      <c r="M490" s="325">
        <f t="shared" si="224"/>
        <v>1.0607515381383139</v>
      </c>
      <c r="N490" s="337">
        <f t="shared" si="225"/>
        <v>0.34008044821467093</v>
      </c>
      <c r="O490" s="343">
        <f t="shared" si="226"/>
        <v>1.0602043969657871</v>
      </c>
      <c r="P490" s="691">
        <f t="shared" si="227"/>
        <v>0.33861888906696647</v>
      </c>
      <c r="Q490" s="336">
        <f t="shared" si="242"/>
        <v>4.822609580688618</v>
      </c>
      <c r="R490" s="692">
        <f t="shared" si="228"/>
        <v>0.53419752119267638</v>
      </c>
      <c r="S490" s="329">
        <f t="shared" si="229"/>
        <v>0.97546626752593446</v>
      </c>
      <c r="T490" s="330">
        <f t="shared" si="230"/>
        <v>0.36638456723560242</v>
      </c>
      <c r="U490" s="331">
        <f t="shared" si="231"/>
        <v>-13.592291163867483</v>
      </c>
      <c r="V490" s="332">
        <f t="shared" si="232"/>
        <v>-146.23328844502254</v>
      </c>
      <c r="W490" s="334">
        <f t="shared" si="233"/>
        <v>33.766711554977462</v>
      </c>
      <c r="Y490" s="307">
        <f t="shared" si="234"/>
        <v>60607</v>
      </c>
      <c r="Z490" s="307">
        <f t="shared" si="235"/>
        <v>3673208449</v>
      </c>
      <c r="AB490" s="333">
        <f t="shared" si="236"/>
        <v>15.313835236415445</v>
      </c>
      <c r="AC490" s="334">
        <f t="shared" si="237"/>
        <v>-26.991108792917309</v>
      </c>
      <c r="AE490" s="333">
        <f t="shared" si="238"/>
        <v>-3.7070765026502563</v>
      </c>
      <c r="AF490" s="334">
        <f t="shared" si="239"/>
        <v>-108.03634945555574</v>
      </c>
      <c r="AH490">
        <f t="shared" si="240"/>
        <v>0</v>
      </c>
      <c r="AI490">
        <f t="shared" si="245"/>
        <v>0</v>
      </c>
    </row>
    <row r="491" spans="1:35" x14ac:dyDescent="0.25">
      <c r="A491" s="335">
        <v>60958</v>
      </c>
      <c r="B491" s="352">
        <f t="shared" si="241"/>
        <v>60.957999999999998</v>
      </c>
      <c r="C491" s="325">
        <f t="shared" si="216"/>
        <v>38.011678019105119</v>
      </c>
      <c r="D491" s="326">
        <f t="shared" si="217"/>
        <v>1.5444855865887468</v>
      </c>
      <c r="E491" s="326">
        <f t="shared" si="218"/>
        <v>1.0003194549831904</v>
      </c>
      <c r="F491" s="327">
        <f t="shared" si="219"/>
        <v>2.5273304630045689E-2</v>
      </c>
      <c r="G491" s="326">
        <f t="shared" si="220"/>
        <v>1</v>
      </c>
      <c r="H491" s="327">
        <f t="shared" si="221"/>
        <v>0</v>
      </c>
      <c r="I491" s="325">
        <f t="shared" si="222"/>
        <v>95607.031235224058</v>
      </c>
      <c r="J491" s="328">
        <f t="shared" si="223"/>
        <v>1.5707858673131294</v>
      </c>
      <c r="K491" s="336">
        <f t="shared" si="243"/>
        <v>7.6982406829957748</v>
      </c>
      <c r="L491" s="337">
        <f t="shared" si="244"/>
        <v>1.4405283941814617</v>
      </c>
      <c r="M491" s="325">
        <f t="shared" si="224"/>
        <v>1.0614368197514141</v>
      </c>
      <c r="N491" s="337">
        <f t="shared" si="225"/>
        <v>0.34190043487787464</v>
      </c>
      <c r="O491" s="343">
        <f t="shared" si="226"/>
        <v>1.0608836786649605</v>
      </c>
      <c r="P491" s="691">
        <f t="shared" si="227"/>
        <v>0.34043230095455151</v>
      </c>
      <c r="Q491" s="336">
        <f t="shared" si="242"/>
        <v>4.8298069846036693</v>
      </c>
      <c r="R491" s="692">
        <f t="shared" si="228"/>
        <v>0.53673879018290305</v>
      </c>
      <c r="S491" s="329">
        <f t="shared" si="229"/>
        <v>0.97522567002391303</v>
      </c>
      <c r="T491" s="330">
        <f t="shared" si="230"/>
        <v>0.36870303358839113</v>
      </c>
      <c r="U491" s="331">
        <f t="shared" si="231"/>
        <v>-13.654091056133675</v>
      </c>
      <c r="V491" s="332">
        <f t="shared" si="232"/>
        <v>-146.46976854281135</v>
      </c>
      <c r="W491" s="334">
        <f t="shared" si="233"/>
        <v>33.530231457188648</v>
      </c>
      <c r="Y491" s="307">
        <f t="shared" si="234"/>
        <v>60958</v>
      </c>
      <c r="Z491" s="307">
        <f t="shared" si="235"/>
        <v>3715877764</v>
      </c>
      <c r="AB491" s="333">
        <f t="shared" si="236"/>
        <v>15.307374473110356</v>
      </c>
      <c r="AC491" s="334">
        <f t="shared" si="237"/>
        <v>-27.052655423585112</v>
      </c>
      <c r="AE491" s="333">
        <f t="shared" si="238"/>
        <v>-3.7550255579721692</v>
      </c>
      <c r="AF491" s="334">
        <f t="shared" si="239"/>
        <v>-108.1695797825592</v>
      </c>
      <c r="AH491">
        <f t="shared" si="240"/>
        <v>0</v>
      </c>
      <c r="AI491">
        <f t="shared" si="245"/>
        <v>0</v>
      </c>
    </row>
    <row r="492" spans="1:35" x14ac:dyDescent="0.25">
      <c r="A492" s="335">
        <v>61309</v>
      </c>
      <c r="B492" s="352">
        <f t="shared" si="241"/>
        <v>61.308999999999997</v>
      </c>
      <c r="C492" s="325">
        <f t="shared" si="216"/>
        <v>38.23040060506527</v>
      </c>
      <c r="D492" s="326">
        <f t="shared" si="217"/>
        <v>1.5446361492286911</v>
      </c>
      <c r="E492" s="326">
        <f t="shared" si="218"/>
        <v>1.0003231438626805</v>
      </c>
      <c r="F492" s="327">
        <f t="shared" si="219"/>
        <v>2.5418767411986901E-2</v>
      </c>
      <c r="G492" s="326">
        <f t="shared" si="220"/>
        <v>1</v>
      </c>
      <c r="H492" s="327">
        <f t="shared" si="221"/>
        <v>0</v>
      </c>
      <c r="I492" s="325">
        <f t="shared" si="222"/>
        <v>96157.542537430549</v>
      </c>
      <c r="J492" s="328">
        <f t="shared" si="223"/>
        <v>1.570785927194682</v>
      </c>
      <c r="K492" s="336">
        <f t="shared" si="243"/>
        <v>7.7418217711873281</v>
      </c>
      <c r="L492" s="337">
        <f t="shared" si="244"/>
        <v>1.4412658531758498</v>
      </c>
      <c r="M492" s="325">
        <f t="shared" si="224"/>
        <v>1.0621256126726764</v>
      </c>
      <c r="N492" s="337">
        <f t="shared" si="225"/>
        <v>0.34371806701723223</v>
      </c>
      <c r="O492" s="343">
        <f t="shared" si="226"/>
        <v>1.0615664445691138</v>
      </c>
      <c r="P492" s="691">
        <f t="shared" si="227"/>
        <v>0.34224338613330907</v>
      </c>
      <c r="Q492" s="336">
        <f t="shared" si="242"/>
        <v>4.8370351497333104</v>
      </c>
      <c r="R492" s="692">
        <f t="shared" si="228"/>
        <v>0.53927252180249918</v>
      </c>
      <c r="S492" s="329">
        <f t="shared" si="229"/>
        <v>0.97498473594352397</v>
      </c>
      <c r="T492" s="330">
        <f t="shared" si="230"/>
        <v>0.37102485877097835</v>
      </c>
      <c r="U492" s="331">
        <f t="shared" si="231"/>
        <v>-13.715621528879087</v>
      </c>
      <c r="V492" s="332">
        <f t="shared" si="232"/>
        <v>-146.70638891160144</v>
      </c>
      <c r="W492" s="334">
        <f t="shared" si="233"/>
        <v>33.293611088398563</v>
      </c>
      <c r="Y492" s="307">
        <f t="shared" si="234"/>
        <v>61309</v>
      </c>
      <c r="Z492" s="307">
        <f t="shared" si="235"/>
        <v>3758793481</v>
      </c>
      <c r="AB492" s="333">
        <f t="shared" si="236"/>
        <v>15.300903030345108</v>
      </c>
      <c r="AC492" s="334">
        <f t="shared" si="237"/>
        <v>-27.114548216966188</v>
      </c>
      <c r="AE492" s="333">
        <f t="shared" si="238"/>
        <v>-3.8026835121995965</v>
      </c>
      <c r="AF492" s="334">
        <f t="shared" si="239"/>
        <v>-108.30290276678066</v>
      </c>
      <c r="AH492">
        <f t="shared" si="240"/>
        <v>0</v>
      </c>
      <c r="AI492">
        <f t="shared" si="245"/>
        <v>0</v>
      </c>
    </row>
    <row r="493" spans="1:35" x14ac:dyDescent="0.25">
      <c r="A493" s="335">
        <v>61660</v>
      </c>
      <c r="B493" s="352">
        <f t="shared" si="241"/>
        <v>61.66</v>
      </c>
      <c r="C493" s="325">
        <f t="shared" si="216"/>
        <v>38.449124047814415</v>
      </c>
      <c r="D493" s="326">
        <f t="shared" si="217"/>
        <v>1.5447849988769602</v>
      </c>
      <c r="E493" s="326">
        <f t="shared" si="218"/>
        <v>1.0003268539082728</v>
      </c>
      <c r="F493" s="327">
        <f t="shared" si="219"/>
        <v>2.5564229118011546E-2</v>
      </c>
      <c r="G493" s="326">
        <f t="shared" si="220"/>
        <v>1</v>
      </c>
      <c r="H493" s="327">
        <f t="shared" si="221"/>
        <v>0</v>
      </c>
      <c r="I493" s="325">
        <f t="shared" si="222"/>
        <v>96708.053839637359</v>
      </c>
      <c r="J493" s="328">
        <f t="shared" si="223"/>
        <v>1.570785986394482</v>
      </c>
      <c r="K493" s="336">
        <f t="shared" si="243"/>
        <v>7.7854070225971599</v>
      </c>
      <c r="L493" s="337">
        <f t="shared" si="244"/>
        <v>1.4419950554904755</v>
      </c>
      <c r="M493" s="325">
        <f t="shared" si="224"/>
        <v>1.0628179100752562</v>
      </c>
      <c r="N493" s="337">
        <f t="shared" si="225"/>
        <v>0.34553333721208801</v>
      </c>
      <c r="O493" s="343">
        <f t="shared" si="226"/>
        <v>1.0622526879597993</v>
      </c>
      <c r="P493" s="691">
        <f t="shared" si="227"/>
        <v>0.3440521372203979</v>
      </c>
      <c r="Q493" s="336">
        <f t="shared" si="242"/>
        <v>4.8442939383978612</v>
      </c>
      <c r="R493" s="692">
        <f t="shared" si="228"/>
        <v>0.54179871786088563</v>
      </c>
      <c r="S493" s="329">
        <f t="shared" si="229"/>
        <v>0.97474348426066049</v>
      </c>
      <c r="T493" s="330">
        <f t="shared" si="230"/>
        <v>0.37335006013277217</v>
      </c>
      <c r="U493" s="331">
        <f t="shared" si="231"/>
        <v>-13.776885907700038</v>
      </c>
      <c r="V493" s="332">
        <f t="shared" si="232"/>
        <v>-146.94314431780151</v>
      </c>
      <c r="W493" s="334">
        <f t="shared" si="233"/>
        <v>33.056855682198488</v>
      </c>
      <c r="Y493" s="307">
        <f t="shared" si="234"/>
        <v>61660</v>
      </c>
      <c r="Z493" s="307">
        <f t="shared" si="235"/>
        <v>3801955600</v>
      </c>
      <c r="AB493" s="333">
        <f t="shared" si="236"/>
        <v>15.294420692291386</v>
      </c>
      <c r="AC493" s="334">
        <f t="shared" si="237"/>
        <v>-27.176778714737896</v>
      </c>
      <c r="AE493" s="333">
        <f t="shared" si="238"/>
        <v>-3.8500538065151888</v>
      </c>
      <c r="AF493" s="334">
        <f t="shared" si="239"/>
        <v>-108.43632110627382</v>
      </c>
      <c r="AH493">
        <f t="shared" si="240"/>
        <v>0</v>
      </c>
      <c r="AI493">
        <f t="shared" si="245"/>
        <v>0</v>
      </c>
    </row>
    <row r="494" spans="1:35" x14ac:dyDescent="0.25">
      <c r="A494" s="335">
        <v>62019</v>
      </c>
      <c r="B494" s="352">
        <f t="shared" si="241"/>
        <v>62.018999999999998</v>
      </c>
      <c r="C494" s="325">
        <f t="shared" si="216"/>
        <v>38.672833511406992</v>
      </c>
      <c r="D494" s="326">
        <f t="shared" si="217"/>
        <v>1.5449354993969038</v>
      </c>
      <c r="E494" s="326">
        <f t="shared" si="218"/>
        <v>1.0003306704082904</v>
      </c>
      <c r="F494" s="327">
        <f t="shared" si="219"/>
        <v>2.5713005071172183E-2</v>
      </c>
      <c r="G494" s="326">
        <f t="shared" si="220"/>
        <v>1</v>
      </c>
      <c r="H494" s="327">
        <f t="shared" si="221"/>
        <v>0</v>
      </c>
      <c r="I494" s="325">
        <f t="shared" si="222"/>
        <v>97271.112407991706</v>
      </c>
      <c r="J494" s="328">
        <f t="shared" si="223"/>
        <v>1.5707860462503931</v>
      </c>
      <c r="K494" s="336">
        <f t="shared" si="243"/>
        <v>7.8299899042180119</v>
      </c>
      <c r="L494" s="337">
        <f t="shared" si="244"/>
        <v>1.4427324796100891</v>
      </c>
      <c r="M494" s="325">
        <f t="shared" si="224"/>
        <v>1.0635296044055127</v>
      </c>
      <c r="N494" s="337">
        <f t="shared" si="225"/>
        <v>0.34738753012924106</v>
      </c>
      <c r="O494" s="343">
        <f t="shared" si="226"/>
        <v>1.0629581624833637</v>
      </c>
      <c r="P494" s="691">
        <f t="shared" si="227"/>
        <v>0.3458996912963464</v>
      </c>
      <c r="Q494" s="336">
        <f t="shared" si="242"/>
        <v>4.8517497047362568</v>
      </c>
      <c r="R494" s="692">
        <f t="shared" si="228"/>
        <v>0.54437469816638684</v>
      </c>
      <c r="S494" s="329">
        <f t="shared" si="229"/>
        <v>0.97449642533457148</v>
      </c>
      <c r="T494" s="330">
        <f t="shared" si="230"/>
        <v>0.37573176803770736</v>
      </c>
      <c r="U494" s="331">
        <f t="shared" si="231"/>
        <v>-13.839274767549213</v>
      </c>
      <c r="V494" s="332">
        <f t="shared" si="232"/>
        <v>-147.18543025638425</v>
      </c>
      <c r="W494" s="334">
        <f t="shared" si="233"/>
        <v>32.814569743615749</v>
      </c>
      <c r="Y494" s="307">
        <f t="shared" si="234"/>
        <v>62019</v>
      </c>
      <c r="Z494" s="307">
        <f t="shared" si="235"/>
        <v>3846356361</v>
      </c>
      <c r="AB494" s="333">
        <f t="shared" si="236"/>
        <v>15.287779122612864</v>
      </c>
      <c r="AC494" s="334">
        <f t="shared" si="237"/>
        <v>-27.240768283093004</v>
      </c>
      <c r="AE494" s="333">
        <f t="shared" si="238"/>
        <v>-3.8982097263569351</v>
      </c>
      <c r="AF494" s="334">
        <f t="shared" si="239"/>
        <v>-108.57288172781375</v>
      </c>
      <c r="AH494">
        <f t="shared" si="240"/>
        <v>0</v>
      </c>
      <c r="AI494">
        <f t="shared" si="245"/>
        <v>0</v>
      </c>
    </row>
    <row r="495" spans="1:35" x14ac:dyDescent="0.25">
      <c r="A495" s="335">
        <v>62378</v>
      </c>
      <c r="B495" s="352">
        <f t="shared" si="241"/>
        <v>62.378</v>
      </c>
      <c r="C495" s="325">
        <f t="shared" si="216"/>
        <v>38.896543840879012</v>
      </c>
      <c r="D495" s="326">
        <f t="shared" si="217"/>
        <v>1.5450842687370214</v>
      </c>
      <c r="E495" s="326">
        <f t="shared" si="218"/>
        <v>1.000334509049742</v>
      </c>
      <c r="F495" s="327">
        <f t="shared" si="219"/>
        <v>2.5861779885812688E-2</v>
      </c>
      <c r="G495" s="326">
        <f t="shared" si="220"/>
        <v>1</v>
      </c>
      <c r="H495" s="327">
        <f t="shared" si="221"/>
        <v>0</v>
      </c>
      <c r="I495" s="325">
        <f t="shared" si="222"/>
        <v>97834.170976346388</v>
      </c>
      <c r="J495" s="328">
        <f t="shared" si="223"/>
        <v>1.5707861054173347</v>
      </c>
      <c r="K495" s="336">
        <f t="shared" si="243"/>
        <v>7.8745769955283604</v>
      </c>
      <c r="L495" s="337">
        <f t="shared" si="244"/>
        <v>1.4434615533001443</v>
      </c>
      <c r="M495" s="325">
        <f t="shared" si="224"/>
        <v>1.0642449502862232</v>
      </c>
      <c r="N495" s="337">
        <f t="shared" si="225"/>
        <v>0.34923923676644775</v>
      </c>
      <c r="O495" s="343">
        <f t="shared" si="226"/>
        <v>1.0636672605476925</v>
      </c>
      <c r="P495" s="691">
        <f t="shared" si="227"/>
        <v>0.34774478830473704</v>
      </c>
      <c r="Q495" s="336">
        <f t="shared" si="242"/>
        <v>4.8592372159091202</v>
      </c>
      <c r="R495" s="692">
        <f t="shared" si="228"/>
        <v>0.54694280050234956</v>
      </c>
      <c r="S495" s="329">
        <f t="shared" si="229"/>
        <v>0.97424907473028999</v>
      </c>
      <c r="T495" s="330">
        <f t="shared" si="230"/>
        <v>0.37811704429181481</v>
      </c>
      <c r="U495" s="331">
        <f t="shared" si="231"/>
        <v>-13.901392108577905</v>
      </c>
      <c r="V495" s="332">
        <f t="shared" si="232"/>
        <v>-147.42784687899282</v>
      </c>
      <c r="W495" s="334">
        <f t="shared" si="233"/>
        <v>32.572153121007176</v>
      </c>
      <c r="Y495" s="307">
        <f t="shared" si="234"/>
        <v>62378</v>
      </c>
      <c r="Z495" s="307">
        <f t="shared" si="235"/>
        <v>3891014884</v>
      </c>
      <c r="AB495" s="333">
        <f t="shared" si="236"/>
        <v>15.281125727441749</v>
      </c>
      <c r="AC495" s="334">
        <f t="shared" si="237"/>
        <v>-27.305093802996666</v>
      </c>
      <c r="AE495" s="333">
        <f t="shared" si="238"/>
        <v>-3.9460718333616129</v>
      </c>
      <c r="AF495" s="334">
        <f t="shared" si="239"/>
        <v>-108.70954767663599</v>
      </c>
      <c r="AH495">
        <f t="shared" si="240"/>
        <v>0</v>
      </c>
      <c r="AI495">
        <f t="shared" si="245"/>
        <v>0</v>
      </c>
    </row>
    <row r="496" spans="1:35" x14ac:dyDescent="0.25">
      <c r="A496" s="335">
        <v>62737</v>
      </c>
      <c r="B496" s="352">
        <f t="shared" si="241"/>
        <v>62.737000000000002</v>
      </c>
      <c r="C496" s="325">
        <f t="shared" si="216"/>
        <v>39.120255021375826</v>
      </c>
      <c r="D496" s="326">
        <f t="shared" si="217"/>
        <v>1.5452313365901924</v>
      </c>
      <c r="E496" s="326">
        <f t="shared" si="218"/>
        <v>1.0003383698323731</v>
      </c>
      <c r="F496" s="327">
        <f t="shared" si="219"/>
        <v>2.6010553555360263E-2</v>
      </c>
      <c r="G496" s="326">
        <f t="shared" si="220"/>
        <v>1</v>
      </c>
      <c r="H496" s="327">
        <f t="shared" si="221"/>
        <v>0</v>
      </c>
      <c r="I496" s="325">
        <f t="shared" si="222"/>
        <v>98397.229544701404</v>
      </c>
      <c r="J496" s="328">
        <f t="shared" si="223"/>
        <v>1.5707861639071339</v>
      </c>
      <c r="K496" s="336">
        <f t="shared" si="243"/>
        <v>7.9191682254230846</v>
      </c>
      <c r="L496" s="337">
        <f t="shared" si="244"/>
        <v>1.4441824168376698</v>
      </c>
      <c r="M496" s="325">
        <f t="shared" si="224"/>
        <v>1.0649639403590498</v>
      </c>
      <c r="N496" s="337">
        <f t="shared" si="225"/>
        <v>0.35108844944838141</v>
      </c>
      <c r="O496" s="343">
        <f t="shared" si="226"/>
        <v>1.0643799749106935</v>
      </c>
      <c r="P496" s="691">
        <f t="shared" si="227"/>
        <v>0.34958742060607845</v>
      </c>
      <c r="Q496" s="336">
        <f t="shared" si="242"/>
        <v>4.866756325416068</v>
      </c>
      <c r="R496" s="692">
        <f t="shared" si="228"/>
        <v>0.54950302798963546</v>
      </c>
      <c r="S496" s="329">
        <f t="shared" si="229"/>
        <v>0.97400145317012266</v>
      </c>
      <c r="T496" s="330">
        <f t="shared" si="230"/>
        <v>0.38050590725682426</v>
      </c>
      <c r="U496" s="331">
        <f t="shared" si="231"/>
        <v>-13.963241295552592</v>
      </c>
      <c r="V496" s="332">
        <f t="shared" si="232"/>
        <v>-147.67038907948509</v>
      </c>
      <c r="W496" s="334">
        <f t="shared" si="233"/>
        <v>32.329610920514909</v>
      </c>
      <c r="Y496" s="307">
        <f t="shared" si="234"/>
        <v>62737</v>
      </c>
      <c r="Z496" s="307">
        <f t="shared" si="235"/>
        <v>3935931169</v>
      </c>
      <c r="AB496" s="333">
        <f t="shared" si="236"/>
        <v>15.274460304412912</v>
      </c>
      <c r="AC496" s="334">
        <f t="shared" si="237"/>
        <v>-27.369746798080964</v>
      </c>
      <c r="AE496" s="333">
        <f t="shared" si="238"/>
        <v>-3.9936436372392139</v>
      </c>
      <c r="AF496" s="334">
        <f t="shared" si="239"/>
        <v>-108.84632170644342</v>
      </c>
      <c r="AH496">
        <f t="shared" si="240"/>
        <v>0</v>
      </c>
      <c r="AI496">
        <f t="shared" si="245"/>
        <v>0</v>
      </c>
    </row>
    <row r="497" spans="1:35" x14ac:dyDescent="0.25">
      <c r="A497" s="335">
        <v>63096</v>
      </c>
      <c r="B497" s="352">
        <f t="shared" si="241"/>
        <v>63.095999999999997</v>
      </c>
      <c r="C497" s="325">
        <f t="shared" si="216"/>
        <v>39.343967038380548</v>
      </c>
      <c r="D497" s="326">
        <f t="shared" si="217"/>
        <v>1.5453767319742522</v>
      </c>
      <c r="E497" s="326">
        <f t="shared" si="218"/>
        <v>1.0003422527559269</v>
      </c>
      <c r="F497" s="327">
        <f t="shared" si="219"/>
        <v>2.6159326073242402E-2</v>
      </c>
      <c r="G497" s="326">
        <f t="shared" si="220"/>
        <v>1</v>
      </c>
      <c r="H497" s="327">
        <f t="shared" si="221"/>
        <v>0</v>
      </c>
      <c r="I497" s="325">
        <f t="shared" si="222"/>
        <v>98960.288113056755</v>
      </c>
      <c r="J497" s="328">
        <f t="shared" si="223"/>
        <v>1.5707862217313495</v>
      </c>
      <c r="K497" s="336">
        <f t="shared" si="243"/>
        <v>7.963763524383082</v>
      </c>
      <c r="L497" s="337">
        <f t="shared" si="244"/>
        <v>1.4448952073921837</v>
      </c>
      <c r="M497" s="325">
        <f t="shared" si="224"/>
        <v>1.0656865672480773</v>
      </c>
      <c r="N497" s="337">
        <f t="shared" si="225"/>
        <v>0.35293516058860214</v>
      </c>
      <c r="O497" s="343">
        <f t="shared" si="226"/>
        <v>1.0650962983127756</v>
      </c>
      <c r="P497" s="691">
        <f t="shared" si="227"/>
        <v>0.35142758064822222</v>
      </c>
      <c r="Q497" s="336">
        <f t="shared" si="242"/>
        <v>4.874306887044356</v>
      </c>
      <c r="R497" s="692">
        <f t="shared" si="228"/>
        <v>0.5520553841382686</v>
      </c>
      <c r="S497" s="329">
        <f t="shared" si="229"/>
        <v>0.97375358151813518</v>
      </c>
      <c r="T497" s="330">
        <f t="shared" si="230"/>
        <v>0.38289837522408848</v>
      </c>
      <c r="U497" s="331">
        <f t="shared" si="231"/>
        <v>-14.024825631376054</v>
      </c>
      <c r="V497" s="332">
        <f t="shared" si="232"/>
        <v>-147.913051909427</v>
      </c>
      <c r="W497" s="334">
        <f t="shared" si="233"/>
        <v>32.086948090573003</v>
      </c>
      <c r="Y497" s="307">
        <f t="shared" si="234"/>
        <v>63096</v>
      </c>
      <c r="Z497" s="307">
        <f t="shared" si="235"/>
        <v>3981105216</v>
      </c>
      <c r="AB497" s="333">
        <f t="shared" si="236"/>
        <v>15.267782660153435</v>
      </c>
      <c r="AC497" s="334">
        <f t="shared" si="237"/>
        <v>-27.434718975102719</v>
      </c>
      <c r="AE497" s="333">
        <f t="shared" si="238"/>
        <v>-4.040928592342425</v>
      </c>
      <c r="AF497" s="334">
        <f t="shared" si="239"/>
        <v>-108.98320652822945</v>
      </c>
      <c r="AH497">
        <f t="shared" si="240"/>
        <v>0</v>
      </c>
      <c r="AI497">
        <f t="shared" si="245"/>
        <v>0</v>
      </c>
    </row>
    <row r="498" spans="1:35" x14ac:dyDescent="0.25">
      <c r="A498" s="335">
        <v>63463.25</v>
      </c>
      <c r="B498" s="352">
        <f t="shared" si="241"/>
        <v>63.463250000000002</v>
      </c>
      <c r="C498" s="325">
        <f t="shared" si="216"/>
        <v>39.572820920475465</v>
      </c>
      <c r="D498" s="326">
        <f t="shared" si="217"/>
        <v>1.5455237676231102</v>
      </c>
      <c r="E498" s="326">
        <f t="shared" si="218"/>
        <v>1.0003462478207257</v>
      </c>
      <c r="F498" s="327">
        <f t="shared" si="219"/>
        <v>2.6311516259658062E-2</v>
      </c>
      <c r="G498" s="326">
        <f t="shared" si="220"/>
        <v>1</v>
      </c>
      <c r="H498" s="327">
        <f t="shared" si="221"/>
        <v>0</v>
      </c>
      <c r="I498" s="325">
        <f t="shared" si="222"/>
        <v>99536.286049626739</v>
      </c>
      <c r="J498" s="328">
        <f t="shared" si="223"/>
        <v>1.570786280207469</v>
      </c>
      <c r="K498" s="336">
        <f t="shared" si="243"/>
        <v>8.0093877852085811</v>
      </c>
      <c r="L498" s="337">
        <f t="shared" si="244"/>
        <v>1.4456161646867995</v>
      </c>
      <c r="M498" s="325">
        <f t="shared" si="224"/>
        <v>1.0664295558969483</v>
      </c>
      <c r="N498" s="337">
        <f t="shared" si="225"/>
        <v>0.35482171382747102</v>
      </c>
      <c r="O498" s="343">
        <f t="shared" si="226"/>
        <v>1.0658328099968186</v>
      </c>
      <c r="P498" s="691">
        <f t="shared" si="227"/>
        <v>0.35330746257527684</v>
      </c>
      <c r="Q498" s="336">
        <f t="shared" si="242"/>
        <v>4.8820633568281888</v>
      </c>
      <c r="R498" s="692">
        <f t="shared" si="228"/>
        <v>0.55465825402530433</v>
      </c>
      <c r="S498" s="329">
        <f t="shared" si="229"/>
        <v>0.97349977677564736</v>
      </c>
      <c r="T498" s="330">
        <f t="shared" si="230"/>
        <v>0.38534957252260155</v>
      </c>
      <c r="U498" s="331">
        <f t="shared" si="231"/>
        <v>-14.087554536034288</v>
      </c>
      <c r="V498" s="332">
        <f t="shared" si="232"/>
        <v>-148.16141107382586</v>
      </c>
      <c r="W498" s="334">
        <f t="shared" si="233"/>
        <v>31.83858892617414</v>
      </c>
      <c r="Y498" s="307">
        <f t="shared" si="234"/>
        <v>63463.25</v>
      </c>
      <c r="Z498" s="307">
        <f t="shared" si="235"/>
        <v>4027584100.5625</v>
      </c>
      <c r="AB498" s="333">
        <f t="shared" si="236"/>
        <v>15.260938722038988</v>
      </c>
      <c r="AC498" s="334">
        <f t="shared" si="237"/>
        <v>-27.50150605383714</v>
      </c>
      <c r="AE498" s="333">
        <f t="shared" si="238"/>
        <v>-4.0890069120386627</v>
      </c>
      <c r="AF498" s="334">
        <f t="shared" si="239"/>
        <v>-109.12335445510085</v>
      </c>
      <c r="AH498">
        <f t="shared" si="240"/>
        <v>0</v>
      </c>
      <c r="AI498">
        <f t="shared" si="245"/>
        <v>0</v>
      </c>
    </row>
    <row r="499" spans="1:35" x14ac:dyDescent="0.25">
      <c r="A499" s="335">
        <v>63830.5</v>
      </c>
      <c r="B499" s="352">
        <f t="shared" si="241"/>
        <v>63.830500000000001</v>
      </c>
      <c r="C499" s="325">
        <f t="shared" si="216"/>
        <v>39.801675648275769</v>
      </c>
      <c r="D499" s="326">
        <f t="shared" si="217"/>
        <v>1.5456691124013746</v>
      </c>
      <c r="E499" s="326">
        <f t="shared" si="218"/>
        <v>1.0003502660552117</v>
      </c>
      <c r="F499" s="327">
        <f t="shared" si="219"/>
        <v>2.6463705226955219E-2</v>
      </c>
      <c r="G499" s="326">
        <f t="shared" si="220"/>
        <v>1</v>
      </c>
      <c r="H499" s="327">
        <f t="shared" si="221"/>
        <v>0</v>
      </c>
      <c r="I499" s="325">
        <f t="shared" si="222"/>
        <v>100112.28398619707</v>
      </c>
      <c r="J499" s="328">
        <f t="shared" si="223"/>
        <v>1.5707863380107014</v>
      </c>
      <c r="K499" s="336">
        <f t="shared" si="243"/>
        <v>8.0550161619873304</v>
      </c>
      <c r="L499" s="337">
        <f t="shared" si="244"/>
        <v>1.4463289544911688</v>
      </c>
      <c r="M499" s="325">
        <f t="shared" si="224"/>
        <v>1.0671763347643641</v>
      </c>
      <c r="N499" s="337">
        <f t="shared" si="225"/>
        <v>0.35670563345372236</v>
      </c>
      <c r="O499" s="343">
        <f t="shared" si="226"/>
        <v>1.0665730830774336</v>
      </c>
      <c r="P499" s="691">
        <f t="shared" si="227"/>
        <v>0.35518474160122993</v>
      </c>
      <c r="Q499" s="336">
        <f t="shared" si="242"/>
        <v>4.8898524323305832</v>
      </c>
      <c r="R499" s="692">
        <f t="shared" si="228"/>
        <v>0.55725289529767874</v>
      </c>
      <c r="S499" s="329">
        <f t="shared" si="229"/>
        <v>0.97324575493978438</v>
      </c>
      <c r="T499" s="330">
        <f t="shared" si="230"/>
        <v>0.38780458090883152</v>
      </c>
      <c r="U499" s="331">
        <f t="shared" si="231"/>
        <v>-14.150013077822837</v>
      </c>
      <c r="V499" s="332">
        <f t="shared" si="232"/>
        <v>-148.40988648720312</v>
      </c>
      <c r="W499" s="334">
        <f t="shared" si="233"/>
        <v>31.590113512796876</v>
      </c>
      <c r="Y499" s="307">
        <f t="shared" si="234"/>
        <v>63830.5</v>
      </c>
      <c r="Z499" s="307">
        <f t="shared" si="235"/>
        <v>4074332730.25</v>
      </c>
      <c r="AB499" s="333">
        <f t="shared" si="236"/>
        <v>15.254081612694527</v>
      </c>
      <c r="AC499" s="334">
        <f t="shared" si="237"/>
        <v>-27.568610161850835</v>
      </c>
      <c r="AE499" s="333">
        <f t="shared" si="238"/>
        <v>-4.1367921887237591</v>
      </c>
      <c r="AF499" s="334">
        <f t="shared" si="239"/>
        <v>-109.26362393131558</v>
      </c>
      <c r="AH499">
        <f t="shared" si="240"/>
        <v>0</v>
      </c>
      <c r="AI499">
        <f t="shared" si="245"/>
        <v>0</v>
      </c>
    </row>
    <row r="500" spans="1:35" x14ac:dyDescent="0.25">
      <c r="A500" s="335">
        <v>64197.75</v>
      </c>
      <c r="B500" s="352">
        <f t="shared" si="241"/>
        <v>64.197749999999999</v>
      </c>
      <c r="C500" s="325">
        <f t="shared" si="216"/>
        <v>40.030531207276738</v>
      </c>
      <c r="D500" s="326">
        <f t="shared" si="217"/>
        <v>1.5458127953031013</v>
      </c>
      <c r="E500" s="326">
        <f t="shared" si="218"/>
        <v>1.0003543074591057</v>
      </c>
      <c r="F500" s="327">
        <f t="shared" si="219"/>
        <v>2.661589296809876E-2</v>
      </c>
      <c r="G500" s="326">
        <f t="shared" si="220"/>
        <v>1</v>
      </c>
      <c r="H500" s="327">
        <f t="shared" si="221"/>
        <v>0</v>
      </c>
      <c r="I500" s="325">
        <f t="shared" si="222"/>
        <v>100688.28192276771</v>
      </c>
      <c r="J500" s="328">
        <f t="shared" si="223"/>
        <v>1.5707863951525951</v>
      </c>
      <c r="K500" s="336">
        <f t="shared" si="243"/>
        <v>8.1006485851677663</v>
      </c>
      <c r="L500" s="337">
        <f t="shared" si="244"/>
        <v>1.4470337141016718</v>
      </c>
      <c r="M500" s="325">
        <f t="shared" si="224"/>
        <v>1.0679268958990642</v>
      </c>
      <c r="N500" s="337">
        <f t="shared" si="225"/>
        <v>0.35858691163367423</v>
      </c>
      <c r="O500" s="343">
        <f t="shared" si="226"/>
        <v>1.0673171097280978</v>
      </c>
      <c r="P500" s="691">
        <f t="shared" si="227"/>
        <v>0.3570594099241457</v>
      </c>
      <c r="Q500" s="336">
        <f t="shared" si="242"/>
        <v>4.8976739580064548</v>
      </c>
      <c r="R500" s="692">
        <f t="shared" si="228"/>
        <v>0.55983931294344569</v>
      </c>
      <c r="S500" s="329">
        <f t="shared" si="229"/>
        <v>0.9729915388083612</v>
      </c>
      <c r="T500" s="330">
        <f t="shared" si="230"/>
        <v>0.39026341972704792</v>
      </c>
      <c r="U500" s="331">
        <f t="shared" si="231"/>
        <v>-14.212204601963601</v>
      </c>
      <c r="V500" s="332">
        <f t="shared" si="232"/>
        <v>-148.65847333767812</v>
      </c>
      <c r="W500" s="334">
        <f t="shared" si="233"/>
        <v>31.341526662321883</v>
      </c>
      <c r="Y500" s="307">
        <f t="shared" si="234"/>
        <v>64197.75</v>
      </c>
      <c r="Z500" s="307">
        <f t="shared" si="235"/>
        <v>4121351105.0625</v>
      </c>
      <c r="AB500" s="333">
        <f t="shared" si="236"/>
        <v>15.247211152398297</v>
      </c>
      <c r="AC500" s="334">
        <f t="shared" si="237"/>
        <v>-27.636022984465392</v>
      </c>
      <c r="AE500" s="333">
        <f t="shared" si="238"/>
        <v>-4.1842879488819626</v>
      </c>
      <c r="AF500" s="334">
        <f t="shared" si="239"/>
        <v>-109.4040177268587</v>
      </c>
      <c r="AH500">
        <f t="shared" si="240"/>
        <v>0</v>
      </c>
      <c r="AI500">
        <f t="shared" si="245"/>
        <v>0</v>
      </c>
    </row>
    <row r="501" spans="1:35" x14ac:dyDescent="0.25">
      <c r="A501" s="335">
        <v>64565</v>
      </c>
      <c r="B501" s="352">
        <f t="shared" si="241"/>
        <v>64.564999999999998</v>
      </c>
      <c r="C501" s="325">
        <f t="shared" si="216"/>
        <v>40.259387583303429</v>
      </c>
      <c r="D501" s="326">
        <f t="shared" si="217"/>
        <v>1.545954844663352</v>
      </c>
      <c r="E501" s="326">
        <f t="shared" si="218"/>
        <v>1.0003583720321267</v>
      </c>
      <c r="F501" s="327">
        <f t="shared" si="219"/>
        <v>2.6768079476053912E-2</v>
      </c>
      <c r="G501" s="326">
        <f t="shared" si="220"/>
        <v>1</v>
      </c>
      <c r="H501" s="327">
        <f t="shared" si="221"/>
        <v>0</v>
      </c>
      <c r="I501" s="325">
        <f t="shared" si="222"/>
        <v>101264.2798593387</v>
      </c>
      <c r="J501" s="328">
        <f t="shared" si="223"/>
        <v>1.5707864516444348</v>
      </c>
      <c r="K501" s="336">
        <f t="shared" si="243"/>
        <v>8.1462849867506311</v>
      </c>
      <c r="L501" s="337">
        <f t="shared" si="244"/>
        <v>1.4477305777704093</v>
      </c>
      <c r="M501" s="325">
        <f t="shared" si="224"/>
        <v>1.0686812313319098</v>
      </c>
      <c r="N501" s="337">
        <f t="shared" si="225"/>
        <v>0.36046554063038455</v>
      </c>
      <c r="O501" s="343">
        <f t="shared" si="226"/>
        <v>1.0680648821044669</v>
      </c>
      <c r="P501" s="691">
        <f t="shared" si="227"/>
        <v>0.35893145983717234</v>
      </c>
      <c r="Q501" s="336">
        <f t="shared" si="242"/>
        <v>4.9055277786568157</v>
      </c>
      <c r="R501" s="692">
        <f t="shared" si="228"/>
        <v>0.56241751235408743</v>
      </c>
      <c r="S501" s="329">
        <f t="shared" si="229"/>
        <v>0.97273715133546046</v>
      </c>
      <c r="T501" s="330">
        <f t="shared" si="230"/>
        <v>0.39272610823851334</v>
      </c>
      <c r="U501" s="331">
        <f t="shared" si="231"/>
        <v>-14.27413239271598</v>
      </c>
      <c r="V501" s="332">
        <f t="shared" si="232"/>
        <v>-148.9071669684752</v>
      </c>
      <c r="W501" s="334">
        <f t="shared" si="233"/>
        <v>31.092833031524805</v>
      </c>
      <c r="Y501" s="307">
        <f t="shared" si="234"/>
        <v>64565</v>
      </c>
      <c r="Z501" s="307">
        <f t="shared" si="235"/>
        <v>4168639225</v>
      </c>
      <c r="AB501" s="333">
        <f t="shared" si="236"/>
        <v>15.240327170019821</v>
      </c>
      <c r="AC501" s="334">
        <f t="shared" si="237"/>
        <v>-27.703736386954493</v>
      </c>
      <c r="AE501" s="333">
        <f t="shared" si="238"/>
        <v>-4.2314976638480655</v>
      </c>
      <c r="AF501" s="334">
        <f t="shared" si="239"/>
        <v>-109.54453856920185</v>
      </c>
      <c r="AH501">
        <f t="shared" si="240"/>
        <v>0</v>
      </c>
      <c r="AI501">
        <f t="shared" si="245"/>
        <v>0</v>
      </c>
    </row>
    <row r="502" spans="1:35" x14ac:dyDescent="0.25">
      <c r="A502" s="335">
        <v>64941</v>
      </c>
      <c r="B502" s="352">
        <f t="shared" si="241"/>
        <v>64.941000000000003</v>
      </c>
      <c r="C502" s="325">
        <f t="shared" si="216"/>
        <v>40.493697461955193</v>
      </c>
      <c r="D502" s="326">
        <f t="shared" si="217"/>
        <v>1.5460986149842395</v>
      </c>
      <c r="E502" s="326">
        <f t="shared" si="218"/>
        <v>1.000362557450015</v>
      </c>
      <c r="F502" s="327">
        <f t="shared" si="219"/>
        <v>2.692389065397318E-2</v>
      </c>
      <c r="G502" s="326">
        <f t="shared" si="220"/>
        <v>1</v>
      </c>
      <c r="H502" s="327">
        <f t="shared" si="221"/>
        <v>0</v>
      </c>
      <c r="I502" s="325">
        <f t="shared" si="222"/>
        <v>101854.00136825853</v>
      </c>
      <c r="J502" s="328">
        <f t="shared" si="223"/>
        <v>1.5707865088202801</v>
      </c>
      <c r="K502" s="336">
        <f t="shared" si="243"/>
        <v>8.193012761288756</v>
      </c>
      <c r="L502" s="337">
        <f t="shared" si="244"/>
        <v>1.4484360014362114</v>
      </c>
      <c r="M502" s="325">
        <f t="shared" si="224"/>
        <v>1.0694574412758044</v>
      </c>
      <c r="N502" s="337">
        <f t="shared" si="225"/>
        <v>0.36238617674658269</v>
      </c>
      <c r="O502" s="343">
        <f t="shared" si="226"/>
        <v>1.0688343431509404</v>
      </c>
      <c r="P502" s="691">
        <f t="shared" si="227"/>
        <v>0.36084539202977911</v>
      </c>
      <c r="Q502" s="336">
        <f t="shared" si="242"/>
        <v>4.9136020189543288</v>
      </c>
      <c r="R502" s="692">
        <f t="shared" si="228"/>
        <v>0.56504863102427716</v>
      </c>
      <c r="S502" s="329">
        <f t="shared" si="229"/>
        <v>0.97247654951547213</v>
      </c>
      <c r="T502" s="330">
        <f t="shared" si="230"/>
        <v>0.39525148049924502</v>
      </c>
      <c r="U502" s="331">
        <f t="shared" si="231"/>
        <v>-14.337265791921945</v>
      </c>
      <c r="V502" s="332">
        <f t="shared" si="232"/>
        <v>-149.16189182955938</v>
      </c>
      <c r="W502" s="334">
        <f t="shared" si="233"/>
        <v>30.83810817044062</v>
      </c>
      <c r="Y502" s="307">
        <f t="shared" si="234"/>
        <v>64941</v>
      </c>
      <c r="Z502" s="307">
        <f t="shared" si="235"/>
        <v>4217333481</v>
      </c>
      <c r="AB502" s="333">
        <f t="shared" si="236"/>
        <v>15.233264992560663</v>
      </c>
      <c r="AC502" s="334">
        <f t="shared" si="237"/>
        <v>-27.773366207588122</v>
      </c>
      <c r="AE502" s="333">
        <f t="shared" si="238"/>
        <v>-4.2795394039553019</v>
      </c>
      <c r="AF502" s="334">
        <f t="shared" si="239"/>
        <v>-109.68854185131607</v>
      </c>
      <c r="AH502">
        <f t="shared" si="240"/>
        <v>0</v>
      </c>
      <c r="AI502">
        <f t="shared" si="245"/>
        <v>0</v>
      </c>
    </row>
    <row r="503" spans="1:35" x14ac:dyDescent="0.25">
      <c r="A503" s="335">
        <v>65317</v>
      </c>
      <c r="B503" s="352">
        <f t="shared" si="241"/>
        <v>65.316999999999993</v>
      </c>
      <c r="C503" s="325">
        <f t="shared" si="216"/>
        <v>40.728008167977222</v>
      </c>
      <c r="D503" s="326">
        <f t="shared" si="217"/>
        <v>1.5462407310692503</v>
      </c>
      <c r="E503" s="326">
        <f t="shared" si="218"/>
        <v>1.0003667671536247</v>
      </c>
      <c r="F503" s="327">
        <f t="shared" si="219"/>
        <v>2.7079700524318247E-2</v>
      </c>
      <c r="G503" s="326">
        <f t="shared" si="220"/>
        <v>1</v>
      </c>
      <c r="H503" s="327">
        <f t="shared" si="221"/>
        <v>0</v>
      </c>
      <c r="I503" s="325">
        <f t="shared" si="222"/>
        <v>102443.72287717869</v>
      </c>
      <c r="J503" s="328">
        <f t="shared" si="223"/>
        <v>1.5707865653378554</v>
      </c>
      <c r="K503" s="336">
        <f t="shared" si="243"/>
        <v>8.2397445666117637</v>
      </c>
      <c r="L503" s="337">
        <f t="shared" si="244"/>
        <v>1.4491334238090552</v>
      </c>
      <c r="M503" s="325">
        <f t="shared" si="224"/>
        <v>1.0702375905494512</v>
      </c>
      <c r="N503" s="337">
        <f t="shared" si="225"/>
        <v>0.36430401983493643</v>
      </c>
      <c r="O503" s="343">
        <f t="shared" si="226"/>
        <v>1.0696077138418769</v>
      </c>
      <c r="P503" s="691">
        <f t="shared" si="227"/>
        <v>0.36275656351031393</v>
      </c>
      <c r="Q503" s="336">
        <f t="shared" si="242"/>
        <v>4.9217097833643422</v>
      </c>
      <c r="R503" s="692">
        <f t="shared" si="228"/>
        <v>0.56767114789177908</v>
      </c>
      <c r="S503" s="329">
        <f t="shared" si="229"/>
        <v>0.97221581729008788</v>
      </c>
      <c r="T503" s="330">
        <f t="shared" si="230"/>
        <v>0.39778092866989223</v>
      </c>
      <c r="U503" s="331">
        <f t="shared" si="231"/>
        <v>-14.400129519030131</v>
      </c>
      <c r="V503" s="332">
        <f t="shared" si="232"/>
        <v>-149.41671922131744</v>
      </c>
      <c r="W503" s="334">
        <f t="shared" si="233"/>
        <v>30.583280778682564</v>
      </c>
      <c r="Y503" s="307">
        <f t="shared" si="234"/>
        <v>65317</v>
      </c>
      <c r="Z503" s="307">
        <f t="shared" si="235"/>
        <v>4266310489</v>
      </c>
      <c r="AB503" s="333">
        <f t="shared" si="236"/>
        <v>15.226188304318081</v>
      </c>
      <c r="AC503" s="334">
        <f t="shared" si="237"/>
        <v>-27.843294402115617</v>
      </c>
      <c r="AE503" s="333">
        <f t="shared" si="238"/>
        <v>-4.3272884985549362</v>
      </c>
      <c r="AF503" s="334">
        <f t="shared" si="239"/>
        <v>-109.83268396005076</v>
      </c>
      <c r="AH503">
        <f t="shared" si="240"/>
        <v>0</v>
      </c>
      <c r="AI503">
        <f t="shared" si="245"/>
        <v>0</v>
      </c>
    </row>
    <row r="504" spans="1:35" x14ac:dyDescent="0.25">
      <c r="A504" s="335">
        <v>65693</v>
      </c>
      <c r="B504" s="352">
        <f t="shared" si="241"/>
        <v>65.692999999999998</v>
      </c>
      <c r="C504" s="325">
        <f t="shared" si="216"/>
        <v>40.96231968717148</v>
      </c>
      <c r="D504" s="326">
        <f t="shared" si="217"/>
        <v>1.5463812213001362</v>
      </c>
      <c r="E504" s="326">
        <f t="shared" si="218"/>
        <v>1.0003710011426494</v>
      </c>
      <c r="F504" s="327">
        <f t="shared" si="219"/>
        <v>2.7235509079540556E-2</v>
      </c>
      <c r="G504" s="326">
        <f t="shared" si="220"/>
        <v>1</v>
      </c>
      <c r="H504" s="327">
        <f t="shared" si="221"/>
        <v>0</v>
      </c>
      <c r="I504" s="325">
        <f t="shared" si="222"/>
        <v>103033.44438609917</v>
      </c>
      <c r="J504" s="328">
        <f t="shared" si="223"/>
        <v>1.5707866212084634</v>
      </c>
      <c r="K504" s="336">
        <f t="shared" si="243"/>
        <v>8.2864803345245281</v>
      </c>
      <c r="L504" s="337">
        <f t="shared" si="244"/>
        <v>1.4498229795866173</v>
      </c>
      <c r="M504" s="325">
        <f t="shared" si="224"/>
        <v>1.0710216705444384</v>
      </c>
      <c r="N504" s="337">
        <f t="shared" si="225"/>
        <v>0.36621906190623887</v>
      </c>
      <c r="O504" s="343">
        <f t="shared" si="226"/>
        <v>1.0703849857029306</v>
      </c>
      <c r="P504" s="691">
        <f t="shared" si="227"/>
        <v>0.364664966316529</v>
      </c>
      <c r="Q504" s="336">
        <f t="shared" si="242"/>
        <v>4.929850906504317</v>
      </c>
      <c r="R504" s="692">
        <f t="shared" si="228"/>
        <v>0.570285070019522</v>
      </c>
      <c r="S504" s="329">
        <f t="shared" si="229"/>
        <v>0.97195497980420231</v>
      </c>
      <c r="T504" s="330">
        <f t="shared" si="230"/>
        <v>0.40031447314082974</v>
      </c>
      <c r="U504" s="331">
        <f t="shared" si="231"/>
        <v>-14.462726910318507</v>
      </c>
      <c r="V504" s="332">
        <f t="shared" si="232"/>
        <v>-149.67164462478945</v>
      </c>
      <c r="W504" s="334">
        <f t="shared" si="233"/>
        <v>30.328355375210549</v>
      </c>
      <c r="Y504" s="307">
        <f t="shared" si="234"/>
        <v>65693</v>
      </c>
      <c r="Z504" s="307">
        <f t="shared" si="235"/>
        <v>4315570249</v>
      </c>
      <c r="AB504" s="333">
        <f t="shared" si="236"/>
        <v>15.219096947777174</v>
      </c>
      <c r="AC504" s="334">
        <f t="shared" si="237"/>
        <v>-27.913512795828343</v>
      </c>
      <c r="AE504" s="333">
        <f t="shared" si="238"/>
        <v>-4.3747485017056551</v>
      </c>
      <c r="AF504" s="334">
        <f t="shared" si="239"/>
        <v>-109.97696769027534</v>
      </c>
      <c r="AH504">
        <f t="shared" si="240"/>
        <v>0</v>
      </c>
      <c r="AI504">
        <f t="shared" si="245"/>
        <v>0</v>
      </c>
    </row>
    <row r="505" spans="1:35" x14ac:dyDescent="0.25">
      <c r="A505" s="335">
        <v>66069</v>
      </c>
      <c r="B505" s="352">
        <f t="shared" si="241"/>
        <v>66.069000000000003</v>
      </c>
      <c r="C505" s="325">
        <f t="shared" si="216"/>
        <v>41.196632005662877</v>
      </c>
      <c r="D505" s="326">
        <f t="shared" si="217"/>
        <v>1.5465201134132058</v>
      </c>
      <c r="E505" s="326">
        <f t="shared" si="218"/>
        <v>1.0003752594167805</v>
      </c>
      <c r="F505" s="327">
        <f t="shared" si="219"/>
        <v>2.7391316312091952E-2</v>
      </c>
      <c r="G505" s="326">
        <f t="shared" si="220"/>
        <v>1</v>
      </c>
      <c r="H505" s="327">
        <f t="shared" si="221"/>
        <v>0</v>
      </c>
      <c r="I505" s="325">
        <f t="shared" si="222"/>
        <v>103623.16589501998</v>
      </c>
      <c r="J505" s="328">
        <f t="shared" si="223"/>
        <v>1.5707866764431497</v>
      </c>
      <c r="K505" s="336">
        <f t="shared" si="243"/>
        <v>8.3332199983560571</v>
      </c>
      <c r="L505" s="337">
        <f t="shared" si="244"/>
        <v>1.4505048004748957</v>
      </c>
      <c r="M505" s="325">
        <f t="shared" si="224"/>
        <v>1.0718096726342343</v>
      </c>
      <c r="N505" s="337">
        <f t="shared" si="225"/>
        <v>0.36813129507678122</v>
      </c>
      <c r="O505" s="343">
        <f t="shared" si="226"/>
        <v>1.0711661502416661</v>
      </c>
      <c r="P505" s="691">
        <f t="shared" si="227"/>
        <v>0.36657059258989644</v>
      </c>
      <c r="Q505" s="336">
        <f t="shared" si="242"/>
        <v>4.9380252234041651</v>
      </c>
      <c r="R505" s="692">
        <f t="shared" si="228"/>
        <v>0.57289040488842402</v>
      </c>
      <c r="S505" s="329">
        <f t="shared" si="229"/>
        <v>0.97169406237547917</v>
      </c>
      <c r="T505" s="330">
        <f t="shared" si="230"/>
        <v>0.40285213420422367</v>
      </c>
      <c r="U505" s="331">
        <f t="shared" si="231"/>
        <v>-14.525061241831448</v>
      </c>
      <c r="V505" s="332">
        <f t="shared" si="232"/>
        <v>-149.92666367385411</v>
      </c>
      <c r="W505" s="334">
        <f t="shared" si="233"/>
        <v>30.073336326145892</v>
      </c>
      <c r="Y505" s="307">
        <f t="shared" si="234"/>
        <v>66069</v>
      </c>
      <c r="Z505" s="307">
        <f t="shared" si="235"/>
        <v>4365112761</v>
      </c>
      <c r="AB505" s="333">
        <f t="shared" si="236"/>
        <v>15.211990773652564</v>
      </c>
      <c r="AC505" s="334">
        <f t="shared" si="237"/>
        <v>-27.984013391458099</v>
      </c>
      <c r="AE505" s="333">
        <f t="shared" si="238"/>
        <v>-4.4219229123599746</v>
      </c>
      <c r="AF505" s="334">
        <f t="shared" si="239"/>
        <v>-110.12139579425127</v>
      </c>
      <c r="AH505">
        <f t="shared" si="240"/>
        <v>0</v>
      </c>
      <c r="AI505">
        <f t="shared" si="245"/>
        <v>0</v>
      </c>
    </row>
    <row r="506" spans="1:35" x14ac:dyDescent="0.25">
      <c r="A506" s="335">
        <v>66453.75</v>
      </c>
      <c r="B506" s="352">
        <f t="shared" si="241"/>
        <v>66.453749999999999</v>
      </c>
      <c r="C506" s="325">
        <f t="shared" si="216"/>
        <v>41.4363978841969</v>
      </c>
      <c r="D506" s="326">
        <f t="shared" si="217"/>
        <v>1.5466606116638524</v>
      </c>
      <c r="E506" s="326">
        <f t="shared" si="218"/>
        <v>1.0003796419254636</v>
      </c>
      <c r="F506" s="327">
        <f t="shared" si="219"/>
        <v>2.7550748000774339E-2</v>
      </c>
      <c r="G506" s="326">
        <f t="shared" si="220"/>
        <v>1</v>
      </c>
      <c r="H506" s="327">
        <f t="shared" si="221"/>
        <v>0</v>
      </c>
      <c r="I506" s="325">
        <f t="shared" si="222"/>
        <v>104226.61097628967</v>
      </c>
      <c r="J506" s="328">
        <f t="shared" si="223"/>
        <v>1.5707867323161868</v>
      </c>
      <c r="K506" s="336">
        <f t="shared" si="243"/>
        <v>8.3810513188038804</v>
      </c>
      <c r="L506" s="337">
        <f t="shared" si="244"/>
        <v>1.4511946155650579</v>
      </c>
      <c r="M506" s="325">
        <f t="shared" si="224"/>
        <v>1.072620063585795</v>
      </c>
      <c r="N506" s="337">
        <f t="shared" si="225"/>
        <v>0.37008511252906701</v>
      </c>
      <c r="O506" s="343">
        <f t="shared" si="226"/>
        <v>1.0719695142115844</v>
      </c>
      <c r="P506" s="691">
        <f t="shared" si="227"/>
        <v>0.36851768292503173</v>
      </c>
      <c r="Q506" s="336">
        <f t="shared" si="242"/>
        <v>4.9464239568761261</v>
      </c>
      <c r="R506" s="692">
        <f t="shared" si="228"/>
        <v>0.57554748812296275</v>
      </c>
      <c r="S506" s="329">
        <f t="shared" si="229"/>
        <v>0.97142701690319555</v>
      </c>
      <c r="T506" s="330">
        <f t="shared" si="230"/>
        <v>0.40545313234877473</v>
      </c>
      <c r="U506" s="331">
        <f t="shared" si="231"/>
        <v>-14.588577215262486</v>
      </c>
      <c r="V506" s="332">
        <f t="shared" si="232"/>
        <v>-150.18770988281892</v>
      </c>
      <c r="W506" s="334">
        <f t="shared" si="233"/>
        <v>29.812290117181078</v>
      </c>
      <c r="Y506" s="307">
        <f t="shared" si="234"/>
        <v>66453.75</v>
      </c>
      <c r="Z506" s="307">
        <f t="shared" si="235"/>
        <v>4416100889.0625</v>
      </c>
      <c r="AB506" s="333">
        <f t="shared" si="236"/>
        <v>15.204703743558849</v>
      </c>
      <c r="AC506" s="334">
        <f t="shared" si="237"/>
        <v>-28.056438593474315</v>
      </c>
      <c r="AE506" s="333">
        <f t="shared" si="238"/>
        <v>-4.46990308646662</v>
      </c>
      <c r="AF506" s="334">
        <f t="shared" si="239"/>
        <v>-110.26933720453333</v>
      </c>
      <c r="AH506">
        <f t="shared" si="240"/>
        <v>0</v>
      </c>
      <c r="AI506">
        <f t="shared" si="245"/>
        <v>0</v>
      </c>
    </row>
    <row r="507" spans="1:35" x14ac:dyDescent="0.25">
      <c r="A507" s="335">
        <v>66838.5</v>
      </c>
      <c r="B507" s="352">
        <f t="shared" si="241"/>
        <v>66.838499999999996</v>
      </c>
      <c r="C507" s="325">
        <f t="shared" si="216"/>
        <v>41.676164571264017</v>
      </c>
      <c r="D507" s="326">
        <f t="shared" si="217"/>
        <v>1.5467994933193125</v>
      </c>
      <c r="E507" s="326">
        <f t="shared" si="218"/>
        <v>1.0003840498620371</v>
      </c>
      <c r="F507" s="327">
        <f t="shared" si="219"/>
        <v>2.771017828851921E-2</v>
      </c>
      <c r="G507" s="326">
        <f t="shared" si="220"/>
        <v>1</v>
      </c>
      <c r="H507" s="327">
        <f t="shared" si="221"/>
        <v>0</v>
      </c>
      <c r="I507" s="325">
        <f t="shared" si="222"/>
        <v>104830.05605755966</v>
      </c>
      <c r="J507" s="328">
        <f t="shared" si="223"/>
        <v>1.5707867875459671</v>
      </c>
      <c r="K507" s="336">
        <f t="shared" si="243"/>
        <v>8.4288865820685466</v>
      </c>
      <c r="L507" s="337">
        <f t="shared" si="244"/>
        <v>1.4518766013573978</v>
      </c>
      <c r="M507" s="325">
        <f t="shared" si="224"/>
        <v>1.073434542968422</v>
      </c>
      <c r="N507" s="337">
        <f t="shared" si="225"/>
        <v>0.3720359724614295</v>
      </c>
      <c r="O507" s="343">
        <f t="shared" si="226"/>
        <v>1.0727769360945159</v>
      </c>
      <c r="P507" s="691">
        <f t="shared" si="227"/>
        <v>0.37046184967986323</v>
      </c>
      <c r="Q507" s="336">
        <f t="shared" si="242"/>
        <v>4.954857098867091</v>
      </c>
      <c r="R507" s="692">
        <f t="shared" si="228"/>
        <v>0.57819559693689226</v>
      </c>
      <c r="S507" s="329">
        <f t="shared" si="229"/>
        <v>0.97115994191549149</v>
      </c>
      <c r="T507" s="330">
        <f t="shared" si="230"/>
        <v>0.40805848357872604</v>
      </c>
      <c r="U507" s="331">
        <f t="shared" si="231"/>
        <v>-14.651824497011956</v>
      </c>
      <c r="V507" s="332">
        <f t="shared" si="232"/>
        <v>-150.44884536923604</v>
      </c>
      <c r="W507" s="334">
        <f t="shared" si="233"/>
        <v>29.551154630763961</v>
      </c>
      <c r="Y507" s="307">
        <f t="shared" si="234"/>
        <v>66838.5</v>
      </c>
      <c r="Z507" s="307">
        <f t="shared" si="235"/>
        <v>4467385082.25</v>
      </c>
      <c r="AB507" s="333">
        <f t="shared" si="236"/>
        <v>15.197400907145953</v>
      </c>
      <c r="AC507" s="334">
        <f t="shared" si="237"/>
        <v>-28.129142890947296</v>
      </c>
      <c r="AE507" s="333">
        <f t="shared" si="238"/>
        <v>-4.5175914626889222</v>
      </c>
      <c r="AF507" s="334">
        <f t="shared" si="239"/>
        <v>-110.41743548442331</v>
      </c>
      <c r="AH507">
        <f t="shared" si="240"/>
        <v>0</v>
      </c>
      <c r="AI507">
        <f t="shared" si="245"/>
        <v>0</v>
      </c>
    </row>
    <row r="508" spans="1:35" x14ac:dyDescent="0.25">
      <c r="A508" s="335">
        <v>67223.25</v>
      </c>
      <c r="B508" s="352">
        <f t="shared" si="241"/>
        <v>67.223249999999993</v>
      </c>
      <c r="C508" s="325">
        <f t="shared" si="216"/>
        <v>41.915932052989362</v>
      </c>
      <c r="D508" s="326">
        <f t="shared" si="217"/>
        <v>1.5469367861159218</v>
      </c>
      <c r="E508" s="326">
        <f t="shared" si="218"/>
        <v>1.0003884832261642</v>
      </c>
      <c r="F508" s="327">
        <f t="shared" si="219"/>
        <v>2.7869607167240337E-2</v>
      </c>
      <c r="G508" s="326">
        <f t="shared" si="220"/>
        <v>1</v>
      </c>
      <c r="H508" s="327">
        <f t="shared" si="221"/>
        <v>0</v>
      </c>
      <c r="I508" s="325">
        <f t="shared" si="222"/>
        <v>105433.50113882999</v>
      </c>
      <c r="J508" s="328">
        <f t="shared" si="223"/>
        <v>1.5707868421435363</v>
      </c>
      <c r="K508" s="336">
        <f t="shared" si="243"/>
        <v>8.4767257214005731</v>
      </c>
      <c r="L508" s="337">
        <f t="shared" si="244"/>
        <v>1.4525508897680659</v>
      </c>
      <c r="M508" s="325">
        <f t="shared" si="224"/>
        <v>1.074253101482791</v>
      </c>
      <c r="N508" s="337">
        <f t="shared" si="225"/>
        <v>0.37398386676843859</v>
      </c>
      <c r="O508" s="343">
        <f t="shared" si="226"/>
        <v>1.0735884067348631</v>
      </c>
      <c r="P508" s="691">
        <f t="shared" si="227"/>
        <v>0.37240308477023182</v>
      </c>
      <c r="Q508" s="336">
        <f t="shared" si="242"/>
        <v>4.9633244740107152</v>
      </c>
      <c r="R508" s="692">
        <f t="shared" si="228"/>
        <v>0.58083474066336083</v>
      </c>
      <c r="S508" s="329">
        <f t="shared" si="229"/>
        <v>0.97089286510246331</v>
      </c>
      <c r="T508" s="330">
        <f t="shared" si="230"/>
        <v>0.41066820930470849</v>
      </c>
      <c r="U508" s="331">
        <f t="shared" si="231"/>
        <v>-14.714806411505375</v>
      </c>
      <c r="V508" s="332">
        <f t="shared" si="232"/>
        <v>-150.71006592540795</v>
      </c>
      <c r="W508" s="334">
        <f t="shared" si="233"/>
        <v>29.289934074592054</v>
      </c>
      <c r="Y508" s="307">
        <f t="shared" si="234"/>
        <v>67223.25</v>
      </c>
      <c r="Z508" s="307">
        <f t="shared" si="235"/>
        <v>4518965340.5625</v>
      </c>
      <c r="AB508" s="333">
        <f t="shared" si="236"/>
        <v>15.190082129444322</v>
      </c>
      <c r="AC508" s="334">
        <f t="shared" si="237"/>
        <v>-28.202118261864278</v>
      </c>
      <c r="AE508" s="333">
        <f t="shared" si="238"/>
        <v>-4.5649916191178592</v>
      </c>
      <c r="AF508" s="334">
        <f t="shared" si="239"/>
        <v>-110.56569345029826</v>
      </c>
      <c r="AH508">
        <f t="shared" si="240"/>
        <v>0</v>
      </c>
      <c r="AI508">
        <f t="shared" si="245"/>
        <v>0</v>
      </c>
    </row>
    <row r="509" spans="1:35" x14ac:dyDescent="0.25">
      <c r="A509" s="335">
        <v>67608</v>
      </c>
      <c r="B509" s="352">
        <f t="shared" si="241"/>
        <v>67.608000000000004</v>
      </c>
      <c r="C509" s="325">
        <f t="shared" si="216"/>
        <v>42.155700315813682</v>
      </c>
      <c r="D509" s="326">
        <f t="shared" si="217"/>
        <v>1.5470725171592365</v>
      </c>
      <c r="E509" s="326">
        <f t="shared" si="218"/>
        <v>1.0003929420175075</v>
      </c>
      <c r="F509" s="327">
        <f t="shared" si="219"/>
        <v>2.8029034628851923E-2</v>
      </c>
      <c r="G509" s="326">
        <f t="shared" si="220"/>
        <v>1</v>
      </c>
      <c r="H509" s="327">
        <f t="shared" si="221"/>
        <v>0</v>
      </c>
      <c r="I509" s="325">
        <f t="shared" si="222"/>
        <v>106036.94622010062</v>
      </c>
      <c r="J509" s="328">
        <f t="shared" si="223"/>
        <v>1.5707868961196871</v>
      </c>
      <c r="K509" s="336">
        <f t="shared" si="243"/>
        <v>8.5245686715434967</v>
      </c>
      <c r="L509" s="337">
        <f t="shared" si="244"/>
        <v>1.4532176097801273</v>
      </c>
      <c r="M509" s="325">
        <f t="shared" si="224"/>
        <v>1.0750757298113962</v>
      </c>
      <c r="N509" s="337">
        <f t="shared" si="225"/>
        <v>0.37592878745930747</v>
      </c>
      <c r="O509" s="343">
        <f t="shared" si="226"/>
        <v>1.074403916958848</v>
      </c>
      <c r="P509" s="691">
        <f t="shared" si="227"/>
        <v>0.37434138022472074</v>
      </c>
      <c r="Q509" s="336">
        <f t="shared" si="242"/>
        <v>4.9718259074258855</v>
      </c>
      <c r="R509" s="692">
        <f t="shared" si="228"/>
        <v>0.58346492906586922</v>
      </c>
      <c r="S509" s="329">
        <f t="shared" si="229"/>
        <v>0.97062581434472339</v>
      </c>
      <c r="T509" s="330">
        <f t="shared" si="230"/>
        <v>0.41328233082143495</v>
      </c>
      <c r="U509" s="331">
        <f t="shared" si="231"/>
        <v>-14.777526223827564</v>
      </c>
      <c r="V509" s="332">
        <f t="shared" si="232"/>
        <v>-150.97136749365973</v>
      </c>
      <c r="W509" s="334">
        <f t="shared" si="233"/>
        <v>29.028632506340273</v>
      </c>
      <c r="Y509" s="307">
        <f t="shared" si="234"/>
        <v>67608</v>
      </c>
      <c r="Z509" s="307">
        <f t="shared" si="235"/>
        <v>4570841664</v>
      </c>
      <c r="AB509" s="333">
        <f t="shared" si="236"/>
        <v>15.182747283343453</v>
      </c>
      <c r="AC509" s="334">
        <f t="shared" si="237"/>
        <v>-28.275356858820029</v>
      </c>
      <c r="AE509" s="333">
        <f t="shared" si="238"/>
        <v>-4.612107078920805</v>
      </c>
      <c r="AF509" s="334">
        <f t="shared" si="239"/>
        <v>-110.71411387575264</v>
      </c>
      <c r="AH509">
        <f t="shared" si="240"/>
        <v>0</v>
      </c>
      <c r="AI509">
        <f t="shared" si="245"/>
        <v>0</v>
      </c>
    </row>
    <row r="510" spans="1:35" x14ac:dyDescent="0.25">
      <c r="A510" s="335">
        <v>68001.75</v>
      </c>
      <c r="B510" s="352">
        <f t="shared" si="241"/>
        <v>68.001750000000001</v>
      </c>
      <c r="C510" s="325">
        <f t="shared" si="216"/>
        <v>42.401077987866394</v>
      </c>
      <c r="D510" s="326">
        <f t="shared" si="217"/>
        <v>1.5472098338584197</v>
      </c>
      <c r="E510" s="326">
        <f t="shared" si="218"/>
        <v>1.0003975314340641</v>
      </c>
      <c r="F510" s="327">
        <f t="shared" si="219"/>
        <v>2.8192189912154202E-2</v>
      </c>
      <c r="G510" s="326">
        <f t="shared" si="220"/>
        <v>1</v>
      </c>
      <c r="H510" s="327">
        <f t="shared" si="221"/>
        <v>0</v>
      </c>
      <c r="I510" s="325">
        <f t="shared" si="222"/>
        <v>106654.50697578726</v>
      </c>
      <c r="J510" s="328">
        <f t="shared" si="223"/>
        <v>1.5707869507260519</v>
      </c>
      <c r="K510" s="336">
        <f t="shared" si="243"/>
        <v>8.5735346340217902</v>
      </c>
      <c r="L510" s="337">
        <f t="shared" si="244"/>
        <v>1.4538922211469065</v>
      </c>
      <c r="M510" s="325">
        <f t="shared" si="224"/>
        <v>1.0759218048952708</v>
      </c>
      <c r="N510" s="337">
        <f t="shared" si="225"/>
        <v>0.37791611638608663</v>
      </c>
      <c r="O510" s="343">
        <f t="shared" si="226"/>
        <v>1.0752426762830998</v>
      </c>
      <c r="P510" s="691">
        <f t="shared" si="227"/>
        <v>0.37632196413890801</v>
      </c>
      <c r="Q510" s="336">
        <f t="shared" si="242"/>
        <v>4.980561285437763</v>
      </c>
      <c r="R510" s="692">
        <f t="shared" si="228"/>
        <v>0.58614738097924668</v>
      </c>
      <c r="S510" s="329">
        <f t="shared" si="229"/>
        <v>0.97035257305408418</v>
      </c>
      <c r="T510" s="330">
        <f t="shared" si="230"/>
        <v>0.41596217470685026</v>
      </c>
      <c r="U510" s="331">
        <f t="shared" si="231"/>
        <v>-14.841445142090404</v>
      </c>
      <c r="V510" s="332">
        <f t="shared" si="232"/>
        <v>-151.23886117525885</v>
      </c>
      <c r="W510" s="334">
        <f t="shared" si="233"/>
        <v>28.761138824741153</v>
      </c>
      <c r="Y510" s="307">
        <f t="shared" si="234"/>
        <v>68001.75</v>
      </c>
      <c r="Z510" s="307">
        <f t="shared" si="235"/>
        <v>4624238003.0625</v>
      </c>
      <c r="AB510" s="333">
        <f t="shared" si="236"/>
        <v>15.175224100631651</v>
      </c>
      <c r="AC510" s="334">
        <f t="shared" si="237"/>
        <v>-28.350573163500925</v>
      </c>
      <c r="AE510" s="333">
        <f t="shared" si="238"/>
        <v>-4.6600335107841264</v>
      </c>
      <c r="AF510" s="334">
        <f t="shared" si="239"/>
        <v>-110.866177178496</v>
      </c>
      <c r="AH510">
        <f t="shared" si="240"/>
        <v>0</v>
      </c>
      <c r="AI510">
        <f t="shared" si="245"/>
        <v>0</v>
      </c>
    </row>
    <row r="511" spans="1:35" x14ac:dyDescent="0.25">
      <c r="A511" s="335">
        <v>68395.5</v>
      </c>
      <c r="B511" s="352">
        <f t="shared" si="241"/>
        <v>68.395499999999998</v>
      </c>
      <c r="C511" s="325">
        <f t="shared" si="216"/>
        <v>42.646456450228186</v>
      </c>
      <c r="D511" s="326">
        <f t="shared" si="217"/>
        <v>1.547345570379119</v>
      </c>
      <c r="E511" s="326">
        <f t="shared" si="218"/>
        <v>1.0004021474806046</v>
      </c>
      <c r="F511" s="327">
        <f t="shared" si="219"/>
        <v>2.8355343694140278E-2</v>
      </c>
      <c r="G511" s="326">
        <f t="shared" si="220"/>
        <v>1</v>
      </c>
      <c r="H511" s="327">
        <f t="shared" si="221"/>
        <v>0</v>
      </c>
      <c r="I511" s="325">
        <f t="shared" si="222"/>
        <v>107272.06773147421</v>
      </c>
      <c r="J511" s="328">
        <f t="shared" si="223"/>
        <v>1.5707870047036834</v>
      </c>
      <c r="K511" s="336">
        <f t="shared" si="243"/>
        <v>8.6225044540031757</v>
      </c>
      <c r="L511" s="337">
        <f t="shared" si="244"/>
        <v>1.4545591701689149</v>
      </c>
      <c r="M511" s="325">
        <f t="shared" si="224"/>
        <v>1.0767721226191644</v>
      </c>
      <c r="N511" s="337">
        <f t="shared" si="225"/>
        <v>0.37990031438585253</v>
      </c>
      <c r="O511" s="343">
        <f t="shared" si="226"/>
        <v>1.0760856468904785</v>
      </c>
      <c r="P511" s="691">
        <f t="shared" si="227"/>
        <v>0.37829945274966353</v>
      </c>
      <c r="Q511" s="336">
        <f t="shared" si="242"/>
        <v>4.989331964715479</v>
      </c>
      <c r="R511" s="692">
        <f t="shared" si="228"/>
        <v>0.58882047574681184</v>
      </c>
      <c r="S511" s="329">
        <f t="shared" si="229"/>
        <v>0.97007941874766268</v>
      </c>
      <c r="T511" s="330">
        <f t="shared" si="230"/>
        <v>0.41864666718512328</v>
      </c>
      <c r="U511" s="331">
        <f t="shared" si="231"/>
        <v>-14.90509628827459</v>
      </c>
      <c r="V511" s="332">
        <f t="shared" si="232"/>
        <v>-151.50643156801911</v>
      </c>
      <c r="W511" s="334">
        <f t="shared" si="233"/>
        <v>28.49356843198089</v>
      </c>
      <c r="Y511" s="307">
        <f t="shared" si="234"/>
        <v>68395.5</v>
      </c>
      <c r="Z511" s="307">
        <f t="shared" si="235"/>
        <v>4677944420.25</v>
      </c>
      <c r="AB511" s="333">
        <f t="shared" si="236"/>
        <v>15.167683843692306</v>
      </c>
      <c r="AC511" s="334">
        <f t="shared" si="237"/>
        <v>-28.426049063271073</v>
      </c>
      <c r="AE511" s="333">
        <f t="shared" si="238"/>
        <v>-4.7076690666136871</v>
      </c>
      <c r="AF511" s="334">
        <f t="shared" si="239"/>
        <v>-111.01841637445207</v>
      </c>
      <c r="AH511">
        <f t="shared" si="240"/>
        <v>0</v>
      </c>
      <c r="AI511">
        <f t="shared" si="245"/>
        <v>0</v>
      </c>
    </row>
    <row r="512" spans="1:35" x14ac:dyDescent="0.25">
      <c r="A512" s="335">
        <v>68789.25</v>
      </c>
      <c r="B512" s="352">
        <f t="shared" si="241"/>
        <v>68.789249999999996</v>
      </c>
      <c r="C512" s="325">
        <f t="shared" si="216"/>
        <v>42.891835689335295</v>
      </c>
      <c r="D512" s="326">
        <f t="shared" si="217"/>
        <v>1.547479753836345</v>
      </c>
      <c r="E512" s="326">
        <f t="shared" si="218"/>
        <v>1.0004067901567604</v>
      </c>
      <c r="F512" s="327">
        <f t="shared" si="219"/>
        <v>2.8518495966144961E-2</v>
      </c>
      <c r="G512" s="326">
        <f t="shared" si="220"/>
        <v>1</v>
      </c>
      <c r="H512" s="327">
        <f t="shared" si="221"/>
        <v>0</v>
      </c>
      <c r="I512" s="325">
        <f t="shared" si="222"/>
        <v>107889.62848716146</v>
      </c>
      <c r="J512" s="328">
        <f t="shared" si="223"/>
        <v>1.5707870580633787</v>
      </c>
      <c r="K512" s="336">
        <f t="shared" si="243"/>
        <v>8.6714780661350428</v>
      </c>
      <c r="L512" s="337">
        <f t="shared" si="244"/>
        <v>1.4552185860708156</v>
      </c>
      <c r="M512" s="325">
        <f t="shared" si="224"/>
        <v>1.0776266729399184</v>
      </c>
      <c r="N512" s="337">
        <f t="shared" si="225"/>
        <v>0.38188137326492122</v>
      </c>
      <c r="O512" s="343">
        <f t="shared" si="226"/>
        <v>1.0769328188918217</v>
      </c>
      <c r="P512" s="691">
        <f t="shared" si="227"/>
        <v>0.38027383787796692</v>
      </c>
      <c r="Q512" s="336">
        <f t="shared" si="242"/>
        <v>4.9981377594455605</v>
      </c>
      <c r="R512" s="692">
        <f t="shared" si="228"/>
        <v>0.59148422518767041</v>
      </c>
      <c r="S512" s="329">
        <f t="shared" si="229"/>
        <v>0.96980638193016167</v>
      </c>
      <c r="T512" s="330">
        <f t="shared" si="230"/>
        <v>0.42133583068925023</v>
      </c>
      <c r="U512" s="331">
        <f t="shared" si="231"/>
        <v>-14.968482979046724</v>
      </c>
      <c r="V512" s="332">
        <f t="shared" si="232"/>
        <v>-151.7740747842642</v>
      </c>
      <c r="W512" s="334">
        <f t="shared" si="233"/>
        <v>28.225925215735799</v>
      </c>
      <c r="Y512" s="307">
        <f t="shared" si="234"/>
        <v>68789.25</v>
      </c>
      <c r="Z512" s="307">
        <f t="shared" si="235"/>
        <v>4731960915.5625</v>
      </c>
      <c r="AB512" s="333">
        <f t="shared" si="236"/>
        <v>15.160126400140687</v>
      </c>
      <c r="AC512" s="334">
        <f t="shared" si="237"/>
        <v>-28.501776685257763</v>
      </c>
      <c r="AE512" s="333">
        <f t="shared" si="238"/>
        <v>-4.7550173523064103</v>
      </c>
      <c r="AF512" s="334">
        <f t="shared" si="239"/>
        <v>-111.17083430300903</v>
      </c>
      <c r="AH512">
        <f t="shared" si="240"/>
        <v>0</v>
      </c>
      <c r="AI512">
        <f t="shared" si="245"/>
        <v>0</v>
      </c>
    </row>
    <row r="513" spans="1:35" x14ac:dyDescent="0.25">
      <c r="A513" s="335">
        <v>69183</v>
      </c>
      <c r="B513" s="352">
        <f t="shared" si="241"/>
        <v>69.183000000000007</v>
      </c>
      <c r="C513" s="325">
        <f t="shared" si="216"/>
        <v>43.137215691932532</v>
      </c>
      <c r="D513" s="326">
        <f t="shared" si="217"/>
        <v>1.5476124107283755</v>
      </c>
      <c r="E513" s="326">
        <f t="shared" si="218"/>
        <v>1.0004114594621607</v>
      </c>
      <c r="F513" s="327">
        <f t="shared" si="219"/>
        <v>2.8681646719503549E-2</v>
      </c>
      <c r="G513" s="326">
        <f t="shared" si="220"/>
        <v>1</v>
      </c>
      <c r="H513" s="327">
        <f t="shared" si="221"/>
        <v>0</v>
      </c>
      <c r="I513" s="325">
        <f t="shared" si="222"/>
        <v>108507.18924284904</v>
      </c>
      <c r="J513" s="328">
        <f t="shared" si="223"/>
        <v>1.5707871108156883</v>
      </c>
      <c r="K513" s="336">
        <f t="shared" si="243"/>
        <v>8.7204554065278472</v>
      </c>
      <c r="L513" s="337">
        <f t="shared" si="244"/>
        <v>1.4558705952007194</v>
      </c>
      <c r="M513" s="325">
        <f t="shared" si="224"/>
        <v>1.0784854457962927</v>
      </c>
      <c r="N513" s="337">
        <f t="shared" si="225"/>
        <v>0.38385928495407112</v>
      </c>
      <c r="O513" s="343">
        <f t="shared" si="226"/>
        <v>1.0777841823798489</v>
      </c>
      <c r="P513" s="691">
        <f t="shared" si="227"/>
        <v>0.38224511146723278</v>
      </c>
      <c r="Q513" s="336">
        <f t="shared" si="242"/>
        <v>5.0069784843804079</v>
      </c>
      <c r="R513" s="692">
        <f t="shared" si="228"/>
        <v>0.59413864156225482</v>
      </c>
      <c r="S513" s="329">
        <f t="shared" si="229"/>
        <v>0.96953349331635696</v>
      </c>
      <c r="T513" s="330">
        <f t="shared" si="230"/>
        <v>0.42402968751537612</v>
      </c>
      <c r="U513" s="331">
        <f t="shared" si="231"/>
        <v>-15.03160847263082</v>
      </c>
      <c r="V513" s="332">
        <f t="shared" si="232"/>
        <v>-152.04178708334319</v>
      </c>
      <c r="W513" s="334">
        <f t="shared" si="233"/>
        <v>27.958212916656805</v>
      </c>
      <c r="Y513" s="307">
        <f t="shared" si="234"/>
        <v>69183</v>
      </c>
      <c r="Z513" s="307">
        <f t="shared" si="235"/>
        <v>4786287489</v>
      </c>
      <c r="AB513" s="333">
        <f t="shared" si="236"/>
        <v>15.152551665093227</v>
      </c>
      <c r="AC513" s="334">
        <f t="shared" si="237"/>
        <v>-28.577748328519682</v>
      </c>
      <c r="AE513" s="333">
        <f t="shared" si="238"/>
        <v>-4.8020819190121466</v>
      </c>
      <c r="AF513" s="334">
        <f t="shared" si="239"/>
        <v>-111.32343376037777</v>
      </c>
      <c r="AH513">
        <f t="shared" si="240"/>
        <v>0</v>
      </c>
      <c r="AI513">
        <f t="shared" si="245"/>
        <v>0</v>
      </c>
    </row>
    <row r="514" spans="1:35" x14ac:dyDescent="0.25">
      <c r="A514" s="335">
        <v>69586</v>
      </c>
      <c r="B514" s="352">
        <f t="shared" si="241"/>
        <v>69.585999999999999</v>
      </c>
      <c r="C514" s="325">
        <f t="shared" si="216"/>
        <v>43.388360954216559</v>
      </c>
      <c r="D514" s="326">
        <f t="shared" si="217"/>
        <v>1.5477466302500267</v>
      </c>
      <c r="E514" s="326">
        <f t="shared" si="218"/>
        <v>1.0004162660337472</v>
      </c>
      <c r="F514" s="327">
        <f t="shared" si="219"/>
        <v>2.884862863909728E-2</v>
      </c>
      <c r="G514" s="326">
        <f t="shared" si="220"/>
        <v>1</v>
      </c>
      <c r="H514" s="327">
        <f t="shared" si="221"/>
        <v>0</v>
      </c>
      <c r="I514" s="325">
        <f t="shared" si="222"/>
        <v>109139.25777501971</v>
      </c>
      <c r="J514" s="328">
        <f t="shared" si="223"/>
        <v>1.5707871641890625</v>
      </c>
      <c r="K514" s="336">
        <f t="shared" si="243"/>
        <v>8.7705871211938327</v>
      </c>
      <c r="L514" s="337">
        <f t="shared" si="244"/>
        <v>1.4565303804778154</v>
      </c>
      <c r="M514" s="325">
        <f t="shared" si="224"/>
        <v>1.0793687549753974</v>
      </c>
      <c r="N514" s="337">
        <f t="shared" si="225"/>
        <v>0.38588039461994078</v>
      </c>
      <c r="O514" s="343">
        <f t="shared" si="226"/>
        <v>1.0786598761382744</v>
      </c>
      <c r="P514" s="691">
        <f t="shared" si="227"/>
        <v>0.3842594640186171</v>
      </c>
      <c r="Q514" s="336">
        <f t="shared" si="242"/>
        <v>5.0160628741777824</v>
      </c>
      <c r="R514" s="692">
        <f t="shared" si="228"/>
        <v>0.59684576438421366</v>
      </c>
      <c r="S514" s="329">
        <f t="shared" si="229"/>
        <v>0.96925437972835005</v>
      </c>
      <c r="T514" s="330">
        <f t="shared" si="230"/>
        <v>0.42679171172033747</v>
      </c>
      <c r="U514" s="331">
        <f t="shared" si="231"/>
        <v>-15.095949781612198</v>
      </c>
      <c r="V514" s="332">
        <f t="shared" si="232"/>
        <v>-152.31585627915481</v>
      </c>
      <c r="W514" s="334">
        <f t="shared" si="233"/>
        <v>27.684143720845185</v>
      </c>
      <c r="Y514" s="307">
        <f t="shared" si="234"/>
        <v>69586</v>
      </c>
      <c r="Z514" s="307">
        <f t="shared" si="235"/>
        <v>4842211396</v>
      </c>
      <c r="AB514" s="333">
        <f t="shared" si="236"/>
        <v>15.144780976446965</v>
      </c>
      <c r="AC514" s="334">
        <f t="shared" si="237"/>
        <v>-28.655749528702838</v>
      </c>
      <c r="AE514" s="333">
        <f t="shared" si="238"/>
        <v>-4.8499619844693402</v>
      </c>
      <c r="AF514" s="334">
        <f t="shared" si="239"/>
        <v>-111.47980894328487</v>
      </c>
      <c r="AH514">
        <f t="shared" si="240"/>
        <v>0</v>
      </c>
      <c r="AI514">
        <f t="shared" si="245"/>
        <v>0</v>
      </c>
    </row>
    <row r="515" spans="1:35" x14ac:dyDescent="0.25">
      <c r="A515" s="335">
        <v>69989</v>
      </c>
      <c r="B515" s="352">
        <f t="shared" si="241"/>
        <v>69.989000000000004</v>
      </c>
      <c r="C515" s="325">
        <f t="shared" si="216"/>
        <v>43.63950698914006</v>
      </c>
      <c r="D515" s="326">
        <f t="shared" si="217"/>
        <v>1.5478793049032158</v>
      </c>
      <c r="E515" s="326">
        <f t="shared" si="218"/>
        <v>1.0004211004996333</v>
      </c>
      <c r="F515" s="327">
        <f t="shared" si="219"/>
        <v>2.9015608949489693E-2</v>
      </c>
      <c r="G515" s="326">
        <f t="shared" si="220"/>
        <v>1</v>
      </c>
      <c r="H515" s="327">
        <f t="shared" si="221"/>
        <v>0</v>
      </c>
      <c r="I515" s="325">
        <f t="shared" si="222"/>
        <v>109771.32630719071</v>
      </c>
      <c r="J515" s="328">
        <f t="shared" si="223"/>
        <v>1.5707872169477839</v>
      </c>
      <c r="K515" s="336">
        <f t="shared" si="243"/>
        <v>8.820722610442866</v>
      </c>
      <c r="L515" s="337">
        <f t="shared" si="244"/>
        <v>1.4571826658212577</v>
      </c>
      <c r="M515" s="325">
        <f t="shared" si="224"/>
        <v>1.0802564660299656</v>
      </c>
      <c r="N515" s="337">
        <f t="shared" si="225"/>
        <v>0.38789819078472332</v>
      </c>
      <c r="O515" s="343">
        <f t="shared" si="226"/>
        <v>1.0795399395734737</v>
      </c>
      <c r="P515" s="691">
        <f t="shared" si="227"/>
        <v>0.38627054043483977</v>
      </c>
      <c r="Q515" s="336">
        <f t="shared" si="242"/>
        <v>5.0251834638062407</v>
      </c>
      <c r="R515" s="692">
        <f t="shared" si="228"/>
        <v>0.59954313785449043</v>
      </c>
      <c r="S515" s="329">
        <f t="shared" si="229"/>
        <v>0.96897548716968573</v>
      </c>
      <c r="T515" s="330">
        <f t="shared" si="230"/>
        <v>0.42955869915977035</v>
      </c>
      <c r="U515" s="331">
        <f t="shared" si="231"/>
        <v>-15.160024202668136</v>
      </c>
      <c r="V515" s="332">
        <f t="shared" si="232"/>
        <v>-152.58999036682602</v>
      </c>
      <c r="W515" s="334">
        <f t="shared" si="233"/>
        <v>27.410009633173985</v>
      </c>
      <c r="Y515" s="307">
        <f t="shared" si="234"/>
        <v>69989</v>
      </c>
      <c r="Z515" s="307">
        <f t="shared" si="235"/>
        <v>4898460121</v>
      </c>
      <c r="AB515" s="333">
        <f t="shared" si="236"/>
        <v>15.13699197498762</v>
      </c>
      <c r="AC515" s="334">
        <f t="shared" si="237"/>
        <v>-28.733990558586559</v>
      </c>
      <c r="AE515" s="333">
        <f t="shared" si="238"/>
        <v>-4.8975522012541139</v>
      </c>
      <c r="AF515" s="334">
        <f t="shared" si="239"/>
        <v>-111.63638007633782</v>
      </c>
      <c r="AH515">
        <f t="shared" si="240"/>
        <v>0</v>
      </c>
      <c r="AI515">
        <f t="shared" si="245"/>
        <v>0</v>
      </c>
    </row>
    <row r="516" spans="1:35" x14ac:dyDescent="0.25">
      <c r="A516" s="335">
        <v>70392</v>
      </c>
      <c r="B516" s="352">
        <f t="shared" si="241"/>
        <v>70.391999999999996</v>
      </c>
      <c r="C516" s="325">
        <f t="shared" si="216"/>
        <v>43.890653783439717</v>
      </c>
      <c r="D516" s="326">
        <f t="shared" si="217"/>
        <v>1.5480104612029162</v>
      </c>
      <c r="E516" s="326">
        <f t="shared" si="218"/>
        <v>1.0004259628594148</v>
      </c>
      <c r="F516" s="327">
        <f t="shared" si="219"/>
        <v>2.9182587641392546E-2</v>
      </c>
      <c r="G516" s="326">
        <f t="shared" si="220"/>
        <v>1</v>
      </c>
      <c r="H516" s="327">
        <f t="shared" si="221"/>
        <v>0</v>
      </c>
      <c r="I516" s="325">
        <f t="shared" si="222"/>
        <v>110403.39483936201</v>
      </c>
      <c r="J516" s="328">
        <f t="shared" si="223"/>
        <v>1.5707872691024092</v>
      </c>
      <c r="K516" s="336">
        <f t="shared" si="243"/>
        <v>8.8708618102764625</v>
      </c>
      <c r="L516" s="337">
        <f t="shared" si="244"/>
        <v>1.45782757784286</v>
      </c>
      <c r="M516" s="325">
        <f t="shared" si="224"/>
        <v>1.081148568117102</v>
      </c>
      <c r="N516" s="337">
        <f t="shared" si="225"/>
        <v>0.38991266519974893</v>
      </c>
      <c r="O516" s="343">
        <f t="shared" si="226"/>
        <v>1.080424362007441</v>
      </c>
      <c r="P516" s="691">
        <f t="shared" si="227"/>
        <v>0.38827833247427934</v>
      </c>
      <c r="Q516" s="336">
        <f t="shared" si="242"/>
        <v>5.0343400565464203</v>
      </c>
      <c r="R516" s="692">
        <f t="shared" si="228"/>
        <v>0.60223077650408552</v>
      </c>
      <c r="S516" s="329">
        <f t="shared" si="229"/>
        <v>0.96869684925629485</v>
      </c>
      <c r="T516" s="330">
        <f t="shared" si="230"/>
        <v>0.43233067327630365</v>
      </c>
      <c r="U516" s="331">
        <f t="shared" si="231"/>
        <v>-15.223835048921163</v>
      </c>
      <c r="V516" s="332">
        <f t="shared" si="232"/>
        <v>-152.86418578769201</v>
      </c>
      <c r="W516" s="334">
        <f t="shared" si="233"/>
        <v>27.135814212307992</v>
      </c>
      <c r="Y516" s="307">
        <f t="shared" si="234"/>
        <v>70392</v>
      </c>
      <c r="Z516" s="307">
        <f t="shared" si="235"/>
        <v>4955033664</v>
      </c>
      <c r="AB516" s="333">
        <f t="shared" si="236"/>
        <v>15.129184571028988</v>
      </c>
      <c r="AC516" s="334">
        <f t="shared" si="237"/>
        <v>-28.81246369183912</v>
      </c>
      <c r="AE516" s="333">
        <f t="shared" si="238"/>
        <v>-4.9448562068975832</v>
      </c>
      <c r="AF516" s="334">
        <f t="shared" si="239"/>
        <v>-111.79315002242856</v>
      </c>
      <c r="AH516">
        <f t="shared" si="240"/>
        <v>0</v>
      </c>
      <c r="AI516">
        <f t="shared" si="245"/>
        <v>0</v>
      </c>
    </row>
    <row r="517" spans="1:35" x14ac:dyDescent="0.25">
      <c r="A517" s="335">
        <v>70795</v>
      </c>
      <c r="B517" s="352">
        <f t="shared" si="241"/>
        <v>70.795000000000002</v>
      </c>
      <c r="C517" s="325">
        <f t="shared" si="216"/>
        <v>44.141801324154002</v>
      </c>
      <c r="D517" s="326">
        <f t="shared" si="217"/>
        <v>1.5481401250608779</v>
      </c>
      <c r="E517" s="326">
        <f t="shared" si="218"/>
        <v>1.0004308531126849</v>
      </c>
      <c r="F517" s="327">
        <f t="shared" si="219"/>
        <v>2.9349564705518149E-2</v>
      </c>
      <c r="G517" s="326">
        <f t="shared" si="220"/>
        <v>1</v>
      </c>
      <c r="H517" s="327">
        <f t="shared" si="221"/>
        <v>0</v>
      </c>
      <c r="I517" s="325">
        <f t="shared" si="222"/>
        <v>111035.46337153362</v>
      </c>
      <c r="J517" s="328">
        <f t="shared" si="223"/>
        <v>1.570787320663255</v>
      </c>
      <c r="K517" s="336">
        <f t="shared" si="243"/>
        <v>8.9210046581302365</v>
      </c>
      <c r="L517" s="337">
        <f t="shared" si="244"/>
        <v>1.4584652403326663</v>
      </c>
      <c r="M517" s="325">
        <f t="shared" si="224"/>
        <v>1.0820450503761243</v>
      </c>
      <c r="N517" s="337">
        <f t="shared" si="225"/>
        <v>0.3919238097513229</v>
      </c>
      <c r="O517" s="343">
        <f t="shared" si="226"/>
        <v>1.0813131327443022</v>
      </c>
      <c r="P517" s="691">
        <f t="shared" si="227"/>
        <v>0.39028283202813152</v>
      </c>
      <c r="Q517" s="336">
        <f t="shared" si="242"/>
        <v>5.0435324563338648</v>
      </c>
      <c r="R517" s="692">
        <f t="shared" si="228"/>
        <v>0.60490869531458824</v>
      </c>
      <c r="S517" s="329">
        <f t="shared" si="229"/>
        <v>0.96841849983568695</v>
      </c>
      <c r="T517" s="330">
        <f t="shared" si="230"/>
        <v>0.43510765735098617</v>
      </c>
      <c r="U517" s="331">
        <f t="shared" si="231"/>
        <v>-15.287385575963043</v>
      </c>
      <c r="V517" s="332">
        <f t="shared" si="232"/>
        <v>-153.1384391268704</v>
      </c>
      <c r="W517" s="334">
        <f t="shared" si="233"/>
        <v>26.861560873129605</v>
      </c>
      <c r="Y517" s="307">
        <f t="shared" si="234"/>
        <v>70795</v>
      </c>
      <c r="Z517" s="307">
        <f t="shared" si="235"/>
        <v>5011932025</v>
      </c>
      <c r="AB517" s="333">
        <f t="shared" si="236"/>
        <v>15.12135868203837</v>
      </c>
      <c r="AC517" s="334">
        <f t="shared" si="237"/>
        <v>-28.891161371524113</v>
      </c>
      <c r="AE517" s="333">
        <f t="shared" si="238"/>
        <v>-4.9918775843605987</v>
      </c>
      <c r="AF517" s="334">
        <f t="shared" si="239"/>
        <v>-111.95012160062898</v>
      </c>
      <c r="AH517">
        <f t="shared" si="240"/>
        <v>0</v>
      </c>
      <c r="AI517">
        <f t="shared" si="245"/>
        <v>0</v>
      </c>
    </row>
    <row r="518" spans="1:35" x14ac:dyDescent="0.25">
      <c r="A518" s="335">
        <v>71207.25</v>
      </c>
      <c r="B518" s="352">
        <f t="shared" si="241"/>
        <v>71.207250000000002</v>
      </c>
      <c r="C518" s="325">
        <f t="shared" si="216"/>
        <v>44.398714176705283</v>
      </c>
      <c r="D518" s="326">
        <f t="shared" si="217"/>
        <v>1.5482712472570752</v>
      </c>
      <c r="E518" s="326">
        <f t="shared" si="218"/>
        <v>1.0004358844719847</v>
      </c>
      <c r="F518" s="327">
        <f t="shared" si="219"/>
        <v>2.9520372675818751E-2</v>
      </c>
      <c r="G518" s="326">
        <f t="shared" si="220"/>
        <v>1</v>
      </c>
      <c r="H518" s="327">
        <f t="shared" si="221"/>
        <v>0</v>
      </c>
      <c r="I518" s="325">
        <f t="shared" si="222"/>
        <v>111682.03968018836</v>
      </c>
      <c r="J518" s="328">
        <f t="shared" si="223"/>
        <v>1.570787372803701</v>
      </c>
      <c r="K518" s="336">
        <f t="shared" si="243"/>
        <v>8.9723021382412558</v>
      </c>
      <c r="L518" s="337">
        <f t="shared" si="244"/>
        <v>1.4591101641463624</v>
      </c>
      <c r="M518" s="325">
        <f t="shared" si="224"/>
        <v>1.0829666302514955</v>
      </c>
      <c r="N518" s="337">
        <f t="shared" si="225"/>
        <v>0.39397766210562835</v>
      </c>
      <c r="O518" s="343">
        <f t="shared" si="226"/>
        <v>1.0822267912931973</v>
      </c>
      <c r="P518" s="691">
        <f t="shared" si="227"/>
        <v>0.39232992554051244</v>
      </c>
      <c r="Q518" s="336">
        <f t="shared" si="242"/>
        <v>5.0529726934947288</v>
      </c>
      <c r="R518" s="692">
        <f t="shared" si="228"/>
        <v>0.60763803904056668</v>
      </c>
      <c r="S518" s="329">
        <f t="shared" si="229"/>
        <v>0.96813409553575691</v>
      </c>
      <c r="T518" s="330">
        <f t="shared" si="230"/>
        <v>0.43795358900216269</v>
      </c>
      <c r="U518" s="331">
        <f t="shared" si="231"/>
        <v>-15.35212875417178</v>
      </c>
      <c r="V518" s="332">
        <f t="shared" si="232"/>
        <v>-153.41904387647435</v>
      </c>
      <c r="W518" s="334">
        <f t="shared" si="233"/>
        <v>26.580956123525652</v>
      </c>
      <c r="Y518" s="307">
        <f t="shared" si="234"/>
        <v>71207.25</v>
      </c>
      <c r="Z518" s="307">
        <f t="shared" si="235"/>
        <v>5070472452.5625</v>
      </c>
      <c r="AB518" s="333">
        <f t="shared" si="236"/>
        <v>15.113333961427017</v>
      </c>
      <c r="AC518" s="334">
        <f t="shared" si="237"/>
        <v>-28.971890018056296</v>
      </c>
      <c r="AE518" s="333">
        <f t="shared" si="238"/>
        <v>-5.039689483072328</v>
      </c>
      <c r="AF518" s="334">
        <f t="shared" si="239"/>
        <v>-112.11090764584497</v>
      </c>
      <c r="AH518">
        <f t="shared" si="240"/>
        <v>0</v>
      </c>
      <c r="AI518">
        <f t="shared" si="245"/>
        <v>0</v>
      </c>
    </row>
    <row r="519" spans="1:35" x14ac:dyDescent="0.25">
      <c r="A519" s="335">
        <v>71619.5</v>
      </c>
      <c r="B519" s="352">
        <f t="shared" si="241"/>
        <v>71.619500000000002</v>
      </c>
      <c r="C519" s="325">
        <f t="shared" si="216"/>
        <v>44.6556277838216</v>
      </c>
      <c r="D519" s="326">
        <f t="shared" si="217"/>
        <v>1.5484008607060535</v>
      </c>
      <c r="E519" s="326">
        <f t="shared" si="218"/>
        <v>1.0004409450190703</v>
      </c>
      <c r="F519" s="327">
        <f t="shared" si="219"/>
        <v>2.9691178923101049E-2</v>
      </c>
      <c r="G519" s="326">
        <f t="shared" si="220"/>
        <v>1</v>
      </c>
      <c r="H519" s="327">
        <f t="shared" si="221"/>
        <v>0</v>
      </c>
      <c r="I519" s="325">
        <f t="shared" si="222"/>
        <v>112328.6159888434</v>
      </c>
      <c r="J519" s="328">
        <f t="shared" si="223"/>
        <v>1.5707874243438942</v>
      </c>
      <c r="K519" s="336">
        <f t="shared" si="243"/>
        <v>9.0236033077422366</v>
      </c>
      <c r="L519" s="337">
        <f t="shared" si="244"/>
        <v>1.4597477551552851</v>
      </c>
      <c r="M519" s="325">
        <f t="shared" si="224"/>
        <v>1.0838927706356793</v>
      </c>
      <c r="N519" s="337">
        <f t="shared" si="225"/>
        <v>0.39602801323727554</v>
      </c>
      <c r="O519" s="343">
        <f t="shared" si="226"/>
        <v>1.0831449773507378</v>
      </c>
      <c r="P519" s="691">
        <f t="shared" si="227"/>
        <v>0.39437355694716159</v>
      </c>
      <c r="Q519" s="336">
        <f t="shared" si="242"/>
        <v>5.0624499874016484</v>
      </c>
      <c r="R519" s="692">
        <f t="shared" si="228"/>
        <v>0.61035724473245678</v>
      </c>
      <c r="S519" s="329">
        <f t="shared" si="229"/>
        <v>0.9678500655182144</v>
      </c>
      <c r="T519" s="330">
        <f t="shared" si="230"/>
        <v>0.44080481198938692</v>
      </c>
      <c r="U519" s="331">
        <f t="shared" si="231"/>
        <v>-15.416606239881483</v>
      </c>
      <c r="V519" s="332">
        <f t="shared" si="232"/>
        <v>-153.69970244774839</v>
      </c>
      <c r="W519" s="334">
        <f t="shared" si="233"/>
        <v>26.300297552251607</v>
      </c>
      <c r="Y519" s="307">
        <f t="shared" si="234"/>
        <v>71619.5</v>
      </c>
      <c r="Z519" s="307">
        <f t="shared" si="235"/>
        <v>5129352780.25</v>
      </c>
      <c r="AB519" s="333">
        <f t="shared" si="236"/>
        <v>15.105289744627546</v>
      </c>
      <c r="AC519" s="334">
        <f t="shared" si="237"/>
        <v>-29.052838163680839</v>
      </c>
      <c r="AE519" s="333">
        <f t="shared" si="238"/>
        <v>-5.0872130458794071</v>
      </c>
      <c r="AF519" s="334">
        <f t="shared" si="239"/>
        <v>-112.27191051615843</v>
      </c>
      <c r="AH519">
        <f t="shared" si="240"/>
        <v>0</v>
      </c>
      <c r="AI519">
        <f t="shared" si="245"/>
        <v>0</v>
      </c>
    </row>
    <row r="520" spans="1:35" x14ac:dyDescent="0.25">
      <c r="A520" s="335">
        <v>72031.75</v>
      </c>
      <c r="B520" s="352">
        <f t="shared" si="241"/>
        <v>72.031750000000002</v>
      </c>
      <c r="C520" s="325">
        <f t="shared" si="216"/>
        <v>44.912542132553909</v>
      </c>
      <c r="D520" s="326">
        <f t="shared" si="217"/>
        <v>1.5485289912949944</v>
      </c>
      <c r="E520" s="326">
        <f t="shared" si="218"/>
        <v>1.0004460347534987</v>
      </c>
      <c r="F520" s="327">
        <f t="shared" si="219"/>
        <v>2.9861983437424796E-2</v>
      </c>
      <c r="G520" s="326">
        <f t="shared" si="220"/>
        <v>1</v>
      </c>
      <c r="H520" s="327">
        <f t="shared" si="221"/>
        <v>0</v>
      </c>
      <c r="I520" s="325">
        <f t="shared" si="222"/>
        <v>112975.19229749874</v>
      </c>
      <c r="J520" s="328">
        <f t="shared" si="223"/>
        <v>1.5707874752941409</v>
      </c>
      <c r="K520" s="336">
        <f t="shared" si="243"/>
        <v>9.0749081040639439</v>
      </c>
      <c r="L520" s="337">
        <f t="shared" si="244"/>
        <v>1.4603781372041573</v>
      </c>
      <c r="M520" s="325">
        <f t="shared" si="224"/>
        <v>1.0848234598484208</v>
      </c>
      <c r="N520" s="337">
        <f t="shared" si="225"/>
        <v>0.39807485489652689</v>
      </c>
      <c r="O520" s="343">
        <f t="shared" si="226"/>
        <v>1.0840676794127657</v>
      </c>
      <c r="P520" s="691">
        <f t="shared" si="227"/>
        <v>0.39641371799668013</v>
      </c>
      <c r="Q520" s="336">
        <f t="shared" si="242"/>
        <v>5.071964130355898</v>
      </c>
      <c r="R520" s="692">
        <f t="shared" si="228"/>
        <v>0.61306632983623288</v>
      </c>
      <c r="S520" s="329">
        <f t="shared" si="229"/>
        <v>0.96756644676888581</v>
      </c>
      <c r="T520" s="330">
        <f t="shared" si="230"/>
        <v>0.44366135068942086</v>
      </c>
      <c r="U520" s="331">
        <f t="shared" si="231"/>
        <v>-15.480821341096416</v>
      </c>
      <c r="V520" s="332">
        <f t="shared" si="232"/>
        <v>-153.98041162566045</v>
      </c>
      <c r="W520" s="334">
        <f t="shared" si="233"/>
        <v>26.019588374339548</v>
      </c>
      <c r="Y520" s="307">
        <f t="shared" si="234"/>
        <v>72031.75</v>
      </c>
      <c r="Z520" s="307">
        <f t="shared" si="235"/>
        <v>5188573008.0625</v>
      </c>
      <c r="AB520" s="333">
        <f t="shared" si="236"/>
        <v>15.097225964946791</v>
      </c>
      <c r="AC520" s="334">
        <f t="shared" si="237"/>
        <v>-29.133998240533149</v>
      </c>
      <c r="AE520" s="333">
        <f t="shared" si="238"/>
        <v>-5.1344519392459143</v>
      </c>
      <c r="AF520" s="334">
        <f t="shared" si="239"/>
        <v>-112.43313309205071</v>
      </c>
      <c r="AH520">
        <f t="shared" si="240"/>
        <v>0</v>
      </c>
      <c r="AI520">
        <f t="shared" si="245"/>
        <v>0</v>
      </c>
    </row>
    <row r="521" spans="1:35" x14ac:dyDescent="0.25">
      <c r="A521" s="335">
        <v>72444</v>
      </c>
      <c r="B521" s="352">
        <f t="shared" si="241"/>
        <v>72.444000000000003</v>
      </c>
      <c r="C521" s="325">
        <f t="shared" si="216"/>
        <v>45.169457210247757</v>
      </c>
      <c r="D521" s="326">
        <f t="shared" si="217"/>
        <v>1.5486556643223119</v>
      </c>
      <c r="E521" s="326">
        <f t="shared" si="218"/>
        <v>1.0004511536748244</v>
      </c>
      <c r="F521" s="327">
        <f t="shared" si="219"/>
        <v>3.0032786208850352E-2</v>
      </c>
      <c r="G521" s="326">
        <f t="shared" si="220"/>
        <v>1</v>
      </c>
      <c r="H521" s="327">
        <f t="shared" si="221"/>
        <v>0</v>
      </c>
      <c r="I521" s="325">
        <f t="shared" si="222"/>
        <v>113621.76860615436</v>
      </c>
      <c r="J521" s="328">
        <f t="shared" si="223"/>
        <v>1.5707875256645121</v>
      </c>
      <c r="K521" s="336">
        <f t="shared" si="243"/>
        <v>9.1262164660397502</v>
      </c>
      <c r="L521" s="337">
        <f t="shared" si="244"/>
        <v>1.4610014313758535</v>
      </c>
      <c r="M521" s="325">
        <f t="shared" si="224"/>
        <v>1.0857586861922435</v>
      </c>
      <c r="N521" s="337">
        <f t="shared" si="225"/>
        <v>0.40011817897948598</v>
      </c>
      <c r="O521" s="343">
        <f t="shared" si="226"/>
        <v>1.0849948859577707</v>
      </c>
      <c r="P521" s="691">
        <f t="shared" si="227"/>
        <v>0.39845040058122433</v>
      </c>
      <c r="Q521" s="336">
        <f t="shared" si="242"/>
        <v>5.0815149154097607</v>
      </c>
      <c r="R521" s="692">
        <f t="shared" si="228"/>
        <v>0.61576531225455911</v>
      </c>
      <c r="S521" s="329">
        <f t="shared" si="229"/>
        <v>0.96728327652814927</v>
      </c>
      <c r="T521" s="330">
        <f t="shared" si="230"/>
        <v>0.44652322928871602</v>
      </c>
      <c r="U521" s="331">
        <f t="shared" si="231"/>
        <v>-15.544777309358439</v>
      </c>
      <c r="V521" s="332">
        <f t="shared" si="232"/>
        <v>-154.26116833506669</v>
      </c>
      <c r="W521" s="334">
        <f t="shared" si="233"/>
        <v>25.738831664933315</v>
      </c>
      <c r="Y521" s="307">
        <f t="shared" si="234"/>
        <v>72444</v>
      </c>
      <c r="Z521" s="307">
        <f t="shared" si="235"/>
        <v>5248133136</v>
      </c>
      <c r="AB521" s="333">
        <f t="shared" si="236"/>
        <v>15.089142562489293</v>
      </c>
      <c r="AC521" s="334">
        <f t="shared" si="237"/>
        <v>-29.215362847333498</v>
      </c>
      <c r="AE521" s="333">
        <f t="shared" si="238"/>
        <v>-5.1814097753786434</v>
      </c>
      <c r="AF521" s="334">
        <f t="shared" si="239"/>
        <v>-112.59457820936522</v>
      </c>
      <c r="AH521">
        <f t="shared" si="240"/>
        <v>0</v>
      </c>
      <c r="AI521">
        <f t="shared" si="245"/>
        <v>0</v>
      </c>
    </row>
    <row r="522" spans="1:35" x14ac:dyDescent="0.25">
      <c r="A522" s="335">
        <v>72865.75</v>
      </c>
      <c r="B522" s="352">
        <f t="shared" si="241"/>
        <v>72.865750000000006</v>
      </c>
      <c r="C522" s="325">
        <f t="shared" si="216"/>
        <v>45.432293449624417</v>
      </c>
      <c r="D522" s="326">
        <f t="shared" si="217"/>
        <v>1.5487837738864219</v>
      </c>
      <c r="E522" s="326">
        <f t="shared" si="218"/>
        <v>1.0004564207610176</v>
      </c>
      <c r="F522" s="327">
        <f t="shared" si="219"/>
        <v>3.0207523191359071E-2</v>
      </c>
      <c r="G522" s="326">
        <f t="shared" si="220"/>
        <v>1</v>
      </c>
      <c r="H522" s="327">
        <f t="shared" si="221"/>
        <v>0</v>
      </c>
      <c r="I522" s="325">
        <f t="shared" si="222"/>
        <v>114283.24479336027</v>
      </c>
      <c r="J522" s="328">
        <f t="shared" si="223"/>
        <v>1.5707875766058219</v>
      </c>
      <c r="K522" s="336">
        <f t="shared" si="243"/>
        <v>9.1787108192231983</v>
      </c>
      <c r="L522" s="337">
        <f t="shared" si="244"/>
        <v>1.4616318775913386</v>
      </c>
      <c r="M522" s="325">
        <f t="shared" si="224"/>
        <v>1.0867201470964536</v>
      </c>
      <c r="N522" s="337">
        <f t="shared" si="225"/>
        <v>0.40220494157436648</v>
      </c>
      <c r="O522" s="343">
        <f t="shared" si="226"/>
        <v>1.085948108650806</v>
      </c>
      <c r="P522" s="691">
        <f t="shared" si="227"/>
        <v>0.40053040909635995</v>
      </c>
      <c r="Q522" s="336">
        <f t="shared" si="242"/>
        <v>5.091323494735267</v>
      </c>
      <c r="R522" s="692">
        <f t="shared" si="228"/>
        <v>0.61851605530696541</v>
      </c>
      <c r="S522" s="329">
        <f t="shared" si="229"/>
        <v>0.96699408406789567</v>
      </c>
      <c r="T522" s="330">
        <f t="shared" si="230"/>
        <v>0.44945660870515886</v>
      </c>
      <c r="U522" s="331">
        <f t="shared" si="231"/>
        <v>-15.609942270160623</v>
      </c>
      <c r="V522" s="332">
        <f t="shared" si="232"/>
        <v>-154.54844100044028</v>
      </c>
      <c r="W522" s="334">
        <f t="shared" si="233"/>
        <v>25.451558999559722</v>
      </c>
      <c r="Y522" s="307">
        <f t="shared" si="234"/>
        <v>72865.75</v>
      </c>
      <c r="Z522" s="307">
        <f t="shared" si="235"/>
        <v>5309417523.0625</v>
      </c>
      <c r="AB522" s="333">
        <f t="shared" si="236"/>
        <v>15.080852522074368</v>
      </c>
      <c r="AC522" s="334">
        <f t="shared" si="237"/>
        <v>-29.298806548326038</v>
      </c>
      <c r="AE522" s="333">
        <f t="shared" si="238"/>
        <v>-5.2291625847314913</v>
      </c>
      <c r="AF522" s="334">
        <f t="shared" si="239"/>
        <v>-112.75997691554309</v>
      </c>
      <c r="AH522">
        <f t="shared" si="240"/>
        <v>0</v>
      </c>
      <c r="AI522">
        <f t="shared" si="245"/>
        <v>0</v>
      </c>
    </row>
    <row r="523" spans="1:35" x14ac:dyDescent="0.25">
      <c r="A523" s="335">
        <v>73287.5</v>
      </c>
      <c r="B523" s="352">
        <f t="shared" si="241"/>
        <v>73.287499999999994</v>
      </c>
      <c r="C523" s="325">
        <f t="shared" si="216"/>
        <v>45.695130426060864</v>
      </c>
      <c r="D523" s="326">
        <f t="shared" si="217"/>
        <v>1.5489104096880921</v>
      </c>
      <c r="E523" s="326">
        <f t="shared" si="218"/>
        <v>1.0004617183938374</v>
      </c>
      <c r="F523" s="327">
        <f t="shared" si="219"/>
        <v>3.0382258328672612E-2</v>
      </c>
      <c r="G523" s="326">
        <f t="shared" si="220"/>
        <v>1</v>
      </c>
      <c r="H523" s="327">
        <f t="shared" si="221"/>
        <v>0</v>
      </c>
      <c r="I523" s="325">
        <f t="shared" si="222"/>
        <v>114944.72098056648</v>
      </c>
      <c r="J523" s="328">
        <f t="shared" si="223"/>
        <v>1.5707876269608243</v>
      </c>
      <c r="K523" s="336">
        <f t="shared" si="243"/>
        <v>9.2312087791067654</v>
      </c>
      <c r="L523" s="337">
        <f t="shared" si="244"/>
        <v>1.4622551533466348</v>
      </c>
      <c r="M523" s="325">
        <f t="shared" si="224"/>
        <v>1.0876863318303636</v>
      </c>
      <c r="N523" s="337">
        <f t="shared" si="225"/>
        <v>0.40428800591128472</v>
      </c>
      <c r="O523" s="343">
        <f t="shared" si="226"/>
        <v>1.0869060213755175</v>
      </c>
      <c r="P523" s="691">
        <f t="shared" si="227"/>
        <v>0.40260676027260711</v>
      </c>
      <c r="Q523" s="336">
        <f t="shared" si="242"/>
        <v>5.1011699886576354</v>
      </c>
      <c r="R523" s="692">
        <f t="shared" si="228"/>
        <v>0.62125626402169365</v>
      </c>
      <c r="S523" s="329">
        <f t="shared" si="229"/>
        <v>0.96670544069330833</v>
      </c>
      <c r="T523" s="330">
        <f t="shared" si="230"/>
        <v>0.45239562755122142</v>
      </c>
      <c r="U523" s="331">
        <f t="shared" si="231"/>
        <v>-15.674842727612997</v>
      </c>
      <c r="V523" s="332">
        <f t="shared" si="232"/>
        <v>-154.83575733261799</v>
      </c>
      <c r="W523" s="334">
        <f t="shared" si="233"/>
        <v>25.164242667382013</v>
      </c>
      <c r="Y523" s="307">
        <f t="shared" si="234"/>
        <v>73287.5</v>
      </c>
      <c r="Z523" s="307">
        <f t="shared" si="235"/>
        <v>5371057656.25</v>
      </c>
      <c r="AB523" s="333">
        <f t="shared" si="236"/>
        <v>15.072541838026897</v>
      </c>
      <c r="AC523" s="334">
        <f t="shared" si="237"/>
        <v>-29.382449158259064</v>
      </c>
      <c r="AE523" s="333">
        <f t="shared" si="238"/>
        <v>-5.2766287140739845</v>
      </c>
      <c r="AF523" s="334">
        <f t="shared" si="239"/>
        <v>-112.92561440259141</v>
      </c>
      <c r="AH523">
        <f t="shared" si="240"/>
        <v>0</v>
      </c>
      <c r="AI523">
        <f t="shared" si="245"/>
        <v>0</v>
      </c>
    </row>
    <row r="524" spans="1:35" x14ac:dyDescent="0.25">
      <c r="A524" s="335">
        <v>73709.25</v>
      </c>
      <c r="B524" s="352">
        <f t="shared" si="241"/>
        <v>73.709249999999997</v>
      </c>
      <c r="C524" s="325">
        <f t="shared" si="216"/>
        <v>45.957968126911219</v>
      </c>
      <c r="D524" s="326">
        <f t="shared" si="217"/>
        <v>1.5490355970089604</v>
      </c>
      <c r="E524" s="326">
        <f t="shared" si="218"/>
        <v>1.0004670465727985</v>
      </c>
      <c r="F524" s="327">
        <f t="shared" si="219"/>
        <v>3.0556991610150217E-2</v>
      </c>
      <c r="G524" s="326">
        <f t="shared" si="220"/>
        <v>1</v>
      </c>
      <c r="H524" s="327">
        <f t="shared" si="221"/>
        <v>0</v>
      </c>
      <c r="I524" s="325">
        <f t="shared" si="222"/>
        <v>115606.19716777296</v>
      </c>
      <c r="J524" s="328">
        <f t="shared" si="223"/>
        <v>1.5707876767395836</v>
      </c>
      <c r="K524" s="336">
        <f t="shared" si="243"/>
        <v>9.2837102845044406</v>
      </c>
      <c r="L524" s="337">
        <f t="shared" si="244"/>
        <v>1.4628713798051136</v>
      </c>
      <c r="M524" s="325">
        <f t="shared" si="224"/>
        <v>1.0886572278167579</v>
      </c>
      <c r="N524" s="337">
        <f t="shared" si="225"/>
        <v>0.40636736378350152</v>
      </c>
      <c r="O524" s="343">
        <f t="shared" si="226"/>
        <v>1.0878686117426115</v>
      </c>
      <c r="P524" s="691">
        <f t="shared" si="227"/>
        <v>0.40467944589170329</v>
      </c>
      <c r="Q524" s="336">
        <f t="shared" si="242"/>
        <v>5.1110541780810834</v>
      </c>
      <c r="R524" s="692">
        <f t="shared" si="228"/>
        <v>0.62398595899228504</v>
      </c>
      <c r="S524" s="329">
        <f t="shared" si="229"/>
        <v>0.96641738710747116</v>
      </c>
      <c r="T524" s="330">
        <f t="shared" si="230"/>
        <v>0.45534031108291861</v>
      </c>
      <c r="U524" s="331">
        <f t="shared" si="231"/>
        <v>-15.739481989630379</v>
      </c>
      <c r="V524" s="332">
        <f t="shared" si="232"/>
        <v>-155.12311446681375</v>
      </c>
      <c r="W524" s="334">
        <f t="shared" si="233"/>
        <v>24.876885533186254</v>
      </c>
      <c r="Y524" s="307">
        <f t="shared" si="234"/>
        <v>73709.25</v>
      </c>
      <c r="Z524" s="307">
        <f t="shared" si="235"/>
        <v>5433053535.5625</v>
      </c>
      <c r="AB524" s="333">
        <f t="shared" si="236"/>
        <v>15.064210466781198</v>
      </c>
      <c r="AC524" s="334">
        <f t="shared" si="237"/>
        <v>-29.466283265347865</v>
      </c>
      <c r="AE524" s="333">
        <f t="shared" si="238"/>
        <v>-5.3238118631632512</v>
      </c>
      <c r="AF524" s="334">
        <f t="shared" si="239"/>
        <v>-113.09149356671405</v>
      </c>
      <c r="AH524">
        <f t="shared" si="240"/>
        <v>0</v>
      </c>
      <c r="AI524">
        <f t="shared" si="245"/>
        <v>0</v>
      </c>
    </row>
    <row r="525" spans="1:35" x14ac:dyDescent="0.25">
      <c r="A525" s="335">
        <v>74131</v>
      </c>
      <c r="B525" s="352">
        <f t="shared" si="241"/>
        <v>74.131</v>
      </c>
      <c r="C525" s="325">
        <f t="shared" ref="C525:C588" si="246">SQRT(1+(A525/pole1)^2)</f>
        <v>46.22080653981719</v>
      </c>
      <c r="D525" s="326">
        <f t="shared" ref="D525:D588" si="247">ATAN(A525/pole1)</f>
        <v>1.5491593605557843</v>
      </c>
      <c r="E525" s="326">
        <f t="shared" ref="E525:E588" si="248">SQRT(1+(A525/Zero1)^2)</f>
        <v>1.0004724052974134</v>
      </c>
      <c r="F525" s="327">
        <f t="shared" ref="F525:F588" si="249">ATAN(A525/Zero1)</f>
        <v>3.07317230251518E-2</v>
      </c>
      <c r="G525" s="326">
        <f t="shared" ref="G525:G588" si="250">IF(VIN_nom&gt;Vout, 1, SQRT(1+(A525/z_RHP)^2))</f>
        <v>1</v>
      </c>
      <c r="H525" s="327">
        <f t="shared" ref="H525:H588" si="251">IF(VIN_nom&gt;Vout, 0, -ATAN(A525/z_RHP))</f>
        <v>0</v>
      </c>
      <c r="I525" s="325">
        <f t="shared" ref="I525:I588" si="252">SQRT(1+(A525/Pole2)^2)</f>
        <v>116267.67335497974</v>
      </c>
      <c r="J525" s="328">
        <f t="shared" ref="J525:J588" si="253">ATAN(A525/Pole2)</f>
        <v>1.5707877259519352</v>
      </c>
      <c r="K525" s="336">
        <f t="shared" si="243"/>
        <v>9.336215275602429</v>
      </c>
      <c r="L525" s="337">
        <f t="shared" si="244"/>
        <v>1.4634806754262462</v>
      </c>
      <c r="M525" s="325">
        <f t="shared" ref="M525:M588" si="254">SQRT(1+(A525/pole4)^2)</f>
        <v>1.0896328224620286</v>
      </c>
      <c r="N525" s="337">
        <f t="shared" ref="N525:N588" si="255">ATAN(A525/pole4)</f>
        <v>0.40844300714166143</v>
      </c>
      <c r="O525" s="343">
        <f t="shared" ref="O525:O588" si="256">IF(VOUT_setting=1,1,SQRT(1+(A525*zterm1)^2))</f>
        <v>1.0888358673462146</v>
      </c>
      <c r="P525" s="691">
        <f t="shared" ref="P525:P588" si="257">IF(VOUT_setting=1,0,ATAN(((A525*zterm1))))</f>
        <v>0.40674845789035469</v>
      </c>
      <c r="Q525" s="336">
        <f t="shared" si="242"/>
        <v>5.1209758447658889</v>
      </c>
      <c r="R525" s="692">
        <f t="shared" ref="R525:R588" si="258">IF(VOUT_setting=1,0,ATAN(A525*$Q$4/(1+Afbr-$Q$5*(A525)^2)))</f>
        <v>0.62670516127269149</v>
      </c>
      <c r="S525" s="329">
        <f t="shared" ref="S525:S588" si="259">SQRT((1-(Z525/pterm2))^2+(A525/pterm1)^2)</f>
        <v>0.96612996429312048</v>
      </c>
      <c r="T525" s="330">
        <f t="shared" ref="T525:T588" si="260">IF((ATAN((A525/pterm1)/(1-A525^2/pterm2))&gt;0),ATAN((A525/pterm1)/(1-A525^2/pterm2)),PI()+ATAN((A525/pterm1)/(1-A525^2/pterm2)))</f>
        <v>0.45829068433212911</v>
      </c>
      <c r="U525" s="331">
        <f t="shared" ref="U525:U588" si="261">20*LOG10(((E525*K525*G525*O525)/(C525*I525*S525*M525*Q525))*Adc)</f>
        <v>-15.803863308746696</v>
      </c>
      <c r="V525" s="332">
        <f t="shared" ref="V525:V588" si="262">((F525+L525+H525+P525)-(D525+J525+T525+N525+R525))*radconv</f>
        <v>-155.4105096738881</v>
      </c>
      <c r="W525" s="334">
        <f t="shared" ref="W525:W588" si="263">IF(V525&gt;0,V525,V525+180)</f>
        <v>24.5894903261119</v>
      </c>
      <c r="Y525" s="307">
        <f t="shared" ref="Y525:Y588" si="264">IF(U525&lt;0,A525,1000000000)</f>
        <v>74131</v>
      </c>
      <c r="Z525" s="307">
        <f t="shared" ref="Z525:Z588" si="265">A525^2</f>
        <v>5495405161</v>
      </c>
      <c r="AB525" s="333">
        <f t="shared" ref="AB525:AB588" si="266">20*LOG10((K525/(I525*M525))*AEA)</f>
        <v>15.055858371222428</v>
      </c>
      <c r="AC525" s="334">
        <f t="shared" ref="AC525:AC588" si="267">(L525-(J525+N525))*radconv</f>
        <v>-29.550301621734143</v>
      </c>
      <c r="AE525" s="333">
        <f t="shared" ref="AE525:AE588" si="268">20*LOG10((E525*G525/(C525*S525))*Acs*Am)</f>
        <v>-5.3707156778131022</v>
      </c>
      <c r="AF525" s="334">
        <f t="shared" ref="AF525:AF588" si="269">(F525+H525-(D525+T525))*radconv</f>
        <v>-113.25761725833456</v>
      </c>
      <c r="AH525">
        <f t="shared" ref="AH525:AH588" si="270">SUM((U526&lt;0)*(U525&gt;0))*A525</f>
        <v>0</v>
      </c>
      <c r="AI525">
        <f t="shared" si="245"/>
        <v>0</v>
      </c>
    </row>
    <row r="526" spans="1:35" x14ac:dyDescent="0.25">
      <c r="A526" s="335">
        <v>74562.75</v>
      </c>
      <c r="B526" s="352">
        <f t="shared" ref="B526:B589" si="271">A526/1000</f>
        <v>74.562749999999994</v>
      </c>
      <c r="C526" s="325">
        <f t="shared" si="246"/>
        <v>46.489877768101749</v>
      </c>
      <c r="D526" s="326">
        <f t="shared" si="247"/>
        <v>1.5492846090222772</v>
      </c>
      <c r="E526" s="326">
        <f t="shared" si="248"/>
        <v>1.0004779227214129</v>
      </c>
      <c r="F526" s="327">
        <f t="shared" si="249"/>
        <v>3.091059550490878E-2</v>
      </c>
      <c r="G526" s="326">
        <f t="shared" si="250"/>
        <v>1</v>
      </c>
      <c r="H526" s="327">
        <f t="shared" si="251"/>
        <v>0</v>
      </c>
      <c r="I526" s="325">
        <f t="shared" si="252"/>
        <v>116944.833624871</v>
      </c>
      <c r="J526" s="328">
        <f t="shared" si="253"/>
        <v>1.5707877757544699</v>
      </c>
      <c r="K526" s="336">
        <f t="shared" si="243"/>
        <v>9.3899687479271243</v>
      </c>
      <c r="L526" s="337">
        <f t="shared" si="244"/>
        <v>1.4640973595172388</v>
      </c>
      <c r="M526" s="325">
        <f t="shared" si="254"/>
        <v>1.0906364030955369</v>
      </c>
      <c r="N526" s="337">
        <f t="shared" si="255"/>
        <v>0.41056400960907119</v>
      </c>
      <c r="O526" s="343">
        <f t="shared" si="256"/>
        <v>1.0898308767886222</v>
      </c>
      <c r="P526" s="691">
        <f t="shared" si="257"/>
        <v>0.40886271410635566</v>
      </c>
      <c r="Q526" s="336">
        <f t="shared" si="242"/>
        <v>5.1311713551752236</v>
      </c>
      <c r="R526" s="692">
        <f t="shared" si="258"/>
        <v>0.6294779914522497</v>
      </c>
      <c r="S526" s="329">
        <f t="shared" si="259"/>
        <v>0.96583642293839</v>
      </c>
      <c r="T526" s="330">
        <f t="shared" si="260"/>
        <v>0.46131693265457341</v>
      </c>
      <c r="U526" s="331">
        <f t="shared" si="261"/>
        <v>-15.869507305640154</v>
      </c>
      <c r="V526" s="332">
        <f t="shared" si="262"/>
        <v>-155.70475595731509</v>
      </c>
      <c r="W526" s="334">
        <f t="shared" si="263"/>
        <v>24.295244042684914</v>
      </c>
      <c r="Y526" s="307">
        <f t="shared" si="264"/>
        <v>74562.75</v>
      </c>
      <c r="Z526" s="307">
        <f t="shared" si="265"/>
        <v>5559603687.5625</v>
      </c>
      <c r="AB526" s="333">
        <f t="shared" si="266"/>
        <v>15.047286741951275</v>
      </c>
      <c r="AC526" s="334">
        <f t="shared" si="267"/>
        <v>-29.63649556932036</v>
      </c>
      <c r="AE526" s="333">
        <f t="shared" si="268"/>
        <v>-5.4184460193750583</v>
      </c>
      <c r="AF526" s="334">
        <f t="shared" si="269"/>
        <v>-113.4279360855232</v>
      </c>
      <c r="AH526">
        <f t="shared" si="270"/>
        <v>0</v>
      </c>
      <c r="AI526">
        <f t="shared" si="245"/>
        <v>0</v>
      </c>
    </row>
    <row r="527" spans="1:35" x14ac:dyDescent="0.25">
      <c r="A527" s="335">
        <v>74994.5</v>
      </c>
      <c r="B527" s="352">
        <f t="shared" si="271"/>
        <v>74.994500000000002</v>
      </c>
      <c r="C527" s="325">
        <f t="shared" si="246"/>
        <v>46.758949717287955</v>
      </c>
      <c r="D527" s="326">
        <f t="shared" si="247"/>
        <v>1.5494084160190944</v>
      </c>
      <c r="E527" s="326">
        <f t="shared" si="248"/>
        <v>1.0004834721557139</v>
      </c>
      <c r="F527" s="327">
        <f t="shared" si="249"/>
        <v>3.1089466006065949E-2</v>
      </c>
      <c r="G527" s="326">
        <f t="shared" si="250"/>
        <v>1</v>
      </c>
      <c r="H527" s="327">
        <f t="shared" si="251"/>
        <v>0</v>
      </c>
      <c r="I527" s="325">
        <f t="shared" si="252"/>
        <v>117621.99389476255</v>
      </c>
      <c r="J527" s="328">
        <f t="shared" si="253"/>
        <v>1.5707878249835696</v>
      </c>
      <c r="K527" s="336">
        <f t="shared" si="243"/>
        <v>9.4437257505971939</v>
      </c>
      <c r="L527" s="337">
        <f t="shared" si="244"/>
        <v>1.4647070230731636</v>
      </c>
      <c r="M527" s="325">
        <f t="shared" si="254"/>
        <v>1.0916448810880603</v>
      </c>
      <c r="N527" s="337">
        <f t="shared" si="255"/>
        <v>0.41268110275783154</v>
      </c>
      <c r="O527" s="343">
        <f t="shared" si="256"/>
        <v>1.0908307489614455</v>
      </c>
      <c r="P527" s="691">
        <f t="shared" si="257"/>
        <v>0.41097310382232771</v>
      </c>
      <c r="Q527" s="336">
        <f t="shared" ref="Q527:Q590" si="272">IF(VOUT_setting=1,1,SQRT((1+Afbr-$Q$5*(A527)^2)^2+(A527*$Q$4)^2))</f>
        <v>5.1414056810772513</v>
      </c>
      <c r="R527" s="692">
        <f t="shared" si="258"/>
        <v>0.63223987155128247</v>
      </c>
      <c r="S527" s="329">
        <f t="shared" si="259"/>
        <v>0.9655436304371976</v>
      </c>
      <c r="T527" s="330">
        <f t="shared" si="260"/>
        <v>0.46434919605878672</v>
      </c>
      <c r="U527" s="331">
        <f t="shared" si="261"/>
        <v>-15.934887709284267</v>
      </c>
      <c r="V527" s="332">
        <f t="shared" si="262"/>
        <v>-155.9990367702259</v>
      </c>
      <c r="W527" s="334">
        <f t="shared" si="263"/>
        <v>24.000963229774101</v>
      </c>
      <c r="Y527" s="307">
        <f t="shared" si="264"/>
        <v>74994.5</v>
      </c>
      <c r="Z527" s="307">
        <f t="shared" si="265"/>
        <v>5624175030.25</v>
      </c>
      <c r="AB527" s="333">
        <f t="shared" si="266"/>
        <v>15.038693334959</v>
      </c>
      <c r="AC527" s="334">
        <f t="shared" si="267"/>
        <v>-29.722867743621304</v>
      </c>
      <c r="AE527" s="333">
        <f t="shared" si="268"/>
        <v>-5.4658911874503202</v>
      </c>
      <c r="AF527" s="334">
        <f t="shared" si="269"/>
        <v>-113.59851707474765</v>
      </c>
      <c r="AH527">
        <f t="shared" si="270"/>
        <v>0</v>
      </c>
      <c r="AI527">
        <f t="shared" si="245"/>
        <v>0</v>
      </c>
    </row>
    <row r="528" spans="1:35" x14ac:dyDescent="0.25">
      <c r="A528" s="335">
        <v>75426.25</v>
      </c>
      <c r="B528" s="352">
        <f t="shared" si="271"/>
        <v>75.426249999999996</v>
      </c>
      <c r="C528" s="325">
        <f t="shared" si="246"/>
        <v>47.028022375001825</v>
      </c>
      <c r="D528" s="326">
        <f t="shared" si="247"/>
        <v>1.549530806284682</v>
      </c>
      <c r="E528" s="326">
        <f t="shared" si="248"/>
        <v>1.0004890535997841</v>
      </c>
      <c r="F528" s="327">
        <f t="shared" si="249"/>
        <v>3.1268334517210526E-2</v>
      </c>
      <c r="G528" s="326">
        <f t="shared" si="250"/>
        <v>1</v>
      </c>
      <c r="H528" s="327">
        <f t="shared" si="251"/>
        <v>0</v>
      </c>
      <c r="I528" s="325">
        <f t="shared" si="252"/>
        <v>118299.15416465439</v>
      </c>
      <c r="J528" s="328">
        <f t="shared" si="253"/>
        <v>1.570787873649081</v>
      </c>
      <c r="K528" s="336">
        <f t="shared" si="243"/>
        <v>9.4974862236660016</v>
      </c>
      <c r="L528" s="337">
        <f t="shared" si="244"/>
        <v>1.4653097848560273</v>
      </c>
      <c r="M528" s="325">
        <f t="shared" si="254"/>
        <v>1.0926582428794247</v>
      </c>
      <c r="N528" s="337">
        <f t="shared" si="255"/>
        <v>0.41479427846071204</v>
      </c>
      <c r="O528" s="343">
        <f t="shared" si="256"/>
        <v>1.0918354705052298</v>
      </c>
      <c r="P528" s="691">
        <f t="shared" si="257"/>
        <v>0.41307961888837158</v>
      </c>
      <c r="Q528" s="336">
        <f t="shared" si="272"/>
        <v>5.1516785911749841</v>
      </c>
      <c r="R528" s="692">
        <f t="shared" si="258"/>
        <v>0.63499082559209863</v>
      </c>
      <c r="S528" s="329">
        <f t="shared" si="259"/>
        <v>0.96525163166881567</v>
      </c>
      <c r="T528" s="330">
        <f t="shared" si="260"/>
        <v>0.46738750064287893</v>
      </c>
      <c r="U528" s="331">
        <f t="shared" si="261"/>
        <v>-16.000007838491342</v>
      </c>
      <c r="V528" s="332">
        <f t="shared" si="262"/>
        <v>-156.29334959967252</v>
      </c>
      <c r="W528" s="334">
        <f t="shared" si="263"/>
        <v>23.706650400327476</v>
      </c>
      <c r="Y528" s="307">
        <f t="shared" si="264"/>
        <v>75426.25</v>
      </c>
      <c r="Z528" s="307">
        <f t="shared" si="265"/>
        <v>5689119189.0625</v>
      </c>
      <c r="AB528" s="333">
        <f t="shared" si="266"/>
        <v>15.030078129969482</v>
      </c>
      <c r="AC528" s="334">
        <f t="shared" si="267"/>
        <v>-29.809410874983378</v>
      </c>
      <c r="AE528" s="333">
        <f t="shared" si="268"/>
        <v>-5.5130549260423134</v>
      </c>
      <c r="AF528" s="334">
        <f t="shared" si="269"/>
        <v>-113.76936313938189</v>
      </c>
      <c r="AH528">
        <f t="shared" si="270"/>
        <v>0</v>
      </c>
      <c r="AI528">
        <f t="shared" si="245"/>
        <v>0</v>
      </c>
    </row>
    <row r="529" spans="1:35" x14ac:dyDescent="0.25">
      <c r="A529" s="335">
        <v>75858</v>
      </c>
      <c r="B529" s="352">
        <f t="shared" si="271"/>
        <v>75.858000000000004</v>
      </c>
      <c r="C529" s="325">
        <f t="shared" si="246"/>
        <v>47.297095729150954</v>
      </c>
      <c r="D529" s="326">
        <f t="shared" si="247"/>
        <v>1.5496518039947091</v>
      </c>
      <c r="E529" s="326">
        <f t="shared" si="248"/>
        <v>1.0004946670530874</v>
      </c>
      <c r="F529" s="327">
        <f t="shared" si="249"/>
        <v>3.1447201026930494E-2</v>
      </c>
      <c r="G529" s="326">
        <f t="shared" si="250"/>
        <v>1</v>
      </c>
      <c r="H529" s="327">
        <f t="shared" si="251"/>
        <v>0</v>
      </c>
      <c r="I529" s="325">
        <f t="shared" si="252"/>
        <v>118976.31443454651</v>
      </c>
      <c r="J529" s="328">
        <f t="shared" si="253"/>
        <v>1.5707879217606278</v>
      </c>
      <c r="K529" s="336">
        <f t="shared" si="243"/>
        <v>9.5512501085327521</v>
      </c>
      <c r="L529" s="337">
        <f t="shared" si="244"/>
        <v>1.4659057609741171</v>
      </c>
      <c r="M529" s="325">
        <f t="shared" si="254"/>
        <v>1.0936764748941663</v>
      </c>
      <c r="N529" s="337">
        <f t="shared" si="255"/>
        <v>0.41690352876047715</v>
      </c>
      <c r="O529" s="343">
        <f t="shared" si="256"/>
        <v>1.0928450280449753</v>
      </c>
      <c r="P529" s="691">
        <f t="shared" si="257"/>
        <v>0.4151822513220324</v>
      </c>
      <c r="Q529" s="336">
        <f t="shared" si="272"/>
        <v>5.1619898551441814</v>
      </c>
      <c r="R529" s="692">
        <f t="shared" si="258"/>
        <v>0.63773087805945439</v>
      </c>
      <c r="S529" s="329">
        <f t="shared" si="259"/>
        <v>0.96496047182021416</v>
      </c>
      <c r="T529" s="330">
        <f t="shared" si="260"/>
        <v>0.4704318722404161</v>
      </c>
      <c r="U529" s="331">
        <f t="shared" si="261"/>
        <v>-16.06487095766936</v>
      </c>
      <c r="V529" s="332">
        <f t="shared" si="262"/>
        <v>-156.58769206398188</v>
      </c>
      <c r="W529" s="334">
        <f t="shared" si="263"/>
        <v>23.412307936018124</v>
      </c>
      <c r="Y529" s="307">
        <f t="shared" si="264"/>
        <v>75858</v>
      </c>
      <c r="Z529" s="307">
        <f t="shared" si="265"/>
        <v>5754436164</v>
      </c>
      <c r="AB529" s="333">
        <f t="shared" si="266"/>
        <v>15.021441112831081</v>
      </c>
      <c r="AC529" s="334">
        <f t="shared" si="267"/>
        <v>-29.896117855527134</v>
      </c>
      <c r="AE529" s="333">
        <f t="shared" si="268"/>
        <v>-5.5599409254080872</v>
      </c>
      <c r="AF529" s="334">
        <f t="shared" si="269"/>
        <v>-113.94047714539791</v>
      </c>
      <c r="AH529">
        <f t="shared" si="270"/>
        <v>0</v>
      </c>
      <c r="AI529">
        <f t="shared" si="245"/>
        <v>0</v>
      </c>
    </row>
    <row r="530" spans="1:35" x14ac:dyDescent="0.25">
      <c r="A530" s="335">
        <v>76299.75</v>
      </c>
      <c r="B530" s="352">
        <f t="shared" si="271"/>
        <v>76.299750000000003</v>
      </c>
      <c r="C530" s="325">
        <f t="shared" si="246"/>
        <v>47.572401948229057</v>
      </c>
      <c r="D530" s="326">
        <f t="shared" si="247"/>
        <v>1.5497741875314095</v>
      </c>
      <c r="E530" s="326">
        <f t="shared" si="248"/>
        <v>1.0005004436520128</v>
      </c>
      <c r="F530" s="327">
        <f t="shared" si="249"/>
        <v>3.1630208279187375E-2</v>
      </c>
      <c r="G530" s="326">
        <f t="shared" si="250"/>
        <v>1</v>
      </c>
      <c r="H530" s="327">
        <f t="shared" si="251"/>
        <v>0</v>
      </c>
      <c r="I530" s="325">
        <f t="shared" si="252"/>
        <v>119669.15878712316</v>
      </c>
      <c r="J530" s="328">
        <f t="shared" si="253"/>
        <v>1.5707879704229613</v>
      </c>
      <c r="K530" s="336">
        <f t="shared" si="243"/>
        <v>9.6062627199036594</v>
      </c>
      <c r="L530" s="337">
        <f t="shared" si="244"/>
        <v>1.4665086359839019</v>
      </c>
      <c r="M530" s="325">
        <f t="shared" si="254"/>
        <v>1.0947233173005397</v>
      </c>
      <c r="N530" s="337">
        <f t="shared" si="255"/>
        <v>0.41905756161484053</v>
      </c>
      <c r="O530" s="343">
        <f t="shared" si="256"/>
        <v>1.0938829598451156</v>
      </c>
      <c r="P530" s="691">
        <f t="shared" si="257"/>
        <v>0.41732955726945042</v>
      </c>
      <c r="Q530" s="336">
        <f t="shared" si="272"/>
        <v>5.1725794014498421</v>
      </c>
      <c r="R530" s="692">
        <f t="shared" si="258"/>
        <v>0.64052313716193876</v>
      </c>
      <c r="S530" s="329">
        <f t="shared" si="259"/>
        <v>0.96466348400146584</v>
      </c>
      <c r="T530" s="330">
        <f t="shared" si="260"/>
        <v>0.47355306229334021</v>
      </c>
      <c r="U530" s="331">
        <f t="shared" si="261"/>
        <v>-16.130973748541784</v>
      </c>
      <c r="V530" s="332">
        <f t="shared" si="262"/>
        <v>-156.88888027814525</v>
      </c>
      <c r="W530" s="334">
        <f t="shared" si="263"/>
        <v>23.111119721854749</v>
      </c>
      <c r="Y530" s="307">
        <f t="shared" si="264"/>
        <v>76299.75</v>
      </c>
      <c r="Z530" s="307">
        <f t="shared" si="265"/>
        <v>5821651850.0625</v>
      </c>
      <c r="AB530" s="333">
        <f t="shared" si="266"/>
        <v>15.012581464600391</v>
      </c>
      <c r="AC530" s="334">
        <f t="shared" si="267"/>
        <v>-29.984995441627973</v>
      </c>
      <c r="AE530" s="333">
        <f t="shared" si="268"/>
        <v>-5.6076292081706347</v>
      </c>
      <c r="AF530" s="334">
        <f t="shared" si="269"/>
        <v>-114.11583467964927</v>
      </c>
      <c r="AH530">
        <f t="shared" si="270"/>
        <v>0</v>
      </c>
      <c r="AI530">
        <f t="shared" si="245"/>
        <v>0</v>
      </c>
    </row>
    <row r="531" spans="1:35" x14ac:dyDescent="0.25">
      <c r="A531" s="335">
        <v>76741.5</v>
      </c>
      <c r="B531" s="352">
        <f t="shared" si="271"/>
        <v>76.741500000000002</v>
      </c>
      <c r="C531" s="325">
        <f t="shared" si="246"/>
        <v>47.847708871634275</v>
      </c>
      <c r="D531" s="326">
        <f t="shared" si="247"/>
        <v>1.5498951627251472</v>
      </c>
      <c r="E531" s="326">
        <f t="shared" si="248"/>
        <v>1.0005062537589657</v>
      </c>
      <c r="F531" s="327">
        <f t="shared" si="249"/>
        <v>3.1813213412065965E-2</v>
      </c>
      <c r="G531" s="326">
        <f t="shared" si="250"/>
        <v>1</v>
      </c>
      <c r="H531" s="327">
        <f t="shared" si="251"/>
        <v>0</v>
      </c>
      <c r="I531" s="325">
        <f t="shared" si="252"/>
        <v>120362.00313970007</v>
      </c>
      <c r="J531" s="328">
        <f t="shared" si="253"/>
        <v>1.5707880185250613</v>
      </c>
      <c r="K531" s="336">
        <f t="shared" si="243"/>
        <v>9.6612787829876741</v>
      </c>
      <c r="L531" s="337">
        <f t="shared" si="244"/>
        <v>1.4671046450758742</v>
      </c>
      <c r="M531" s="325">
        <f t="shared" si="254"/>
        <v>1.0957752293483418</v>
      </c>
      <c r="N531" s="337">
        <f t="shared" si="255"/>
        <v>0.42120746881195381</v>
      </c>
      <c r="O531" s="343">
        <f t="shared" si="256"/>
        <v>1.09492592587909</v>
      </c>
      <c r="P531" s="691">
        <f t="shared" si="257"/>
        <v>0.41947278227309154</v>
      </c>
      <c r="Q531" s="336">
        <f t="shared" si="272"/>
        <v>5.1832086142036724</v>
      </c>
      <c r="R531" s="692">
        <f t="shared" si="258"/>
        <v>0.64330403714249618</v>
      </c>
      <c r="S531" s="329">
        <f t="shared" si="259"/>
        <v>0.96436747110505239</v>
      </c>
      <c r="T531" s="330">
        <f t="shared" si="260"/>
        <v>0.47668065750329586</v>
      </c>
      <c r="U531" s="331">
        <f t="shared" si="261"/>
        <v>-16.196814231928009</v>
      </c>
      <c r="V531" s="332">
        <f t="shared" si="262"/>
        <v>-157.19009487447266</v>
      </c>
      <c r="W531" s="334">
        <f t="shared" si="263"/>
        <v>22.809905125527337</v>
      </c>
      <c r="Y531" s="307">
        <f t="shared" si="264"/>
        <v>76741.5</v>
      </c>
      <c r="Z531" s="307">
        <f t="shared" si="265"/>
        <v>5889257822.25</v>
      </c>
      <c r="AB531" s="333">
        <f t="shared" si="266"/>
        <v>15.003698970831792</v>
      </c>
      <c r="AC531" s="334">
        <f t="shared" si="267"/>
        <v>-30.074030000994991</v>
      </c>
      <c r="AE531" s="333">
        <f t="shared" si="268"/>
        <v>-5.6550343860473831</v>
      </c>
      <c r="AF531" s="334">
        <f t="shared" si="269"/>
        <v>-114.29147863168953</v>
      </c>
      <c r="AH531">
        <f t="shared" si="270"/>
        <v>0</v>
      </c>
      <c r="AI531">
        <f t="shared" si="245"/>
        <v>0</v>
      </c>
    </row>
    <row r="532" spans="1:35" x14ac:dyDescent="0.25">
      <c r="A532" s="335">
        <v>77183.25</v>
      </c>
      <c r="B532" s="352">
        <f t="shared" si="271"/>
        <v>77.183250000000001</v>
      </c>
      <c r="C532" s="325">
        <f t="shared" si="246"/>
        <v>48.123016487278456</v>
      </c>
      <c r="D532" s="326">
        <f t="shared" si="247"/>
        <v>1.5500147537433755</v>
      </c>
      <c r="E532" s="326">
        <f t="shared" si="248"/>
        <v>1.0005120973733623</v>
      </c>
      <c r="F532" s="327">
        <f t="shared" si="249"/>
        <v>3.1996216413345296E-2</v>
      </c>
      <c r="G532" s="326">
        <f t="shared" si="250"/>
        <v>1</v>
      </c>
      <c r="H532" s="327">
        <f t="shared" si="251"/>
        <v>0</v>
      </c>
      <c r="I532" s="325">
        <f t="shared" si="252"/>
        <v>121054.84749227726</v>
      </c>
      <c r="J532" s="328">
        <f t="shared" si="253"/>
        <v>1.5707880660765468</v>
      </c>
      <c r="K532" s="336">
        <f t="shared" si="243"/>
        <v>9.7162982391514578</v>
      </c>
      <c r="L532" s="337">
        <f t="shared" si="244"/>
        <v>1.4676939044596828</v>
      </c>
      <c r="M532" s="325">
        <f t="shared" si="254"/>
        <v>1.0968321964515222</v>
      </c>
      <c r="N532" s="337">
        <f t="shared" si="255"/>
        <v>0.42335324237637068</v>
      </c>
      <c r="O532" s="343">
        <f t="shared" si="256"/>
        <v>1.0959739117746539</v>
      </c>
      <c r="P532" s="691">
        <f t="shared" si="257"/>
        <v>0.42161191832237838</v>
      </c>
      <c r="Q532" s="336">
        <f t="shared" si="272"/>
        <v>5.1938772499135375</v>
      </c>
      <c r="R532" s="692">
        <f t="shared" si="258"/>
        <v>0.64607360566058503</v>
      </c>
      <c r="S532" s="329">
        <f t="shared" si="259"/>
        <v>0.96407248253164324</v>
      </c>
      <c r="T532" s="330">
        <f t="shared" si="260"/>
        <v>0.47981468464933041</v>
      </c>
      <c r="U532" s="331">
        <f t="shared" si="261"/>
        <v>-16.26239573716137</v>
      </c>
      <c r="V532" s="332">
        <f t="shared" si="262"/>
        <v>-157.49133370169565</v>
      </c>
      <c r="W532" s="334">
        <f t="shared" si="263"/>
        <v>22.508666298304348</v>
      </c>
      <c r="Y532" s="307">
        <f t="shared" si="264"/>
        <v>77183.25</v>
      </c>
      <c r="Z532" s="307">
        <f t="shared" si="265"/>
        <v>5957254080.5625</v>
      </c>
      <c r="AB532" s="333">
        <f t="shared" si="266"/>
        <v>14.994793634862953</v>
      </c>
      <c r="AC532" s="334">
        <f t="shared" si="267"/>
        <v>-30.163214418897436</v>
      </c>
      <c r="AE532" s="333">
        <f t="shared" si="268"/>
        <v>-5.7021602453173523</v>
      </c>
      <c r="AF532" s="334">
        <f t="shared" si="269"/>
        <v>-114.46741192123838</v>
      </c>
      <c r="AH532">
        <f t="shared" si="270"/>
        <v>0</v>
      </c>
      <c r="AI532">
        <f t="shared" si="245"/>
        <v>0</v>
      </c>
    </row>
    <row r="533" spans="1:35" x14ac:dyDescent="0.25">
      <c r="A533" s="335">
        <v>77625</v>
      </c>
      <c r="B533" s="352">
        <f t="shared" si="271"/>
        <v>77.625</v>
      </c>
      <c r="C533" s="325">
        <f t="shared" si="246"/>
        <v>48.398324783348464</v>
      </c>
      <c r="D533" s="326">
        <f t="shared" si="247"/>
        <v>1.5501329842038132</v>
      </c>
      <c r="E533" s="326">
        <f t="shared" si="248"/>
        <v>1.0005179744946155</v>
      </c>
      <c r="F533" s="327">
        <f t="shared" si="249"/>
        <v>3.2179217270805249E-2</v>
      </c>
      <c r="G533" s="326">
        <f t="shared" si="250"/>
        <v>1</v>
      </c>
      <c r="H533" s="327">
        <f t="shared" si="251"/>
        <v>0</v>
      </c>
      <c r="I533" s="325">
        <f t="shared" si="252"/>
        <v>121747.69184485474</v>
      </c>
      <c r="J533" s="328">
        <f t="shared" si="253"/>
        <v>1.5707881130868184</v>
      </c>
      <c r="K533" s="336">
        <f t="shared" si="243"/>
        <v>9.7713210310786902</v>
      </c>
      <c r="L533" s="337">
        <f t="shared" si="244"/>
        <v>1.46827652774644</v>
      </c>
      <c r="M533" s="325">
        <f t="shared" si="254"/>
        <v>1.0978942040102386</v>
      </c>
      <c r="N533" s="337">
        <f t="shared" si="255"/>
        <v>0.4254948745155438</v>
      </c>
      <c r="O533" s="343">
        <f t="shared" si="256"/>
        <v>1.09702690314544</v>
      </c>
      <c r="P533" s="691">
        <f t="shared" si="257"/>
        <v>0.42374695758695391</v>
      </c>
      <c r="Q533" s="336">
        <f t="shared" si="272"/>
        <v>5.2045850661844701</v>
      </c>
      <c r="R533" s="692">
        <f t="shared" si="258"/>
        <v>0.64883187083591032</v>
      </c>
      <c r="S533" s="329">
        <f t="shared" si="259"/>
        <v>0.96377856801931427</v>
      </c>
      <c r="T533" s="330">
        <f t="shared" si="260"/>
        <v>0.48295517019908124</v>
      </c>
      <c r="U533" s="331">
        <f t="shared" si="261"/>
        <v>-16.327721540304026</v>
      </c>
      <c r="V533" s="332">
        <f t="shared" si="262"/>
        <v>-157.79259473460195</v>
      </c>
      <c r="W533" s="334">
        <f t="shared" si="263"/>
        <v>22.207405265398052</v>
      </c>
      <c r="Y533" s="307">
        <f t="shared" si="264"/>
        <v>77625</v>
      </c>
      <c r="Z533" s="307">
        <f t="shared" si="265"/>
        <v>6025640625</v>
      </c>
      <c r="AB533" s="333">
        <f t="shared" si="266"/>
        <v>14.98586546581878</v>
      </c>
      <c r="AC533" s="334">
        <f t="shared" si="267"/>
        <v>-30.252541739956637</v>
      </c>
      <c r="AE533" s="333">
        <f t="shared" si="268"/>
        <v>-5.7490105188493343</v>
      </c>
      <c r="AF533" s="334">
        <f t="shared" si="269"/>
        <v>-114.64363741867552</v>
      </c>
      <c r="AH533">
        <f t="shared" si="270"/>
        <v>0</v>
      </c>
      <c r="AI533">
        <f t="shared" si="245"/>
        <v>0</v>
      </c>
    </row>
    <row r="534" spans="1:35" x14ac:dyDescent="0.25">
      <c r="A534" s="335">
        <v>78077</v>
      </c>
      <c r="B534" s="352">
        <f t="shared" si="271"/>
        <v>78.076999999999998</v>
      </c>
      <c r="C534" s="325">
        <f t="shared" si="246"/>
        <v>48.68002179664736</v>
      </c>
      <c r="D534" s="326">
        <f t="shared" si="247"/>
        <v>1.5502525737825024</v>
      </c>
      <c r="E534" s="326">
        <f t="shared" si="248"/>
        <v>1.0005240226651662</v>
      </c>
      <c r="F534" s="327">
        <f t="shared" si="249"/>
        <v>3.2366462096369786E-2</v>
      </c>
      <c r="G534" s="326">
        <f t="shared" si="250"/>
        <v>1</v>
      </c>
      <c r="H534" s="327">
        <f t="shared" si="251"/>
        <v>0</v>
      </c>
      <c r="I534" s="325">
        <f t="shared" si="252"/>
        <v>122456.61238218384</v>
      </c>
      <c r="J534" s="328">
        <f t="shared" si="253"/>
        <v>1.5707881606372629</v>
      </c>
      <c r="K534" s="336">
        <f t="shared" si="243"/>
        <v>9.8276239204770128</v>
      </c>
      <c r="L534" s="337">
        <f t="shared" si="244"/>
        <v>1.4688659167438149</v>
      </c>
      <c r="M534" s="325">
        <f t="shared" si="254"/>
        <v>1.0989860555117654</v>
      </c>
      <c r="N534" s="337">
        <f t="shared" si="255"/>
        <v>0.42768190468896033</v>
      </c>
      <c r="O534" s="343">
        <f t="shared" si="256"/>
        <v>1.0981094932699984</v>
      </c>
      <c r="P534" s="691">
        <f t="shared" si="257"/>
        <v>0.42592728807422281</v>
      </c>
      <c r="Q534" s="336">
        <f t="shared" si="272"/>
        <v>5.2155816408274989</v>
      </c>
      <c r="R534" s="692">
        <f t="shared" si="258"/>
        <v>0.65164246651109381</v>
      </c>
      <c r="S534" s="329">
        <f t="shared" si="259"/>
        <v>0.96347899772619305</v>
      </c>
      <c r="T534" s="330">
        <f t="shared" si="260"/>
        <v>0.48617523716715233</v>
      </c>
      <c r="U534" s="331">
        <f t="shared" si="261"/>
        <v>-16.394301801407885</v>
      </c>
      <c r="V534" s="332">
        <f t="shared" si="262"/>
        <v>-158.10086697811104</v>
      </c>
      <c r="W534" s="334">
        <f t="shared" si="263"/>
        <v>21.899133021888957</v>
      </c>
      <c r="Y534" s="307">
        <f t="shared" si="264"/>
        <v>78077</v>
      </c>
      <c r="Z534" s="307">
        <f t="shared" si="265"/>
        <v>6096017929</v>
      </c>
      <c r="AB534" s="333">
        <f t="shared" si="266"/>
        <v>14.976706516401663</v>
      </c>
      <c r="AC534" s="334">
        <f t="shared" si="267"/>
        <v>-30.344082561064525</v>
      </c>
      <c r="AE534" s="333">
        <f t="shared" si="268"/>
        <v>-5.7966664545935673</v>
      </c>
      <c r="AF534" s="334">
        <f t="shared" si="269"/>
        <v>-114.82425730579401</v>
      </c>
      <c r="AH534">
        <f t="shared" si="270"/>
        <v>0</v>
      </c>
      <c r="AI534">
        <f t="shared" si="245"/>
        <v>0</v>
      </c>
    </row>
    <row r="535" spans="1:35" x14ac:dyDescent="0.25">
      <c r="A535" s="335">
        <v>78529</v>
      </c>
      <c r="B535" s="352">
        <f t="shared" si="271"/>
        <v>78.528999999999996</v>
      </c>
      <c r="C535" s="325">
        <f t="shared" si="246"/>
        <v>48.961719498140617</v>
      </c>
      <c r="D535" s="326">
        <f t="shared" si="247"/>
        <v>1.550370787262934</v>
      </c>
      <c r="E535" s="326">
        <f t="shared" si="248"/>
        <v>1.000530105914289</v>
      </c>
      <c r="F535" s="327">
        <f t="shared" si="249"/>
        <v>3.2553704651592262E-2</v>
      </c>
      <c r="G535" s="326">
        <f t="shared" si="250"/>
        <v>1</v>
      </c>
      <c r="H535" s="327">
        <f t="shared" si="251"/>
        <v>0</v>
      </c>
      <c r="I535" s="325">
        <f t="shared" si="252"/>
        <v>123165.53291951324</v>
      </c>
      <c r="J535" s="328">
        <f t="shared" si="253"/>
        <v>1.5707882076403221</v>
      </c>
      <c r="K535" s="336">
        <f t="shared" ref="K535:K598" si="273">SQRT(1+(A535/Zero2)^2)</f>
        <v>9.8839301848945667</v>
      </c>
      <c r="L535" s="337">
        <f t="shared" ref="L535:L598" si="274">ATAN(A535/Zero2)</f>
        <v>1.4694485907399124</v>
      </c>
      <c r="M535" s="325">
        <f t="shared" si="254"/>
        <v>1.1000831531254656</v>
      </c>
      <c r="N535" s="337">
        <f t="shared" si="255"/>
        <v>0.42986458309554959</v>
      </c>
      <c r="O535" s="343">
        <f t="shared" si="256"/>
        <v>1.0991972933353291</v>
      </c>
      <c r="P535" s="691">
        <f t="shared" si="257"/>
        <v>0.42810331344228753</v>
      </c>
      <c r="Q535" s="336">
        <f t="shared" si="272"/>
        <v>5.2266187254630934</v>
      </c>
      <c r="R535" s="692">
        <f t="shared" si="258"/>
        <v>0.6544412892001642</v>
      </c>
      <c r="S535" s="329">
        <f t="shared" si="259"/>
        <v>0.96318065835150823</v>
      </c>
      <c r="T535" s="330">
        <f t="shared" si="260"/>
        <v>0.48940212076777834</v>
      </c>
      <c r="U535" s="331">
        <f t="shared" si="261"/>
        <v>-16.460621131407482</v>
      </c>
      <c r="V535" s="332">
        <f t="shared" si="262"/>
        <v>-158.4091585660961</v>
      </c>
      <c r="W535" s="334">
        <f t="shared" si="263"/>
        <v>21.590841433903904</v>
      </c>
      <c r="Y535" s="307">
        <f t="shared" si="264"/>
        <v>78529</v>
      </c>
      <c r="Z535" s="307">
        <f t="shared" si="265"/>
        <v>6166803841</v>
      </c>
      <c r="AB535" s="333">
        <f t="shared" si="266"/>
        <v>14.967523698992053</v>
      </c>
      <c r="AC535" s="334">
        <f t="shared" si="267"/>
        <v>-30.435758754169683</v>
      </c>
      <c r="AE535" s="333">
        <f t="shared" si="268"/>
        <v>-5.8440416084857096</v>
      </c>
      <c r="AF535" s="334">
        <f t="shared" si="269"/>
        <v>-115.00518904264737</v>
      </c>
      <c r="AH535">
        <f t="shared" si="270"/>
        <v>0</v>
      </c>
      <c r="AI535">
        <f t="shared" si="245"/>
        <v>0</v>
      </c>
    </row>
    <row r="536" spans="1:35" x14ac:dyDescent="0.25">
      <c r="A536" s="335">
        <v>78981</v>
      </c>
      <c r="B536" s="352">
        <f t="shared" si="271"/>
        <v>78.980999999999995</v>
      </c>
      <c r="C536" s="325">
        <f t="shared" si="246"/>
        <v>49.243417876017745</v>
      </c>
      <c r="D536" s="326">
        <f t="shared" si="247"/>
        <v>1.5504876482578032</v>
      </c>
      <c r="E536" s="326">
        <f t="shared" si="248"/>
        <v>1.0005362242413447</v>
      </c>
      <c r="F536" s="327">
        <f t="shared" si="249"/>
        <v>3.2740944923384835E-2</v>
      </c>
      <c r="G536" s="326">
        <f t="shared" si="250"/>
        <v>1</v>
      </c>
      <c r="H536" s="327">
        <f t="shared" si="251"/>
        <v>0</v>
      </c>
      <c r="I536" s="325">
        <f t="shared" si="252"/>
        <v>123874.45345684289</v>
      </c>
      <c r="J536" s="328">
        <f t="shared" si="253"/>
        <v>1.5707882541053944</v>
      </c>
      <c r="K536" s="336">
        <f t="shared" si="273"/>
        <v>9.9402397669781877</v>
      </c>
      <c r="L536" s="337">
        <f t="shared" si="274"/>
        <v>1.4700246634533305</v>
      </c>
      <c r="M536" s="325">
        <f t="shared" si="254"/>
        <v>1.101185481171427</v>
      </c>
      <c r="N536" s="337">
        <f t="shared" si="255"/>
        <v>0.43204290197635775</v>
      </c>
      <c r="O536" s="343">
        <f t="shared" si="256"/>
        <v>1.1002902878890357</v>
      </c>
      <c r="P536" s="691">
        <f t="shared" si="257"/>
        <v>0.43027502588317862</v>
      </c>
      <c r="Q536" s="336">
        <f t="shared" si="272"/>
        <v>5.2376960640404642</v>
      </c>
      <c r="R536" s="692">
        <f t="shared" si="258"/>
        <v>0.65722837044760773</v>
      </c>
      <c r="S536" s="329">
        <f t="shared" si="259"/>
        <v>0.96288360427313524</v>
      </c>
      <c r="T536" s="330">
        <f t="shared" si="260"/>
        <v>0.49263584830485557</v>
      </c>
      <c r="U536" s="331">
        <f t="shared" si="261"/>
        <v>-16.526682876097134</v>
      </c>
      <c r="V536" s="332">
        <f t="shared" si="262"/>
        <v>-158.71746771172968</v>
      </c>
      <c r="W536" s="334">
        <f t="shared" si="263"/>
        <v>21.282532288270318</v>
      </c>
      <c r="Y536" s="307">
        <f t="shared" si="264"/>
        <v>78981</v>
      </c>
      <c r="Z536" s="307">
        <f t="shared" si="265"/>
        <v>6237998361</v>
      </c>
      <c r="AB536" s="333">
        <f t="shared" si="266"/>
        <v>14.958317040818825</v>
      </c>
      <c r="AC536" s="334">
        <f t="shared" si="267"/>
        <v>-30.527563359659585</v>
      </c>
      <c r="AE536" s="333">
        <f t="shared" si="268"/>
        <v>-5.8911398139879108</v>
      </c>
      <c r="AF536" s="334">
        <f t="shared" si="269"/>
        <v>-115.18643554729135</v>
      </c>
      <c r="AH536">
        <f t="shared" si="270"/>
        <v>0</v>
      </c>
      <c r="AI536">
        <f t="shared" si="245"/>
        <v>0</v>
      </c>
    </row>
    <row r="537" spans="1:35" x14ac:dyDescent="0.25">
      <c r="A537" s="335">
        <v>79433</v>
      </c>
      <c r="B537" s="352">
        <f t="shared" si="271"/>
        <v>79.433000000000007</v>
      </c>
      <c r="C537" s="325">
        <f t="shared" si="246"/>
        <v>49.525116918736963</v>
      </c>
      <c r="D537" s="326">
        <f t="shared" si="247"/>
        <v>1.5506031798427193</v>
      </c>
      <c r="E537" s="326">
        <f t="shared" si="248"/>
        <v>1.0005423776456894</v>
      </c>
      <c r="F537" s="327">
        <f t="shared" si="249"/>
        <v>3.2928182898660639E-2</v>
      </c>
      <c r="G537" s="326">
        <f t="shared" si="250"/>
        <v>1</v>
      </c>
      <c r="H537" s="327">
        <f t="shared" si="251"/>
        <v>0</v>
      </c>
      <c r="I537" s="325">
        <f t="shared" si="252"/>
        <v>124583.37399417281</v>
      </c>
      <c r="J537" s="328">
        <f t="shared" si="253"/>
        <v>1.5707883000416634</v>
      </c>
      <c r="K537" s="336">
        <f t="shared" si="273"/>
        <v>9.9965526106636364</v>
      </c>
      <c r="L537" s="337">
        <f t="shared" si="274"/>
        <v>1.470594246058009</v>
      </c>
      <c r="M537" s="325">
        <f t="shared" si="254"/>
        <v>1.1022930239578546</v>
      </c>
      <c r="N537" s="337">
        <f t="shared" si="255"/>
        <v>0.4342168537688828</v>
      </c>
      <c r="O537" s="343">
        <f t="shared" si="256"/>
        <v>1.1013884614664182</v>
      </c>
      <c r="P537" s="691">
        <f t="shared" si="257"/>
        <v>0.43244241778257553</v>
      </c>
      <c r="Q537" s="336">
        <f t="shared" si="272"/>
        <v>5.2488134017405086</v>
      </c>
      <c r="R537" s="692">
        <f t="shared" si="258"/>
        <v>0.66000374225243874</v>
      </c>
      <c r="S537" s="329">
        <f t="shared" si="259"/>
        <v>0.96258789023844993</v>
      </c>
      <c r="T537" s="330">
        <f t="shared" si="260"/>
        <v>0.49587644671586156</v>
      </c>
      <c r="U537" s="331">
        <f t="shared" si="261"/>
        <v>-16.592490329159613</v>
      </c>
      <c r="V537" s="332">
        <f t="shared" si="262"/>
        <v>-159.02579274840664</v>
      </c>
      <c r="W537" s="334">
        <f t="shared" si="263"/>
        <v>20.974207251593356</v>
      </c>
      <c r="Y537" s="307">
        <f t="shared" si="264"/>
        <v>79433</v>
      </c>
      <c r="Z537" s="307">
        <f t="shared" si="265"/>
        <v>6309601489</v>
      </c>
      <c r="AB537" s="333">
        <f t="shared" si="266"/>
        <v>14.94908657456341</v>
      </c>
      <c r="AC537" s="334">
        <f t="shared" si="267"/>
        <v>-30.619489574963414</v>
      </c>
      <c r="AE537" s="333">
        <f t="shared" si="268"/>
        <v>-5.9379648515009116</v>
      </c>
      <c r="AF537" s="334">
        <f t="shared" si="269"/>
        <v>-115.36799968601453</v>
      </c>
      <c r="AH537">
        <f t="shared" si="270"/>
        <v>0</v>
      </c>
      <c r="AI537">
        <f t="shared" si="245"/>
        <v>0</v>
      </c>
    </row>
    <row r="538" spans="1:35" x14ac:dyDescent="0.25">
      <c r="A538" s="335">
        <v>79895.5</v>
      </c>
      <c r="B538" s="352">
        <f t="shared" si="271"/>
        <v>79.895499999999998</v>
      </c>
      <c r="C538" s="325">
        <f t="shared" si="246"/>
        <v>49.813360531569941</v>
      </c>
      <c r="D538" s="326">
        <f t="shared" si="247"/>
        <v>1.5507200426678185</v>
      </c>
      <c r="E538" s="326">
        <f t="shared" si="248"/>
        <v>1.000548710302513</v>
      </c>
      <c r="F538" s="327">
        <f t="shared" si="249"/>
        <v>3.3119768037862693E-2</v>
      </c>
      <c r="G538" s="326">
        <f t="shared" si="250"/>
        <v>1</v>
      </c>
      <c r="H538" s="327">
        <f t="shared" si="251"/>
        <v>0</v>
      </c>
      <c r="I538" s="325">
        <f t="shared" si="252"/>
        <v>125308.76281832151</v>
      </c>
      <c r="J538" s="328">
        <f t="shared" si="253"/>
        <v>1.570788346507026</v>
      </c>
      <c r="K538" s="336">
        <f t="shared" si="273"/>
        <v>10.054176925656305</v>
      </c>
      <c r="L538" s="337">
        <f t="shared" si="274"/>
        <v>1.4711704554818241</v>
      </c>
      <c r="M538" s="325">
        <f t="shared" si="254"/>
        <v>1.1034316765368388</v>
      </c>
      <c r="N538" s="337">
        <f t="shared" si="255"/>
        <v>0.436436778531894</v>
      </c>
      <c r="O538" s="343">
        <f t="shared" si="256"/>
        <v>1.1025174904542527</v>
      </c>
      <c r="P538" s="691">
        <f t="shared" si="257"/>
        <v>0.43465567838987806</v>
      </c>
      <c r="Q538" s="336">
        <f t="shared" si="272"/>
        <v>5.2602301353586585</v>
      </c>
      <c r="R538" s="692">
        <f t="shared" si="258"/>
        <v>0.66283149941388686</v>
      </c>
      <c r="S538" s="329">
        <f t="shared" si="259"/>
        <v>0.96228675133595809</v>
      </c>
      <c r="T538" s="330">
        <f t="shared" si="260"/>
        <v>0.49919946436707252</v>
      </c>
      <c r="U538" s="331">
        <f t="shared" si="261"/>
        <v>-16.659566656725559</v>
      </c>
      <c r="V538" s="332">
        <f t="shared" si="262"/>
        <v>-159.34129503519938</v>
      </c>
      <c r="W538" s="334">
        <f t="shared" si="263"/>
        <v>20.65870496480062</v>
      </c>
      <c r="Y538" s="307">
        <f t="shared" si="264"/>
        <v>79895.5</v>
      </c>
      <c r="Z538" s="307">
        <f t="shared" si="265"/>
        <v>6383290920.25</v>
      </c>
      <c r="AB538" s="333">
        <f t="shared" si="266"/>
        <v>14.93961707925415</v>
      </c>
      <c r="AC538" s="334">
        <f t="shared" si="267"/>
        <v>-30.71367018899706</v>
      </c>
      <c r="AE538" s="333">
        <f t="shared" si="268"/>
        <v>-5.9855987676456266</v>
      </c>
      <c r="AF538" s="334">
        <f t="shared" si="269"/>
        <v>-115.55411329965553</v>
      </c>
      <c r="AH538">
        <f t="shared" si="270"/>
        <v>0</v>
      </c>
      <c r="AI538">
        <f t="shared" ref="AI538:AI601" si="275">IF(AH538&gt;0,W538,0)</f>
        <v>0</v>
      </c>
    </row>
    <row r="539" spans="1:35" x14ac:dyDescent="0.25">
      <c r="A539" s="335">
        <v>80358</v>
      </c>
      <c r="B539" s="352">
        <f t="shared" si="271"/>
        <v>80.358000000000004</v>
      </c>
      <c r="C539" s="325">
        <f t="shared" si="246"/>
        <v>50.101604816872239</v>
      </c>
      <c r="D539" s="326">
        <f t="shared" si="247"/>
        <v>1.5508355608253177</v>
      </c>
      <c r="E539" s="326">
        <f t="shared" si="248"/>
        <v>1.0005550796838767</v>
      </c>
      <c r="F539" s="327">
        <f t="shared" si="249"/>
        <v>3.3311350744893005E-2</v>
      </c>
      <c r="G539" s="326">
        <f t="shared" si="250"/>
        <v>1</v>
      </c>
      <c r="H539" s="327">
        <f t="shared" si="251"/>
        <v>0</v>
      </c>
      <c r="I539" s="325">
        <f t="shared" si="252"/>
        <v>126034.15164247048</v>
      </c>
      <c r="J539" s="328">
        <f t="shared" si="253"/>
        <v>1.5707883924375261</v>
      </c>
      <c r="K539" s="336">
        <f t="shared" si="273"/>
        <v>10.111804540762542</v>
      </c>
      <c r="L539" s="337">
        <f t="shared" si="274"/>
        <v>1.4717400974077022</v>
      </c>
      <c r="M539" s="325">
        <f t="shared" si="254"/>
        <v>1.1045757556732005</v>
      </c>
      <c r="N539" s="337">
        <f t="shared" si="255"/>
        <v>0.43865211555980893</v>
      </c>
      <c r="O539" s="343">
        <f t="shared" si="256"/>
        <v>1.1036519090836454</v>
      </c>
      <c r="P539" s="691">
        <f t="shared" si="257"/>
        <v>0.4368643998779515</v>
      </c>
      <c r="Q539" s="336">
        <f t="shared" si="272"/>
        <v>5.2716882122385202</v>
      </c>
      <c r="R539" s="692">
        <f t="shared" si="258"/>
        <v>0.66564706597996826</v>
      </c>
      <c r="S539" s="329">
        <f t="shared" si="259"/>
        <v>0.96198713261538726</v>
      </c>
      <c r="T539" s="330">
        <f t="shared" si="260"/>
        <v>0.50252973168139536</v>
      </c>
      <c r="U539" s="331">
        <f t="shared" si="261"/>
        <v>-16.72638355726809</v>
      </c>
      <c r="V539" s="332">
        <f t="shared" si="262"/>
        <v>-159.65681079678626</v>
      </c>
      <c r="W539" s="334">
        <f t="shared" si="263"/>
        <v>20.34318920321374</v>
      </c>
      <c r="Y539" s="307">
        <f t="shared" si="264"/>
        <v>80358</v>
      </c>
      <c r="Z539" s="307">
        <f t="shared" si="265"/>
        <v>6457408164</v>
      </c>
      <c r="AB539" s="333">
        <f t="shared" si="266"/>
        <v>14.930122742725565</v>
      </c>
      <c r="AC539" s="334">
        <f t="shared" si="267"/>
        <v>-30.807964204440665</v>
      </c>
      <c r="AE539" s="333">
        <f t="shared" si="268"/>
        <v>-6.0329545204416064</v>
      </c>
      <c r="AF539" s="334">
        <f t="shared" si="269"/>
        <v>-115.74056538397095</v>
      </c>
      <c r="AH539">
        <f t="shared" si="270"/>
        <v>0</v>
      </c>
      <c r="AI539">
        <f t="shared" si="275"/>
        <v>0</v>
      </c>
    </row>
    <row r="540" spans="1:35" x14ac:dyDescent="0.25">
      <c r="A540" s="335">
        <v>80820.5</v>
      </c>
      <c r="B540" s="352">
        <f t="shared" si="271"/>
        <v>80.820499999999996</v>
      </c>
      <c r="C540" s="325">
        <f t="shared" si="246"/>
        <v>50.389849763103726</v>
      </c>
      <c r="D540" s="326">
        <f t="shared" si="247"/>
        <v>1.5509497573878042</v>
      </c>
      <c r="E540" s="326">
        <f t="shared" si="248"/>
        <v>1.0005614857890792</v>
      </c>
      <c r="F540" s="327">
        <f t="shared" si="249"/>
        <v>3.3502931005734496E-2</v>
      </c>
      <c r="G540" s="326">
        <f t="shared" si="250"/>
        <v>1</v>
      </c>
      <c r="H540" s="327">
        <f t="shared" si="251"/>
        <v>0</v>
      </c>
      <c r="I540" s="325">
        <f t="shared" si="252"/>
        <v>126759.54046661968</v>
      </c>
      <c r="J540" s="328">
        <f t="shared" si="253"/>
        <v>1.5707884378423465</v>
      </c>
      <c r="K540" s="336">
        <f t="shared" si="273"/>
        <v>10.169435399879623</v>
      </c>
      <c r="L540" s="337">
        <f t="shared" si="274"/>
        <v>1.4723032831181042</v>
      </c>
      <c r="M540" s="325">
        <f t="shared" si="254"/>
        <v>1.1057252445225809</v>
      </c>
      <c r="N540" s="337">
        <f t="shared" si="255"/>
        <v>0.44086285738254405</v>
      </c>
      <c r="O540" s="343">
        <f t="shared" si="256"/>
        <v>1.1047917007520742</v>
      </c>
      <c r="P540" s="691">
        <f t="shared" si="257"/>
        <v>0.43906857471230476</v>
      </c>
      <c r="Q540" s="336">
        <f t="shared" si="272"/>
        <v>5.2831873634323792</v>
      </c>
      <c r="R540" s="692">
        <f t="shared" si="258"/>
        <v>0.66845047762990917</v>
      </c>
      <c r="S540" s="329">
        <f t="shared" si="259"/>
        <v>0.96168909392880952</v>
      </c>
      <c r="T540" s="330">
        <f t="shared" si="260"/>
        <v>0.50586727628327632</v>
      </c>
      <c r="U540" s="331">
        <f t="shared" si="261"/>
        <v>-16.792944399374143</v>
      </c>
      <c r="V540" s="332">
        <f t="shared" si="262"/>
        <v>-159.97233861116669</v>
      </c>
      <c r="W540" s="334">
        <f t="shared" si="263"/>
        <v>20.027661388833309</v>
      </c>
      <c r="Y540" s="307">
        <f t="shared" si="264"/>
        <v>80820.5</v>
      </c>
      <c r="Z540" s="307">
        <f t="shared" si="265"/>
        <v>6531953220.25</v>
      </c>
      <c r="AB540" s="333">
        <f t="shared" si="266"/>
        <v>14.920603616406963</v>
      </c>
      <c r="AC540" s="334">
        <f t="shared" si="267"/>
        <v>-30.902364817800773</v>
      </c>
      <c r="AE540" s="333">
        <f t="shared" si="268"/>
        <v>-6.0800359956880889</v>
      </c>
      <c r="AF540" s="334">
        <f t="shared" si="269"/>
        <v>-115.92735884448999</v>
      </c>
      <c r="AH540">
        <f t="shared" si="270"/>
        <v>0</v>
      </c>
      <c r="AI540">
        <f t="shared" si="275"/>
        <v>0</v>
      </c>
    </row>
    <row r="541" spans="1:35" x14ac:dyDescent="0.25">
      <c r="A541" s="335">
        <v>81283</v>
      </c>
      <c r="B541" s="352">
        <f t="shared" si="271"/>
        <v>81.283000000000001</v>
      </c>
      <c r="C541" s="325">
        <f t="shared" si="246"/>
        <v>50.678095358986752</v>
      </c>
      <c r="D541" s="326">
        <f t="shared" si="247"/>
        <v>1.5510626549030784</v>
      </c>
      <c r="E541" s="326">
        <f t="shared" si="248"/>
        <v>1.0005679286174154</v>
      </c>
      <c r="F541" s="327">
        <f t="shared" si="249"/>
        <v>3.3694508806371128E-2</v>
      </c>
      <c r="G541" s="326">
        <f t="shared" si="250"/>
        <v>1</v>
      </c>
      <c r="H541" s="327">
        <f t="shared" si="251"/>
        <v>0</v>
      </c>
      <c r="I541" s="325">
        <f t="shared" si="252"/>
        <v>127484.92929076919</v>
      </c>
      <c r="J541" s="328">
        <f t="shared" si="253"/>
        <v>1.5707884827304603</v>
      </c>
      <c r="K541" s="336">
        <f t="shared" si="273"/>
        <v>10.227069448166285</v>
      </c>
      <c r="L541" s="337">
        <f t="shared" si="274"/>
        <v>1.4728601214035828</v>
      </c>
      <c r="M541" s="325">
        <f t="shared" si="254"/>
        <v>1.1068801262311094</v>
      </c>
      <c r="N541" s="337">
        <f t="shared" si="255"/>
        <v>0.44306899674063982</v>
      </c>
      <c r="O541" s="343">
        <f t="shared" si="256"/>
        <v>1.1059368488469852</v>
      </c>
      <c r="P541" s="691">
        <f t="shared" si="257"/>
        <v>0.4412681955661476</v>
      </c>
      <c r="Q541" s="336">
        <f t="shared" si="272"/>
        <v>5.2947273213691028</v>
      </c>
      <c r="R541" s="692">
        <f t="shared" si="258"/>
        <v>0.67124177048783551</v>
      </c>
      <c r="S541" s="329">
        <f t="shared" si="259"/>
        <v>0.96139269553229323</v>
      </c>
      <c r="T541" s="330">
        <f t="shared" si="260"/>
        <v>0.50921212536626603</v>
      </c>
      <c r="U541" s="331">
        <f t="shared" si="261"/>
        <v>-16.859252500706397</v>
      </c>
      <c r="V541" s="332">
        <f t="shared" si="262"/>
        <v>-160.28787717000552</v>
      </c>
      <c r="W541" s="334">
        <f t="shared" si="263"/>
        <v>19.712122829994485</v>
      </c>
      <c r="Y541" s="307">
        <f t="shared" si="264"/>
        <v>81283</v>
      </c>
      <c r="Z541" s="307">
        <f t="shared" si="265"/>
        <v>6606926089</v>
      </c>
      <c r="AB541" s="333">
        <f t="shared" si="266"/>
        <v>14.911059756846237</v>
      </c>
      <c r="AC541" s="334">
        <f t="shared" si="267"/>
        <v>-30.996865380415592</v>
      </c>
      <c r="AE541" s="333">
        <f t="shared" si="268"/>
        <v>-6.1268470264860433</v>
      </c>
      <c r="AF541" s="334">
        <f t="shared" si="269"/>
        <v>-116.1144965319852</v>
      </c>
      <c r="AH541">
        <f t="shared" si="270"/>
        <v>0</v>
      </c>
      <c r="AI541">
        <f t="shared" si="275"/>
        <v>0</v>
      </c>
    </row>
    <row r="542" spans="1:35" x14ac:dyDescent="0.25">
      <c r="A542" s="335">
        <v>81756.25</v>
      </c>
      <c r="B542" s="352">
        <f t="shared" si="271"/>
        <v>81.756249999999994</v>
      </c>
      <c r="C542" s="325">
        <f t="shared" si="246"/>
        <v>50.973041378349059</v>
      </c>
      <c r="D542" s="326">
        <f t="shared" si="247"/>
        <v>1.5511768548194089</v>
      </c>
      <c r="E542" s="326">
        <f t="shared" si="248"/>
        <v>1.0005745592106381</v>
      </c>
      <c r="F542" s="327">
        <f t="shared" si="249"/>
        <v>3.3890536935164105E-2</v>
      </c>
      <c r="G542" s="326">
        <f t="shared" si="250"/>
        <v>1</v>
      </c>
      <c r="H542" s="327">
        <f t="shared" si="251"/>
        <v>0</v>
      </c>
      <c r="I542" s="325">
        <f t="shared" si="252"/>
        <v>128227.17850380456</v>
      </c>
      <c r="J542" s="328">
        <f t="shared" si="253"/>
        <v>1.570788528136206</v>
      </c>
      <c r="K542" s="336">
        <f t="shared" si="273"/>
        <v>10.286046343955929</v>
      </c>
      <c r="L542" s="337">
        <f t="shared" si="274"/>
        <v>1.4734234429188688</v>
      </c>
      <c r="M542" s="325">
        <f t="shared" si="254"/>
        <v>1.1080674158830417</v>
      </c>
      <c r="N542" s="337">
        <f t="shared" si="255"/>
        <v>0.44532164240723571</v>
      </c>
      <c r="O542" s="343">
        <f t="shared" si="256"/>
        <v>1.1071141411829946</v>
      </c>
      <c r="P542" s="691">
        <f t="shared" si="257"/>
        <v>0.44351422133166568</v>
      </c>
      <c r="Q542" s="336">
        <f t="shared" si="272"/>
        <v>5.3065774681747069</v>
      </c>
      <c r="R542" s="692">
        <f t="shared" si="258"/>
        <v>0.67408543559507239</v>
      </c>
      <c r="S542" s="329">
        <f t="shared" si="259"/>
        <v>0.96109116907727565</v>
      </c>
      <c r="T542" s="330">
        <f t="shared" si="260"/>
        <v>0.5126423086210935</v>
      </c>
      <c r="U542" s="331">
        <f t="shared" si="261"/>
        <v>-16.926843605479352</v>
      </c>
      <c r="V542" s="332">
        <f t="shared" si="262"/>
        <v>-160.61075974022197</v>
      </c>
      <c r="W542" s="334">
        <f t="shared" si="263"/>
        <v>19.389240259778035</v>
      </c>
      <c r="Y542" s="307">
        <f t="shared" si="264"/>
        <v>81756.25</v>
      </c>
      <c r="Z542" s="307">
        <f t="shared" si="265"/>
        <v>6684084414.0625</v>
      </c>
      <c r="AB542" s="333">
        <f t="shared" si="266"/>
        <v>14.901268528942641</v>
      </c>
      <c r="AC542" s="334">
        <f t="shared" si="267"/>
        <v>-31.093659126183383</v>
      </c>
      <c r="AE542" s="333">
        <f t="shared" si="268"/>
        <v>-6.1744700955280019</v>
      </c>
      <c r="AF542" s="334">
        <f t="shared" si="269"/>
        <v>-116.30634314444326</v>
      </c>
      <c r="AH542">
        <f t="shared" si="270"/>
        <v>0</v>
      </c>
      <c r="AI542">
        <f t="shared" si="275"/>
        <v>0</v>
      </c>
    </row>
    <row r="543" spans="1:35" x14ac:dyDescent="0.25">
      <c r="A543" s="335">
        <v>82229.5</v>
      </c>
      <c r="B543" s="352">
        <f t="shared" si="271"/>
        <v>82.229500000000002</v>
      </c>
      <c r="C543" s="325">
        <f t="shared" si="246"/>
        <v>51.267988054833545</v>
      </c>
      <c r="D543" s="326">
        <f t="shared" si="247"/>
        <v>1.5512897407443123</v>
      </c>
      <c r="E543" s="326">
        <f t="shared" si="248"/>
        <v>1.0005812282524562</v>
      </c>
      <c r="F543" s="327">
        <f t="shared" si="249"/>
        <v>3.408656245836892E-2</v>
      </c>
      <c r="G543" s="326">
        <f t="shared" si="250"/>
        <v>1</v>
      </c>
      <c r="H543" s="327">
        <f t="shared" si="251"/>
        <v>0</v>
      </c>
      <c r="I543" s="325">
        <f t="shared" si="252"/>
        <v>128969.4277168402</v>
      </c>
      <c r="J543" s="328">
        <f t="shared" si="253"/>
        <v>1.5707885730193103</v>
      </c>
      <c r="K543" s="336">
        <f t="shared" si="273"/>
        <v>10.345026466610673</v>
      </c>
      <c r="L543" s="337">
        <f t="shared" si="274"/>
        <v>1.4739803412767574</v>
      </c>
      <c r="M543" s="325">
        <f t="shared" si="254"/>
        <v>1.1092603162728589</v>
      </c>
      <c r="N543" s="337">
        <f t="shared" si="255"/>
        <v>0.44756945446196911</v>
      </c>
      <c r="O543" s="343">
        <f t="shared" si="256"/>
        <v>1.1082970066203892</v>
      </c>
      <c r="P543" s="691">
        <f t="shared" si="257"/>
        <v>0.44575546409765976</v>
      </c>
      <c r="Q543" s="336">
        <f t="shared" si="272"/>
        <v>5.318469778349102</v>
      </c>
      <c r="R543" s="692">
        <f t="shared" si="258"/>
        <v>0.67691648989848219</v>
      </c>
      <c r="S543" s="329">
        <f t="shared" si="259"/>
        <v>0.96079148898927369</v>
      </c>
      <c r="T543" s="330">
        <f t="shared" si="260"/>
        <v>0.51608019605525635</v>
      </c>
      <c r="U543" s="331">
        <f t="shared" si="261"/>
        <v>-16.994176954909396</v>
      </c>
      <c r="V543" s="332">
        <f t="shared" si="262"/>
        <v>-160.93365113468093</v>
      </c>
      <c r="W543" s="334">
        <f t="shared" si="263"/>
        <v>19.066348865319071</v>
      </c>
      <c r="Y543" s="307">
        <f t="shared" si="264"/>
        <v>82229.5</v>
      </c>
      <c r="Z543" s="307">
        <f t="shared" si="265"/>
        <v>6761690670.25</v>
      </c>
      <c r="AB543" s="333">
        <f t="shared" si="266"/>
        <v>14.891451540033493</v>
      </c>
      <c r="AC543" s="334">
        <f t="shared" si="267"/>
        <v>-31.190543916256612</v>
      </c>
      <c r="AE543" s="333">
        <f t="shared" si="268"/>
        <v>-6.2218179585268816</v>
      </c>
      <c r="AF543" s="334">
        <f t="shared" si="269"/>
        <v>-116.4985560369884</v>
      </c>
      <c r="AH543">
        <f t="shared" si="270"/>
        <v>0</v>
      </c>
      <c r="AI543">
        <f t="shared" si="275"/>
        <v>0</v>
      </c>
    </row>
    <row r="544" spans="1:35" x14ac:dyDescent="0.25">
      <c r="A544" s="335">
        <v>82702.75</v>
      </c>
      <c r="B544" s="352">
        <f t="shared" si="271"/>
        <v>82.702749999999995</v>
      </c>
      <c r="C544" s="325">
        <f t="shared" si="246"/>
        <v>51.562935377163754</v>
      </c>
      <c r="D544" s="326">
        <f t="shared" si="247"/>
        <v>1.5514013352235396</v>
      </c>
      <c r="E544" s="326">
        <f t="shared" si="248"/>
        <v>1.000587935742101</v>
      </c>
      <c r="F544" s="327">
        <f t="shared" si="249"/>
        <v>3.4282585360972874E-2</v>
      </c>
      <c r="G544" s="326">
        <f t="shared" si="250"/>
        <v>1</v>
      </c>
      <c r="H544" s="327">
        <f t="shared" si="251"/>
        <v>0</v>
      </c>
      <c r="I544" s="325">
        <f t="shared" si="252"/>
        <v>129711.67692987611</v>
      </c>
      <c r="J544" s="328">
        <f t="shared" si="253"/>
        <v>1.5707886173887453</v>
      </c>
      <c r="K544" s="336">
        <f t="shared" si="273"/>
        <v>10.404009761251412</v>
      </c>
      <c r="L544" s="337">
        <f t="shared" si="274"/>
        <v>1.4745309253729748</v>
      </c>
      <c r="M544" s="325">
        <f t="shared" si="254"/>
        <v>1.1104588093187073</v>
      </c>
      <c r="N544" s="337">
        <f t="shared" si="255"/>
        <v>0.44981242580404274</v>
      </c>
      <c r="O544" s="343">
        <f t="shared" si="256"/>
        <v>1.1094854273340711</v>
      </c>
      <c r="P544" s="691">
        <f t="shared" si="257"/>
        <v>0.44799191668194294</v>
      </c>
      <c r="Q544" s="336">
        <f t="shared" si="272"/>
        <v>5.3304039697383176</v>
      </c>
      <c r="R544" s="692">
        <f t="shared" si="258"/>
        <v>0.67973497346170852</v>
      </c>
      <c r="S544" s="329">
        <f t="shared" si="259"/>
        <v>0.96049372113524445</v>
      </c>
      <c r="T544" s="330">
        <f t="shared" si="260"/>
        <v>0.51952581535196496</v>
      </c>
      <c r="U544" s="331">
        <f t="shared" si="261"/>
        <v>-17.061255947137703</v>
      </c>
      <c r="V544" s="332">
        <f t="shared" si="262"/>
        <v>-161.25655029353973</v>
      </c>
      <c r="W544" s="334">
        <f t="shared" si="263"/>
        <v>18.743449706460268</v>
      </c>
      <c r="Y544" s="307">
        <f t="shared" si="264"/>
        <v>82702.75</v>
      </c>
      <c r="Z544" s="307">
        <f t="shared" si="265"/>
        <v>6839744857.5625</v>
      </c>
      <c r="AB544" s="333">
        <f t="shared" si="266"/>
        <v>14.881608866080967</v>
      </c>
      <c r="AC544" s="334">
        <f t="shared" si="267"/>
        <v>-31.287513105038101</v>
      </c>
      <c r="AE544" s="333">
        <f t="shared" si="268"/>
        <v>-6.2688945590473715</v>
      </c>
      <c r="AF544" s="334">
        <f t="shared" si="269"/>
        <v>-116.69113808838829</v>
      </c>
      <c r="AH544">
        <f t="shared" si="270"/>
        <v>0</v>
      </c>
      <c r="AI544">
        <f t="shared" si="275"/>
        <v>0</v>
      </c>
    </row>
    <row r="545" spans="1:35" x14ac:dyDescent="0.25">
      <c r="A545" s="335">
        <v>83176</v>
      </c>
      <c r="B545" s="352">
        <f t="shared" si="271"/>
        <v>83.176000000000002</v>
      </c>
      <c r="C545" s="325">
        <f t="shared" si="246"/>
        <v>51.857883334319723</v>
      </c>
      <c r="D545" s="326">
        <f t="shared" si="247"/>
        <v>1.5515116602900461</v>
      </c>
      <c r="E545" s="326">
        <f t="shared" si="248"/>
        <v>1.0005946816787994</v>
      </c>
      <c r="F545" s="327">
        <f t="shared" si="249"/>
        <v>3.4478605627964447E-2</v>
      </c>
      <c r="G545" s="326">
        <f t="shared" si="250"/>
        <v>1</v>
      </c>
      <c r="H545" s="327">
        <f t="shared" si="251"/>
        <v>0</v>
      </c>
      <c r="I545" s="325">
        <f t="shared" si="252"/>
        <v>130453.92614291226</v>
      </c>
      <c r="J545" s="328">
        <f t="shared" si="253"/>
        <v>1.5707886612532791</v>
      </c>
      <c r="K545" s="336">
        <f t="shared" si="273"/>
        <v>10.462996174233615</v>
      </c>
      <c r="L545" s="337">
        <f t="shared" si="274"/>
        <v>1.4750753016631086</v>
      </c>
      <c r="M545" s="325">
        <f t="shared" si="254"/>
        <v>1.1116628769321191</v>
      </c>
      <c r="N545" s="337">
        <f t="shared" si="255"/>
        <v>0.45205054955803375</v>
      </c>
      <c r="O545" s="343">
        <f t="shared" si="256"/>
        <v>1.1106793854916968</v>
      </c>
      <c r="P545" s="691">
        <f t="shared" si="257"/>
        <v>0.45022357212466779</v>
      </c>
      <c r="Q545" s="336">
        <f t="shared" si="272"/>
        <v>5.3423797617204372</v>
      </c>
      <c r="R545" s="692">
        <f t="shared" si="258"/>
        <v>0.68254092677936962</v>
      </c>
      <c r="S545" s="329">
        <f t="shared" si="259"/>
        <v>0.96019793182299507</v>
      </c>
      <c r="T545" s="330">
        <f t="shared" si="260"/>
        <v>0.52297919368808055</v>
      </c>
      <c r="U545" s="331">
        <f t="shared" si="261"/>
        <v>-17.128083930595224</v>
      </c>
      <c r="V545" s="332">
        <f t="shared" si="262"/>
        <v>-161.57945626322763</v>
      </c>
      <c r="W545" s="334">
        <f t="shared" si="263"/>
        <v>18.420543736772373</v>
      </c>
      <c r="Y545" s="307">
        <f t="shared" si="264"/>
        <v>83176</v>
      </c>
      <c r="Z545" s="307">
        <f t="shared" si="265"/>
        <v>6918246976</v>
      </c>
      <c r="AB545" s="333">
        <f t="shared" si="266"/>
        <v>14.871740587830688</v>
      </c>
      <c r="AC545" s="334">
        <f t="shared" si="267"/>
        <v>-31.384560199641644</v>
      </c>
      <c r="AE545" s="333">
        <f t="shared" si="268"/>
        <v>-6.3157037883335665</v>
      </c>
      <c r="AF545" s="334">
        <f t="shared" si="269"/>
        <v>-116.88409211901777</v>
      </c>
      <c r="AH545">
        <f t="shared" si="270"/>
        <v>0</v>
      </c>
      <c r="AI545">
        <f t="shared" si="275"/>
        <v>0</v>
      </c>
    </row>
    <row r="546" spans="1:35" x14ac:dyDescent="0.25">
      <c r="A546" s="335">
        <v>83660.5</v>
      </c>
      <c r="B546" s="352">
        <f t="shared" si="271"/>
        <v>83.660499999999999</v>
      </c>
      <c r="C546" s="325">
        <f t="shared" si="246"/>
        <v>52.159843379009367</v>
      </c>
      <c r="D546" s="326">
        <f t="shared" si="247"/>
        <v>1.5516233154276062</v>
      </c>
      <c r="E546" s="326">
        <f t="shared" si="248"/>
        <v>1.0006016278065313</v>
      </c>
      <c r="F546" s="327">
        <f t="shared" si="249"/>
        <v>3.4679282901727275E-2</v>
      </c>
      <c r="G546" s="326">
        <f t="shared" si="250"/>
        <v>1</v>
      </c>
      <c r="H546" s="327">
        <f t="shared" si="251"/>
        <v>0</v>
      </c>
      <c r="I546" s="325">
        <f t="shared" si="252"/>
        <v>131213.81994896854</v>
      </c>
      <c r="J546" s="328">
        <f t="shared" si="253"/>
        <v>1.5707887056464505</v>
      </c>
      <c r="K546" s="336">
        <f t="shared" si="273"/>
        <v>10.523387975548653</v>
      </c>
      <c r="L546" s="337">
        <f t="shared" si="274"/>
        <v>1.4756262965004134</v>
      </c>
      <c r="M546" s="325">
        <f t="shared" si="254"/>
        <v>1.1129013234147831</v>
      </c>
      <c r="N546" s="337">
        <f t="shared" si="255"/>
        <v>0.454336848766418</v>
      </c>
      <c r="O546" s="343">
        <f t="shared" si="256"/>
        <v>1.1119074440076084</v>
      </c>
      <c r="P546" s="691">
        <f t="shared" si="257"/>
        <v>0.45250330142673301</v>
      </c>
      <c r="Q546" s="336">
        <f t="shared" si="272"/>
        <v>5.3546830440555073</v>
      </c>
      <c r="R546" s="692">
        <f t="shared" si="258"/>
        <v>0.68540064476724727</v>
      </c>
      <c r="S546" s="329">
        <f t="shared" si="259"/>
        <v>0.95989723041770758</v>
      </c>
      <c r="T546" s="330">
        <f t="shared" si="260"/>
        <v>0.52652273074827816</v>
      </c>
      <c r="U546" s="331">
        <f t="shared" si="261"/>
        <v>-17.196243950362337</v>
      </c>
      <c r="V546" s="332">
        <f t="shared" si="262"/>
        <v>-161.91004445305242</v>
      </c>
      <c r="W546" s="334">
        <f t="shared" si="263"/>
        <v>18.089955546947579</v>
      </c>
      <c r="Y546" s="307">
        <f t="shared" si="264"/>
        <v>83660.5</v>
      </c>
      <c r="Z546" s="307">
        <f t="shared" si="265"/>
        <v>6999079260.25</v>
      </c>
      <c r="AB546" s="333">
        <f t="shared" si="266"/>
        <v>14.861611287545852</v>
      </c>
      <c r="AC546" s="334">
        <f t="shared" si="267"/>
        <v>-31.483988359930084</v>
      </c>
      <c r="AE546" s="333">
        <f t="shared" si="268"/>
        <v>-6.3633527856401439</v>
      </c>
      <c r="AF546" s="334">
        <f t="shared" si="269"/>
        <v>-117.0820212446538</v>
      </c>
      <c r="AH546">
        <f t="shared" si="270"/>
        <v>0</v>
      </c>
      <c r="AI546">
        <f t="shared" si="275"/>
        <v>0</v>
      </c>
    </row>
    <row r="547" spans="1:35" x14ac:dyDescent="0.25">
      <c r="A547" s="335">
        <v>84145</v>
      </c>
      <c r="B547" s="352">
        <f t="shared" si="271"/>
        <v>84.144999999999996</v>
      </c>
      <c r="C547" s="325">
        <f t="shared" si="246"/>
        <v>52.461804066483339</v>
      </c>
      <c r="D547" s="326">
        <f t="shared" si="247"/>
        <v>1.5517336852328392</v>
      </c>
      <c r="E547" s="326">
        <f t="shared" si="248"/>
        <v>1.0006086142292991</v>
      </c>
      <c r="F547" s="327">
        <f t="shared" si="249"/>
        <v>3.4879957381244428E-2</v>
      </c>
      <c r="G547" s="326">
        <f t="shared" si="250"/>
        <v>1</v>
      </c>
      <c r="H547" s="327">
        <f t="shared" si="251"/>
        <v>0</v>
      </c>
      <c r="I547" s="325">
        <f t="shared" si="252"/>
        <v>131973.71375502512</v>
      </c>
      <c r="J547" s="328">
        <f t="shared" si="253"/>
        <v>1.5707887495283974</v>
      </c>
      <c r="K547" s="336">
        <f t="shared" si="273"/>
        <v>10.583782935254284</v>
      </c>
      <c r="L547" s="337">
        <f t="shared" si="274"/>
        <v>1.4761710031429618</v>
      </c>
      <c r="M547" s="325">
        <f t="shared" si="254"/>
        <v>1.1141455742648763</v>
      </c>
      <c r="N547" s="337">
        <f t="shared" si="255"/>
        <v>0.45661805330949579</v>
      </c>
      <c r="O547" s="343">
        <f t="shared" si="256"/>
        <v>1.1131412685225439</v>
      </c>
      <c r="P547" s="691">
        <f t="shared" si="257"/>
        <v>0.454777988748294</v>
      </c>
      <c r="Q547" s="336">
        <f t="shared" si="272"/>
        <v>5.3670293380366267</v>
      </c>
      <c r="R547" s="692">
        <f t="shared" si="258"/>
        <v>0.68824731691482077</v>
      </c>
      <c r="S547" s="329">
        <f t="shared" si="259"/>
        <v>0.95959874479959906</v>
      </c>
      <c r="T547" s="330">
        <f t="shared" si="260"/>
        <v>0.5300744561068822</v>
      </c>
      <c r="U547" s="331">
        <f t="shared" si="261"/>
        <v>-17.264147834599331</v>
      </c>
      <c r="V547" s="332">
        <f t="shared" si="262"/>
        <v>-162.24063808132107</v>
      </c>
      <c r="W547" s="334">
        <f t="shared" si="263"/>
        <v>17.759361918678934</v>
      </c>
      <c r="Y547" s="307">
        <f t="shared" si="264"/>
        <v>84145</v>
      </c>
      <c r="Z547" s="307">
        <f t="shared" si="265"/>
        <v>7080381025</v>
      </c>
      <c r="AB547" s="333">
        <f t="shared" si="266"/>
        <v>14.85145533699313</v>
      </c>
      <c r="AC547" s="334">
        <f t="shared" si="267"/>
        <v>-31.583484875127787</v>
      </c>
      <c r="AE547" s="333">
        <f t="shared" si="268"/>
        <v>-6.4107296401506906</v>
      </c>
      <c r="AF547" s="334">
        <f t="shared" si="269"/>
        <v>-117.28034604121122</v>
      </c>
      <c r="AH547">
        <f t="shared" si="270"/>
        <v>0</v>
      </c>
      <c r="AI547">
        <f t="shared" si="275"/>
        <v>0</v>
      </c>
    </row>
    <row r="548" spans="1:35" x14ac:dyDescent="0.25">
      <c r="A548" s="335">
        <v>84629.5</v>
      </c>
      <c r="B548" s="352">
        <f t="shared" si="271"/>
        <v>84.629499999999993</v>
      </c>
      <c r="C548" s="325">
        <f t="shared" si="246"/>
        <v>52.763765385705888</v>
      </c>
      <c r="D548" s="326">
        <f t="shared" si="247"/>
        <v>1.5518427917704865</v>
      </c>
      <c r="E548" s="326">
        <f t="shared" si="248"/>
        <v>1.0006156409462594</v>
      </c>
      <c r="F548" s="327">
        <f t="shared" si="249"/>
        <v>3.508062905041219E-2</v>
      </c>
      <c r="G548" s="326">
        <f t="shared" si="250"/>
        <v>1</v>
      </c>
      <c r="H548" s="327">
        <f t="shared" si="251"/>
        <v>0</v>
      </c>
      <c r="I548" s="325">
        <f t="shared" si="252"/>
        <v>132733.60756108188</v>
      </c>
      <c r="J548" s="328">
        <f t="shared" si="253"/>
        <v>1.5707887929079001</v>
      </c>
      <c r="K548" s="336">
        <f t="shared" si="273"/>
        <v>10.644180999588494</v>
      </c>
      <c r="L548" s="337">
        <f t="shared" si="274"/>
        <v>1.476709528307671</v>
      </c>
      <c r="M548" s="325">
        <f t="shared" si="254"/>
        <v>1.1153956100576612</v>
      </c>
      <c r="N548" s="337">
        <f t="shared" si="255"/>
        <v>0.45889415653443394</v>
      </c>
      <c r="O548" s="343">
        <f t="shared" si="256"/>
        <v>1.1143808398844395</v>
      </c>
      <c r="P548" s="691">
        <f t="shared" si="257"/>
        <v>0.45704762733632304</v>
      </c>
      <c r="Q548" s="336">
        <f t="shared" si="272"/>
        <v>5.3794183475700041</v>
      </c>
      <c r="R548" s="692">
        <f t="shared" si="258"/>
        <v>0.69108098798737827</v>
      </c>
      <c r="S548" s="329">
        <f t="shared" si="259"/>
        <v>0.95930254754992272</v>
      </c>
      <c r="T548" s="330">
        <f t="shared" si="260"/>
        <v>0.53363439721793127</v>
      </c>
      <c r="U548" s="331">
        <f t="shared" si="261"/>
        <v>-17.331799023507969</v>
      </c>
      <c r="V548" s="332">
        <f t="shared" si="262"/>
        <v>-162.57123644285019</v>
      </c>
      <c r="W548" s="334">
        <f t="shared" si="263"/>
        <v>17.428763557149807</v>
      </c>
      <c r="Y548" s="307">
        <f t="shared" si="264"/>
        <v>84629.5</v>
      </c>
      <c r="Z548" s="307">
        <f t="shared" si="265"/>
        <v>7162152270.25</v>
      </c>
      <c r="AB548" s="333">
        <f t="shared" si="266"/>
        <v>14.841272837174175</v>
      </c>
      <c r="AC548" s="334">
        <f t="shared" si="267"/>
        <v>-31.683043250129611</v>
      </c>
      <c r="AE548" s="333">
        <f t="shared" si="268"/>
        <v>-6.4578383650886888</v>
      </c>
      <c r="AF548" s="334">
        <f t="shared" si="269"/>
        <v>-117.47906934682986</v>
      </c>
      <c r="AH548">
        <f t="shared" si="270"/>
        <v>0</v>
      </c>
      <c r="AI548">
        <f t="shared" si="275"/>
        <v>0</v>
      </c>
    </row>
    <row r="549" spans="1:35" x14ac:dyDescent="0.25">
      <c r="A549" s="335">
        <v>85114</v>
      </c>
      <c r="B549" s="352">
        <f t="shared" si="271"/>
        <v>85.114000000000004</v>
      </c>
      <c r="C549" s="325">
        <f t="shared" si="246"/>
        <v>53.065727325892453</v>
      </c>
      <c r="D549" s="326">
        <f t="shared" si="247"/>
        <v>1.5519506566031873</v>
      </c>
      <c r="E549" s="326">
        <f t="shared" si="248"/>
        <v>1.0006227079565628</v>
      </c>
      <c r="F549" s="327">
        <f t="shared" si="249"/>
        <v>3.5281297893128193E-2</v>
      </c>
      <c r="G549" s="326">
        <f t="shared" si="250"/>
        <v>1</v>
      </c>
      <c r="H549" s="327">
        <f t="shared" si="251"/>
        <v>0</v>
      </c>
      <c r="I549" s="325">
        <f t="shared" si="252"/>
        <v>133493.50136713893</v>
      </c>
      <c r="J549" s="328">
        <f t="shared" si="253"/>
        <v>1.5707888357935387</v>
      </c>
      <c r="K549" s="336">
        <f t="shared" si="273"/>
        <v>10.704582115999893</v>
      </c>
      <c r="L549" s="337">
        <f t="shared" si="274"/>
        <v>1.477241976317365</v>
      </c>
      <c r="M549" s="325">
        <f t="shared" si="254"/>
        <v>1.1166514113652697</v>
      </c>
      <c r="N549" s="337">
        <f t="shared" si="255"/>
        <v>0.46116515202954378</v>
      </c>
      <c r="O549" s="343">
        <f t="shared" si="256"/>
        <v>1.1156261389373434</v>
      </c>
      <c r="P549" s="691">
        <f t="shared" si="257"/>
        <v>0.45931221067579303</v>
      </c>
      <c r="Q549" s="336">
        <f t="shared" si="272"/>
        <v>5.391849778263615</v>
      </c>
      <c r="R549" s="692">
        <f t="shared" si="258"/>
        <v>0.69390170316341637</v>
      </c>
      <c r="S549" s="329">
        <f t="shared" si="259"/>
        <v>0.95900871173086444</v>
      </c>
      <c r="T549" s="330">
        <f t="shared" si="260"/>
        <v>0.53720258093973638</v>
      </c>
      <c r="U549" s="331">
        <f t="shared" si="261"/>
        <v>-17.399200908718669</v>
      </c>
      <c r="V549" s="332">
        <f t="shared" si="262"/>
        <v>-162.90183893057062</v>
      </c>
      <c r="W549" s="334">
        <f t="shared" si="263"/>
        <v>17.098161069429381</v>
      </c>
      <c r="Y549" s="307">
        <f t="shared" si="264"/>
        <v>85114</v>
      </c>
      <c r="Z549" s="307">
        <f t="shared" si="265"/>
        <v>7244392996</v>
      </c>
      <c r="AB549" s="333">
        <f t="shared" si="266"/>
        <v>14.831063893544966</v>
      </c>
      <c r="AC549" s="334">
        <f t="shared" si="267"/>
        <v>-31.782657140806958</v>
      </c>
      <c r="AE549" s="333">
        <f t="shared" si="268"/>
        <v>-6.5046829216414572</v>
      </c>
      <c r="AF549" s="334">
        <f t="shared" si="269"/>
        <v>-117.67819393674833</v>
      </c>
      <c r="AH549">
        <f t="shared" si="270"/>
        <v>0</v>
      </c>
      <c r="AI549">
        <f t="shared" si="275"/>
        <v>0</v>
      </c>
    </row>
    <row r="550" spans="1:35" x14ac:dyDescent="0.25">
      <c r="A550" s="335">
        <v>85609.5</v>
      </c>
      <c r="B550" s="352">
        <f t="shared" si="271"/>
        <v>85.609499999999997</v>
      </c>
      <c r="C550" s="325">
        <f t="shared" si="246"/>
        <v>53.374545586411642</v>
      </c>
      <c r="D550" s="326">
        <f t="shared" si="247"/>
        <v>1.5520597080273499</v>
      </c>
      <c r="E550" s="326">
        <f t="shared" si="248"/>
        <v>1.000629977090042</v>
      </c>
      <c r="F550" s="327">
        <f t="shared" si="249"/>
        <v>3.548651974458502E-2</v>
      </c>
      <c r="G550" s="326">
        <f t="shared" si="250"/>
        <v>1</v>
      </c>
      <c r="H550" s="327">
        <f t="shared" si="251"/>
        <v>0</v>
      </c>
      <c r="I550" s="325">
        <f t="shared" si="252"/>
        <v>134270.64766414903</v>
      </c>
      <c r="J550" s="328">
        <f t="shared" si="253"/>
        <v>1.5707888791507734</v>
      </c>
      <c r="K550" s="336">
        <f t="shared" si="273"/>
        <v>10.766357671659369</v>
      </c>
      <c r="L550" s="337">
        <f t="shared" si="274"/>
        <v>1.4777803335267636</v>
      </c>
      <c r="M550" s="325">
        <f t="shared" si="254"/>
        <v>1.1179416672584712</v>
      </c>
      <c r="N550" s="337">
        <f t="shared" si="255"/>
        <v>0.46348241836928555</v>
      </c>
      <c r="O550" s="343">
        <f t="shared" si="256"/>
        <v>1.1169056152954395</v>
      </c>
      <c r="P550" s="691">
        <f t="shared" si="257"/>
        <v>0.46162297345062342</v>
      </c>
      <c r="Q550" s="336">
        <f t="shared" si="272"/>
        <v>5.4046070216681494</v>
      </c>
      <c r="R550" s="692">
        <f t="shared" si="258"/>
        <v>0.69677310638633372</v>
      </c>
      <c r="S550" s="329">
        <f t="shared" si="259"/>
        <v>0.95871072382027867</v>
      </c>
      <c r="T550" s="330">
        <f t="shared" si="260"/>
        <v>0.54086032885498825</v>
      </c>
      <c r="U550" s="331">
        <f t="shared" si="261"/>
        <v>-17.46787870105042</v>
      </c>
      <c r="V550" s="332">
        <f t="shared" si="262"/>
        <v>-163.23995109041797</v>
      </c>
      <c r="W550" s="334">
        <f t="shared" si="263"/>
        <v>16.760048909582025</v>
      </c>
      <c r="Y550" s="307">
        <f t="shared" si="264"/>
        <v>85609.5</v>
      </c>
      <c r="Z550" s="307">
        <f t="shared" si="265"/>
        <v>7328986490.25</v>
      </c>
      <c r="AB550" s="333">
        <f t="shared" si="266"/>
        <v>14.820595931099522</v>
      </c>
      <c r="AC550" s="334">
        <f t="shared" si="267"/>
        <v>-31.884583610415916</v>
      </c>
      <c r="AE550" s="333">
        <f t="shared" si="268"/>
        <v>-6.5523218705038211</v>
      </c>
      <c r="AF550" s="334">
        <f t="shared" si="269"/>
        <v>-117.88225729545032</v>
      </c>
      <c r="AH550">
        <f t="shared" si="270"/>
        <v>0</v>
      </c>
      <c r="AI550">
        <f t="shared" si="275"/>
        <v>0</v>
      </c>
    </row>
    <row r="551" spans="1:35" x14ac:dyDescent="0.25">
      <c r="A551" s="335">
        <v>86105</v>
      </c>
      <c r="B551" s="352">
        <f t="shared" si="271"/>
        <v>86.105000000000004</v>
      </c>
      <c r="C551" s="325">
        <f t="shared" si="246"/>
        <v>53.68336447436949</v>
      </c>
      <c r="D551" s="326">
        <f t="shared" si="247"/>
        <v>1.5521675047944772</v>
      </c>
      <c r="E551" s="326">
        <f t="shared" si="248"/>
        <v>1.0006372883654484</v>
      </c>
      <c r="F551" s="327">
        <f t="shared" si="249"/>
        <v>3.5691738605728995E-2</v>
      </c>
      <c r="G551" s="326">
        <f t="shared" si="250"/>
        <v>1</v>
      </c>
      <c r="H551" s="327">
        <f t="shared" si="251"/>
        <v>0</v>
      </c>
      <c r="I551" s="325">
        <f t="shared" si="252"/>
        <v>135047.79396115933</v>
      </c>
      <c r="J551" s="328">
        <f t="shared" si="253"/>
        <v>1.5707889220090006</v>
      </c>
      <c r="K551" s="336">
        <f t="shared" si="273"/>
        <v>10.828136312111127</v>
      </c>
      <c r="L551" s="337">
        <f t="shared" si="274"/>
        <v>1.4783125478232335</v>
      </c>
      <c r="M551" s="325">
        <f t="shared" si="254"/>
        <v>1.1192379123297147</v>
      </c>
      <c r="N551" s="337">
        <f t="shared" si="255"/>
        <v>0.46579432961673856</v>
      </c>
      <c r="O551" s="343">
        <f t="shared" si="256"/>
        <v>1.1181910418435457</v>
      </c>
      <c r="P551" s="691">
        <f t="shared" si="257"/>
        <v>0.46392843579605691</v>
      </c>
      <c r="Q551" s="336">
        <f t="shared" si="272"/>
        <v>5.4174080169939343</v>
      </c>
      <c r="R551" s="692">
        <f t="shared" si="258"/>
        <v>0.69963105557715743</v>
      </c>
      <c r="S551" s="329">
        <f t="shared" si="259"/>
        <v>0.95841536188950549</v>
      </c>
      <c r="T551" s="330">
        <f t="shared" si="260"/>
        <v>0.5445267527774551</v>
      </c>
      <c r="U551" s="331">
        <f t="shared" si="261"/>
        <v>-17.536302766690646</v>
      </c>
      <c r="V551" s="332">
        <f t="shared" si="262"/>
        <v>-163.57806657682548</v>
      </c>
      <c r="W551" s="334">
        <f t="shared" si="263"/>
        <v>16.421933423174522</v>
      </c>
      <c r="Y551" s="307">
        <f t="shared" si="264"/>
        <v>86105</v>
      </c>
      <c r="Z551" s="307">
        <f t="shared" si="265"/>
        <v>7414071025</v>
      </c>
      <c r="AB551" s="333">
        <f t="shared" si="266"/>
        <v>14.810100547039749</v>
      </c>
      <c r="AC551" s="334">
        <f t="shared" si="267"/>
        <v>-31.98655519023162</v>
      </c>
      <c r="AE551" s="333">
        <f t="shared" si="268"/>
        <v>-6.5996927386634532</v>
      </c>
      <c r="AF551" s="334">
        <f t="shared" si="269"/>
        <v>-118.08674603752861</v>
      </c>
      <c r="AH551">
        <f t="shared" si="270"/>
        <v>0</v>
      </c>
      <c r="AI551">
        <f t="shared" si="275"/>
        <v>0</v>
      </c>
    </row>
    <row r="552" spans="1:35" x14ac:dyDescent="0.25">
      <c r="A552" s="335">
        <v>86600.5</v>
      </c>
      <c r="B552" s="352">
        <f t="shared" si="271"/>
        <v>86.600499999999997</v>
      </c>
      <c r="C552" s="325">
        <f t="shared" si="246"/>
        <v>53.992183978999719</v>
      </c>
      <c r="D552" s="326">
        <f t="shared" si="247"/>
        <v>1.552274068430856</v>
      </c>
      <c r="E552" s="326">
        <f t="shared" si="248"/>
        <v>1.0006446417818582</v>
      </c>
      <c r="F552" s="327">
        <f t="shared" si="249"/>
        <v>3.5896954459340359E-2</v>
      </c>
      <c r="G552" s="326">
        <f t="shared" si="250"/>
        <v>1</v>
      </c>
      <c r="H552" s="327">
        <f t="shared" si="251"/>
        <v>0</v>
      </c>
      <c r="I552" s="325">
        <f t="shared" si="252"/>
        <v>135824.94025816995</v>
      </c>
      <c r="J552" s="328">
        <f t="shared" si="253"/>
        <v>1.5707889643767861</v>
      </c>
      <c r="K552" s="336">
        <f t="shared" si="273"/>
        <v>10.889917984854968</v>
      </c>
      <c r="L552" s="337">
        <f t="shared" si="274"/>
        <v>1.4788387234542744</v>
      </c>
      <c r="M552" s="325">
        <f t="shared" si="254"/>
        <v>1.1205401257940886</v>
      </c>
      <c r="N552" s="337">
        <f t="shared" si="255"/>
        <v>0.46810087968520114</v>
      </c>
      <c r="O552" s="343">
        <f t="shared" si="256"/>
        <v>1.1194823980850497</v>
      </c>
      <c r="P552" s="691">
        <f t="shared" si="257"/>
        <v>0.46622859150496537</v>
      </c>
      <c r="Q552" s="336">
        <f t="shared" si="272"/>
        <v>5.4302524548840809</v>
      </c>
      <c r="R552" s="692">
        <f t="shared" si="258"/>
        <v>0.70247560030794598</v>
      </c>
      <c r="S552" s="329">
        <f t="shared" si="259"/>
        <v>0.9581227056446977</v>
      </c>
      <c r="T552" s="330">
        <f t="shared" si="260"/>
        <v>0.54820187943621412</v>
      </c>
      <c r="U552" s="331">
        <f t="shared" si="261"/>
        <v>-17.604476584936897</v>
      </c>
      <c r="V552" s="332">
        <f t="shared" si="262"/>
        <v>-163.91618503032726</v>
      </c>
      <c r="W552" s="334">
        <f t="shared" si="263"/>
        <v>16.083814969672744</v>
      </c>
      <c r="Y552" s="307">
        <f t="shared" si="264"/>
        <v>86600.5</v>
      </c>
      <c r="Z552" s="307">
        <f t="shared" si="265"/>
        <v>7499646600.25</v>
      </c>
      <c r="AB552" s="333">
        <f t="shared" si="266"/>
        <v>14.799577867448001</v>
      </c>
      <c r="AC552" s="334">
        <f t="shared" si="267"/>
        <v>-32.088565559060719</v>
      </c>
      <c r="AE552" s="333">
        <f t="shared" si="268"/>
        <v>-6.6467996025946041</v>
      </c>
      <c r="AF552" s="334">
        <f t="shared" si="269"/>
        <v>-118.29166292879866</v>
      </c>
      <c r="AH552">
        <f t="shared" si="270"/>
        <v>0</v>
      </c>
      <c r="AI552">
        <f t="shared" si="275"/>
        <v>0</v>
      </c>
    </row>
    <row r="553" spans="1:35" x14ac:dyDescent="0.25">
      <c r="A553" s="335">
        <v>87096</v>
      </c>
      <c r="B553" s="352">
        <f t="shared" si="271"/>
        <v>87.096000000000004</v>
      </c>
      <c r="C553" s="325">
        <f t="shared" si="246"/>
        <v>54.301004089780953</v>
      </c>
      <c r="D553" s="326">
        <f t="shared" si="247"/>
        <v>1.5523794199731913</v>
      </c>
      <c r="E553" s="326">
        <f t="shared" si="248"/>
        <v>1.0006520373383423</v>
      </c>
      <c r="F553" s="327">
        <f t="shared" si="249"/>
        <v>3.6102167288200857E-2</v>
      </c>
      <c r="G553" s="326">
        <f t="shared" si="250"/>
        <v>1</v>
      </c>
      <c r="H553" s="327">
        <f t="shared" si="251"/>
        <v>0</v>
      </c>
      <c r="I553" s="325">
        <f t="shared" si="252"/>
        <v>136602.08655518075</v>
      </c>
      <c r="J553" s="328">
        <f t="shared" si="253"/>
        <v>1.5707890062625005</v>
      </c>
      <c r="K553" s="336">
        <f t="shared" si="273"/>
        <v>10.951702638572822</v>
      </c>
      <c r="L553" s="337">
        <f t="shared" si="274"/>
        <v>1.4793589623284611</v>
      </c>
      <c r="M553" s="325">
        <f t="shared" si="254"/>
        <v>1.1218482868677082</v>
      </c>
      <c r="N553" s="337">
        <f t="shared" si="255"/>
        <v>0.47040206274434521</v>
      </c>
      <c r="O553" s="343">
        <f t="shared" si="256"/>
        <v>1.1207796635234699</v>
      </c>
      <c r="P553" s="691">
        <f t="shared" si="257"/>
        <v>0.46852343462336793</v>
      </c>
      <c r="Q553" s="336">
        <f t="shared" si="272"/>
        <v>5.4431400278569306</v>
      </c>
      <c r="R553" s="692">
        <f t="shared" si="258"/>
        <v>0.70530679053945255</v>
      </c>
      <c r="S553" s="329">
        <f t="shared" si="259"/>
        <v>0.95783283531305696</v>
      </c>
      <c r="T553" s="330">
        <f t="shared" si="260"/>
        <v>0.55188573486308878</v>
      </c>
      <c r="U553" s="331">
        <f t="shared" si="261"/>
        <v>-17.672403587871731</v>
      </c>
      <c r="V553" s="332">
        <f t="shared" si="262"/>
        <v>-164.2543061799112</v>
      </c>
      <c r="W553" s="334">
        <f t="shared" si="263"/>
        <v>15.745693820088803</v>
      </c>
      <c r="Y553" s="307">
        <f t="shared" si="264"/>
        <v>87096</v>
      </c>
      <c r="Z553" s="307">
        <f t="shared" si="265"/>
        <v>7585713216</v>
      </c>
      <c r="AB553" s="333">
        <f t="shared" si="266"/>
        <v>14.789028022508784</v>
      </c>
      <c r="AC553" s="334">
        <f t="shared" si="267"/>
        <v>-32.190608544398394</v>
      </c>
      <c r="AE553" s="333">
        <f t="shared" si="268"/>
        <v>-6.6936464872429919</v>
      </c>
      <c r="AF553" s="334">
        <f t="shared" si="269"/>
        <v>-118.49701066707495</v>
      </c>
      <c r="AH553">
        <f t="shared" si="270"/>
        <v>0</v>
      </c>
      <c r="AI553">
        <f t="shared" si="275"/>
        <v>0</v>
      </c>
    </row>
    <row r="554" spans="1:35" x14ac:dyDescent="0.25">
      <c r="A554" s="335">
        <v>87603.25</v>
      </c>
      <c r="B554" s="352">
        <f t="shared" si="271"/>
        <v>87.603250000000003</v>
      </c>
      <c r="C554" s="325">
        <f t="shared" si="246"/>
        <v>54.617147998944112</v>
      </c>
      <c r="D554" s="326">
        <f t="shared" si="247"/>
        <v>1.5524860356753654</v>
      </c>
      <c r="E554" s="326">
        <f t="shared" si="248"/>
        <v>1.0006596519186444</v>
      </c>
      <c r="F554" s="327">
        <f t="shared" si="249"/>
        <v>3.6312243264056042E-2</v>
      </c>
      <c r="G554" s="326">
        <f t="shared" si="250"/>
        <v>1</v>
      </c>
      <c r="H554" s="327">
        <f t="shared" si="251"/>
        <v>0</v>
      </c>
      <c r="I554" s="325">
        <f t="shared" si="252"/>
        <v>137397.66164934594</v>
      </c>
      <c r="J554" s="328">
        <f t="shared" si="253"/>
        <v>1.5707890486506546</v>
      </c>
      <c r="K554" s="336">
        <f t="shared" si="273"/>
        <v>11.014955453256858</v>
      </c>
      <c r="L554" s="337">
        <f t="shared" si="274"/>
        <v>1.4798854922574758</v>
      </c>
      <c r="M554" s="325">
        <f t="shared" si="254"/>
        <v>1.1231936080571054</v>
      </c>
      <c r="N554" s="337">
        <f t="shared" si="255"/>
        <v>0.47275224948227512</v>
      </c>
      <c r="O554" s="343">
        <f t="shared" si="256"/>
        <v>1.1221137912145269</v>
      </c>
      <c r="P554" s="691">
        <f t="shared" si="257"/>
        <v>0.47086718731624061</v>
      </c>
      <c r="Q554" s="336">
        <f t="shared" si="272"/>
        <v>5.4563775717508483</v>
      </c>
      <c r="R554" s="692">
        <f t="shared" si="258"/>
        <v>0.70819133725386962</v>
      </c>
      <c r="S554" s="329">
        <f t="shared" si="259"/>
        <v>0.9575390612619995</v>
      </c>
      <c r="T554" s="330">
        <f t="shared" si="260"/>
        <v>0.55566601524317372</v>
      </c>
      <c r="U554" s="331">
        <f t="shared" si="261"/>
        <v>-17.741689243543711</v>
      </c>
      <c r="V554" s="332">
        <f t="shared" si="262"/>
        <v>-164.60044793654635</v>
      </c>
      <c r="W554" s="334">
        <f t="shared" si="263"/>
        <v>15.399552063453655</v>
      </c>
      <c r="Y554" s="307">
        <f t="shared" si="264"/>
        <v>87603.25</v>
      </c>
      <c r="Z554" s="307">
        <f t="shared" si="265"/>
        <v>7674329410.5625</v>
      </c>
      <c r="AB554" s="333">
        <f t="shared" si="266"/>
        <v>14.778200005435798</v>
      </c>
      <c r="AC554" s="334">
        <f t="shared" si="267"/>
        <v>-32.295098811611268</v>
      </c>
      <c r="AE554" s="333">
        <f t="shared" si="268"/>
        <v>-6.7413391213206433</v>
      </c>
      <c r="AF554" s="334">
        <f t="shared" si="269"/>
        <v>-118.70767694144143</v>
      </c>
      <c r="AH554">
        <f t="shared" si="270"/>
        <v>0</v>
      </c>
      <c r="AI554">
        <f t="shared" si="275"/>
        <v>0</v>
      </c>
    </row>
    <row r="555" spans="1:35" x14ac:dyDescent="0.25">
      <c r="A555" s="335">
        <v>88110.5</v>
      </c>
      <c r="B555" s="352">
        <f t="shared" si="271"/>
        <v>88.110500000000002</v>
      </c>
      <c r="C555" s="325">
        <f t="shared" si="246"/>
        <v>54.933292521789561</v>
      </c>
      <c r="D555" s="326">
        <f t="shared" si="247"/>
        <v>1.5525914242187018</v>
      </c>
      <c r="E555" s="326">
        <f t="shared" si="248"/>
        <v>1.0006673106593005</v>
      </c>
      <c r="F555" s="327">
        <f t="shared" si="249"/>
        <v>3.6522316033493048E-2</v>
      </c>
      <c r="G555" s="326">
        <f t="shared" si="250"/>
        <v>1</v>
      </c>
      <c r="H555" s="327">
        <f t="shared" si="251"/>
        <v>0</v>
      </c>
      <c r="I555" s="325">
        <f t="shared" si="252"/>
        <v>138193.2367435114</v>
      </c>
      <c r="J555" s="328">
        <f t="shared" si="253"/>
        <v>1.5707890905507536</v>
      </c>
      <c r="K555" s="336">
        <f t="shared" si="273"/>
        <v>11.078211286786614</v>
      </c>
      <c r="L555" s="337">
        <f t="shared" si="274"/>
        <v>1.480406009429206</v>
      </c>
      <c r="M555" s="325">
        <f t="shared" si="254"/>
        <v>1.1245451182054997</v>
      </c>
      <c r="N555" s="337">
        <f t="shared" si="255"/>
        <v>0.47509680010230365</v>
      </c>
      <c r="O555" s="343">
        <f t="shared" si="256"/>
        <v>1.1234540682154635</v>
      </c>
      <c r="P555" s="691">
        <f t="shared" si="257"/>
        <v>0.47320536064916202</v>
      </c>
      <c r="Q555" s="336">
        <f t="shared" si="272"/>
        <v>5.4696596746580894</v>
      </c>
      <c r="R555" s="692">
        <f t="shared" si="258"/>
        <v>0.71106199573790452</v>
      </c>
      <c r="S555" s="329">
        <f t="shared" si="259"/>
        <v>0.95724837863227441</v>
      </c>
      <c r="T555" s="330">
        <f t="shared" si="260"/>
        <v>0.55945549619754853</v>
      </c>
      <c r="U555" s="331">
        <f t="shared" si="261"/>
        <v>-17.810723372601167</v>
      </c>
      <c r="V555" s="332">
        <f t="shared" si="262"/>
        <v>-164.94659220862488</v>
      </c>
      <c r="W555" s="334">
        <f t="shared" si="263"/>
        <v>15.053407791375122</v>
      </c>
      <c r="Y555" s="307">
        <f t="shared" si="264"/>
        <v>88110.5</v>
      </c>
      <c r="Z555" s="307">
        <f t="shared" si="265"/>
        <v>7763460210.25</v>
      </c>
      <c r="AB555" s="333">
        <f t="shared" si="266"/>
        <v>14.767343807884924</v>
      </c>
      <c r="AC555" s="334">
        <f t="shared" si="267"/>
        <v>-32.399610630707713</v>
      </c>
      <c r="AE555" s="333">
        <f t="shared" si="268"/>
        <v>-6.7887676761227649</v>
      </c>
      <c r="AF555" s="334">
        <f t="shared" si="269"/>
        <v>-118.91880024257641</v>
      </c>
      <c r="AH555">
        <f t="shared" si="270"/>
        <v>0</v>
      </c>
      <c r="AI555">
        <f t="shared" si="275"/>
        <v>0</v>
      </c>
    </row>
    <row r="556" spans="1:35" x14ac:dyDescent="0.25">
      <c r="A556" s="335">
        <v>88617.75</v>
      </c>
      <c r="B556" s="352">
        <f t="shared" si="271"/>
        <v>88.617750000000001</v>
      </c>
      <c r="C556" s="325">
        <f t="shared" si="246"/>
        <v>55.249437647782607</v>
      </c>
      <c r="D556" s="326">
        <f t="shared" si="247"/>
        <v>1.5526956066667705</v>
      </c>
      <c r="E556" s="326">
        <f t="shared" si="248"/>
        <v>1.0006750135592968</v>
      </c>
      <c r="F556" s="327">
        <f t="shared" si="249"/>
        <v>3.6732385578044452E-2</v>
      </c>
      <c r="G556" s="326">
        <f t="shared" si="250"/>
        <v>1</v>
      </c>
      <c r="H556" s="327">
        <f t="shared" si="251"/>
        <v>0</v>
      </c>
      <c r="I556" s="325">
        <f t="shared" si="252"/>
        <v>138988.81183767709</v>
      </c>
      <c r="J556" s="328">
        <f t="shared" si="253"/>
        <v>1.5707891319711782</v>
      </c>
      <c r="K556" s="336">
        <f t="shared" si="273"/>
        <v>11.141470087743487</v>
      </c>
      <c r="L556" s="337">
        <f t="shared" si="274"/>
        <v>1.4809206159764805</v>
      </c>
      <c r="M556" s="325">
        <f t="shared" si="254"/>
        <v>1.1259027950256002</v>
      </c>
      <c r="N556" s="337">
        <f t="shared" si="255"/>
        <v>0.47743570917173694</v>
      </c>
      <c r="O556" s="343">
        <f t="shared" si="256"/>
        <v>1.1248004725443044</v>
      </c>
      <c r="P556" s="691">
        <f t="shared" si="257"/>
        <v>0.47553794904662205</v>
      </c>
      <c r="Q556" s="336">
        <f t="shared" si="272"/>
        <v>5.4829860128202812</v>
      </c>
      <c r="R556" s="692">
        <f t="shared" si="258"/>
        <v>0.71391882075743662</v>
      </c>
      <c r="S556" s="329">
        <f t="shared" si="259"/>
        <v>0.95696087518145223</v>
      </c>
      <c r="T556" s="330">
        <f t="shared" si="260"/>
        <v>0.56325420330607301</v>
      </c>
      <c r="U556" s="331">
        <f t="shared" si="261"/>
        <v>-17.879509512204187</v>
      </c>
      <c r="V556" s="332">
        <f t="shared" si="262"/>
        <v>-165.29273896441305</v>
      </c>
      <c r="W556" s="334">
        <f t="shared" si="263"/>
        <v>14.707261035586953</v>
      </c>
      <c r="Y556" s="307">
        <f t="shared" si="264"/>
        <v>88617.75</v>
      </c>
      <c r="Z556" s="307">
        <f t="shared" si="265"/>
        <v>7853105615.0625</v>
      </c>
      <c r="AB556" s="333">
        <f t="shared" si="266"/>
        <v>14.756459581745494</v>
      </c>
      <c r="AC556" s="334">
        <f t="shared" si="267"/>
        <v>-32.50413783911744</v>
      </c>
      <c r="AE556" s="333">
        <f t="shared" si="268"/>
        <v>-6.835936310106197</v>
      </c>
      <c r="AF556" s="334">
        <f t="shared" si="269"/>
        <v>-119.13038324400962</v>
      </c>
      <c r="AH556">
        <f t="shared" si="270"/>
        <v>0</v>
      </c>
      <c r="AI556">
        <f t="shared" si="275"/>
        <v>0</v>
      </c>
    </row>
    <row r="557" spans="1:35" x14ac:dyDescent="0.25">
      <c r="A557" s="335">
        <v>89125</v>
      </c>
      <c r="B557" s="352">
        <f t="shared" si="271"/>
        <v>89.125</v>
      </c>
      <c r="C557" s="325">
        <f t="shared" si="246"/>
        <v>55.565583366628246</v>
      </c>
      <c r="D557" s="326">
        <f t="shared" si="247"/>
        <v>1.5527986036038743</v>
      </c>
      <c r="E557" s="326">
        <f t="shared" si="248"/>
        <v>1.0006827606176132</v>
      </c>
      <c r="F557" s="327">
        <f t="shared" si="249"/>
        <v>3.6942451879244539E-2</v>
      </c>
      <c r="G557" s="326">
        <f t="shared" si="250"/>
        <v>1</v>
      </c>
      <c r="H557" s="327">
        <f t="shared" si="251"/>
        <v>0</v>
      </c>
      <c r="I557" s="325">
        <f t="shared" si="252"/>
        <v>139784.38693184304</v>
      </c>
      <c r="J557" s="328">
        <f t="shared" si="253"/>
        <v>1.5707891729201189</v>
      </c>
      <c r="K557" s="336">
        <f t="shared" si="273"/>
        <v>11.20473180586767</v>
      </c>
      <c r="L557" s="337">
        <f t="shared" si="274"/>
        <v>1.4814294117382529</v>
      </c>
      <c r="M557" s="325">
        <f t="shared" si="254"/>
        <v>1.1272666162360403</v>
      </c>
      <c r="N557" s="337">
        <f t="shared" si="255"/>
        <v>0.47976897153088943</v>
      </c>
      <c r="O557" s="343">
        <f t="shared" si="256"/>
        <v>1.1261529822239453</v>
      </c>
      <c r="P557" s="691">
        <f t="shared" si="257"/>
        <v>0.47786494720281097</v>
      </c>
      <c r="Q557" s="336">
        <f t="shared" si="272"/>
        <v>5.4963562645460637</v>
      </c>
      <c r="R557" s="692">
        <f t="shared" si="258"/>
        <v>0.71676186743870196</v>
      </c>
      <c r="S557" s="329">
        <f t="shared" si="259"/>
        <v>0.95667663923203505</v>
      </c>
      <c r="T557" s="330">
        <f t="shared" si="260"/>
        <v>0.5670621613302439</v>
      </c>
      <c r="U557" s="331">
        <f t="shared" si="261"/>
        <v>-17.948051153470878</v>
      </c>
      <c r="V557" s="332">
        <f t="shared" si="262"/>
        <v>-165.63888825008345</v>
      </c>
      <c r="W557" s="334">
        <f t="shared" si="263"/>
        <v>14.361111749916546</v>
      </c>
      <c r="Y557" s="307">
        <f t="shared" si="264"/>
        <v>89125</v>
      </c>
      <c r="Z557" s="307">
        <f t="shared" si="265"/>
        <v>7943265625</v>
      </c>
      <c r="AB557" s="333">
        <f t="shared" si="266"/>
        <v>14.745547482666977</v>
      </c>
      <c r="AC557" s="334">
        <f t="shared" si="267"/>
        <v>-32.608674421330825</v>
      </c>
      <c r="AE557" s="333">
        <f t="shared" si="268"/>
        <v>-6.8828491305001211</v>
      </c>
      <c r="AF557" s="334">
        <f t="shared" si="269"/>
        <v>-119.34242854492203</v>
      </c>
      <c r="AH557">
        <f t="shared" si="270"/>
        <v>0</v>
      </c>
      <c r="AI557">
        <f t="shared" si="275"/>
        <v>0</v>
      </c>
    </row>
    <row r="558" spans="1:35" x14ac:dyDescent="0.25">
      <c r="A558" s="335">
        <v>89644</v>
      </c>
      <c r="B558" s="352">
        <f t="shared" si="271"/>
        <v>89.644000000000005</v>
      </c>
      <c r="C558" s="325">
        <f t="shared" si="246"/>
        <v>55.88905292604138</v>
      </c>
      <c r="D558" s="326">
        <f t="shared" si="247"/>
        <v>1.5529027803344784</v>
      </c>
      <c r="E558" s="326">
        <f t="shared" si="248"/>
        <v>1.0006907328331514</v>
      </c>
      <c r="F558" s="327">
        <f t="shared" si="249"/>
        <v>3.715738080533381E-2</v>
      </c>
      <c r="G558" s="326">
        <f t="shared" si="250"/>
        <v>1</v>
      </c>
      <c r="H558" s="327">
        <f t="shared" si="251"/>
        <v>0</v>
      </c>
      <c r="I558" s="325">
        <f t="shared" si="252"/>
        <v>140598.39082316335</v>
      </c>
      <c r="J558" s="328">
        <f t="shared" si="253"/>
        <v>1.5707892143379605</v>
      </c>
      <c r="K558" s="336">
        <f t="shared" si="273"/>
        <v>11.26946189410868</v>
      </c>
      <c r="L558" s="337">
        <f t="shared" si="274"/>
        <v>1.4819440808527353</v>
      </c>
      <c r="M558" s="325">
        <f t="shared" si="254"/>
        <v>1.1286683654657612</v>
      </c>
      <c r="N558" s="337">
        <f t="shared" si="255"/>
        <v>0.48215043233557703</v>
      </c>
      <c r="O558" s="343">
        <f t="shared" si="256"/>
        <v>1.1275431178109447</v>
      </c>
      <c r="P558" s="691">
        <f t="shared" si="257"/>
        <v>0.4802400569902126</v>
      </c>
      <c r="Q558" s="336">
        <f t="shared" si="272"/>
        <v>5.5100813442074497</v>
      </c>
      <c r="R558" s="692">
        <f t="shared" si="258"/>
        <v>0.71965656787379728</v>
      </c>
      <c r="S558" s="329">
        <f t="shared" si="259"/>
        <v>0.95638929382944726</v>
      </c>
      <c r="T558" s="330">
        <f t="shared" si="260"/>
        <v>0.57096792713722899</v>
      </c>
      <c r="U558" s="331">
        <f t="shared" si="261"/>
        <v>-18.017931036622041</v>
      </c>
      <c r="V558" s="332">
        <f t="shared" si="262"/>
        <v>-165.99305852295547</v>
      </c>
      <c r="W558" s="334">
        <f t="shared" si="263"/>
        <v>14.006941477044535</v>
      </c>
      <c r="Y558" s="307">
        <f t="shared" si="264"/>
        <v>89644</v>
      </c>
      <c r="Z558" s="307">
        <f t="shared" si="265"/>
        <v>8036046736</v>
      </c>
      <c r="AB558" s="333">
        <f t="shared" si="266"/>
        <v>14.734353931625165</v>
      </c>
      <c r="AC558" s="334">
        <f t="shared" si="267"/>
        <v>-32.715636079599442</v>
      </c>
      <c r="AE558" s="333">
        <f t="shared" si="268"/>
        <v>-6.9305881057889094</v>
      </c>
      <c r="AF558" s="334">
        <f t="shared" si="269"/>
        <v>-119.55986680830412</v>
      </c>
      <c r="AH558">
        <f t="shared" si="270"/>
        <v>0</v>
      </c>
      <c r="AI558">
        <f t="shared" si="275"/>
        <v>0</v>
      </c>
    </row>
    <row r="559" spans="1:35" x14ac:dyDescent="0.25">
      <c r="A559" s="335">
        <v>90163</v>
      </c>
      <c r="B559" s="352">
        <f t="shared" si="271"/>
        <v>90.162999999999997</v>
      </c>
      <c r="C559" s="325">
        <f t="shared" si="246"/>
        <v>56.212523085026042</v>
      </c>
      <c r="D559" s="326">
        <f t="shared" si="247"/>
        <v>1.5530057581140071</v>
      </c>
      <c r="E559" s="326">
        <f t="shared" si="248"/>
        <v>1.0006987512743026</v>
      </c>
      <c r="F559" s="327">
        <f t="shared" si="249"/>
        <v>3.7372306296968187E-2</v>
      </c>
      <c r="G559" s="326">
        <f t="shared" si="250"/>
        <v>1</v>
      </c>
      <c r="H559" s="327">
        <f t="shared" si="251"/>
        <v>0</v>
      </c>
      <c r="I559" s="325">
        <f t="shared" si="252"/>
        <v>141412.39471448393</v>
      </c>
      <c r="J559" s="328">
        <f t="shared" si="253"/>
        <v>1.5707892552789802</v>
      </c>
      <c r="K559" s="336">
        <f t="shared" si="273"/>
        <v>11.33419493335661</v>
      </c>
      <c r="L559" s="337">
        <f t="shared" si="274"/>
        <v>1.4824528712365836</v>
      </c>
      <c r="M559" s="325">
        <f t="shared" si="254"/>
        <v>1.1300764998741257</v>
      </c>
      <c r="N559" s="337">
        <f t="shared" si="255"/>
        <v>0.48452597173551576</v>
      </c>
      <c r="O559" s="343">
        <f t="shared" si="256"/>
        <v>1.128939598348442</v>
      </c>
      <c r="P559" s="691">
        <f t="shared" si="257"/>
        <v>0.48260930416845421</v>
      </c>
      <c r="Q559" s="336">
        <f t="shared" si="272"/>
        <v>5.5238517207265723</v>
      </c>
      <c r="R559" s="692">
        <f t="shared" si="258"/>
        <v>0.72253696209371454</v>
      </c>
      <c r="S559" s="329">
        <f t="shared" si="259"/>
        <v>0.95610555792599894</v>
      </c>
      <c r="T559" s="330">
        <f t="shared" si="260"/>
        <v>0.57488342716513607</v>
      </c>
      <c r="U559" s="331">
        <f t="shared" si="261"/>
        <v>-18.087562215349511</v>
      </c>
      <c r="V559" s="332">
        <f t="shared" si="262"/>
        <v>-166.34723177219126</v>
      </c>
      <c r="W559" s="334">
        <f t="shared" si="263"/>
        <v>13.652768227808735</v>
      </c>
      <c r="Y559" s="307">
        <f t="shared" si="264"/>
        <v>90163</v>
      </c>
      <c r="Z559" s="307">
        <f t="shared" si="265"/>
        <v>8129366569</v>
      </c>
      <c r="AB559" s="333">
        <f t="shared" si="266"/>
        <v>14.723131542368575</v>
      </c>
      <c r="AC559" s="334">
        <f t="shared" si="267"/>
        <v>-32.822595265501462</v>
      </c>
      <c r="AE559" s="333">
        <f t="shared" si="268"/>
        <v>-6.9780678190049787</v>
      </c>
      <c r="AF559" s="334">
        <f t="shared" si="269"/>
        <v>-119.77779430340578</v>
      </c>
      <c r="AH559">
        <f t="shared" si="270"/>
        <v>0</v>
      </c>
      <c r="AI559">
        <f t="shared" si="275"/>
        <v>0</v>
      </c>
    </row>
    <row r="560" spans="1:35" x14ac:dyDescent="0.25">
      <c r="A560" s="335">
        <v>90682</v>
      </c>
      <c r="B560" s="352">
        <f t="shared" si="271"/>
        <v>90.682000000000002</v>
      </c>
      <c r="C560" s="325">
        <f t="shared" si="246"/>
        <v>56.535993833290895</v>
      </c>
      <c r="D560" s="326">
        <f t="shared" si="247"/>
        <v>1.5531075575196569</v>
      </c>
      <c r="E560" s="326">
        <f t="shared" si="248"/>
        <v>1.0007068159399566</v>
      </c>
      <c r="F560" s="327">
        <f t="shared" si="249"/>
        <v>3.7587228334374376E-2</v>
      </c>
      <c r="G560" s="326">
        <f t="shared" si="250"/>
        <v>1</v>
      </c>
      <c r="H560" s="327">
        <f t="shared" si="251"/>
        <v>0</v>
      </c>
      <c r="I560" s="325">
        <f t="shared" si="252"/>
        <v>142226.39860580474</v>
      </c>
      <c r="J560" s="328">
        <f t="shared" si="253"/>
        <v>1.5707892957513645</v>
      </c>
      <c r="K560" s="336">
        <f t="shared" si="273"/>
        <v>11.398930873336315</v>
      </c>
      <c r="L560" s="337">
        <f t="shared" si="274"/>
        <v>1.4829558827822273</v>
      </c>
      <c r="M560" s="325">
        <f t="shared" si="254"/>
        <v>1.1314909956221735</v>
      </c>
      <c r="N560" s="337">
        <f t="shared" si="255"/>
        <v>0.48689558507705916</v>
      </c>
      <c r="O560" s="343">
        <f t="shared" si="256"/>
        <v>1.1303424003198466</v>
      </c>
      <c r="P560" s="691">
        <f t="shared" si="257"/>
        <v>0.48497268391701531</v>
      </c>
      <c r="Q560" s="336">
        <f t="shared" si="272"/>
        <v>5.5376670562569732</v>
      </c>
      <c r="R560" s="692">
        <f t="shared" si="258"/>
        <v>0.72540311021196158</v>
      </c>
      <c r="S560" s="329">
        <f t="shared" si="259"/>
        <v>0.9558255279470641</v>
      </c>
      <c r="T560" s="330">
        <f t="shared" si="260"/>
        <v>0.57880868518730655</v>
      </c>
      <c r="U560" s="331">
        <f t="shared" si="261"/>
        <v>-18.156948288030915</v>
      </c>
      <c r="V560" s="332">
        <f t="shared" si="262"/>
        <v>-166.70140827088818</v>
      </c>
      <c r="W560" s="334">
        <f t="shared" si="263"/>
        <v>13.29859172911182</v>
      </c>
      <c r="Y560" s="307">
        <f t="shared" si="264"/>
        <v>90682</v>
      </c>
      <c r="Z560" s="307">
        <f t="shared" si="265"/>
        <v>8223225124</v>
      </c>
      <c r="AB560" s="333">
        <f t="shared" si="266"/>
        <v>14.711880492740427</v>
      </c>
      <c r="AC560" s="334">
        <f t="shared" si="267"/>
        <v>-32.929545989457068</v>
      </c>
      <c r="AE560" s="333">
        <f t="shared" si="268"/>
        <v>-7.0252925110110436</v>
      </c>
      <c r="AF560" s="334">
        <f t="shared" si="269"/>
        <v>-119.99621357245853</v>
      </c>
      <c r="AH560">
        <f t="shared" si="270"/>
        <v>0</v>
      </c>
      <c r="AI560">
        <f t="shared" si="275"/>
        <v>0</v>
      </c>
    </row>
    <row r="561" spans="1:35" x14ac:dyDescent="0.25">
      <c r="A561" s="335">
        <v>91201</v>
      </c>
      <c r="B561" s="352">
        <f t="shared" si="271"/>
        <v>91.200999999999993</v>
      </c>
      <c r="C561" s="325">
        <f t="shared" si="246"/>
        <v>56.859465160778797</v>
      </c>
      <c r="D561" s="326">
        <f t="shared" si="247"/>
        <v>1.553208198660472</v>
      </c>
      <c r="E561" s="326">
        <f t="shared" si="248"/>
        <v>1.000714926828995</v>
      </c>
      <c r="F561" s="327">
        <f t="shared" si="249"/>
        <v>3.7802146897780997E-2</v>
      </c>
      <c r="G561" s="326">
        <f t="shared" si="250"/>
        <v>1</v>
      </c>
      <c r="H561" s="327">
        <f t="shared" si="251"/>
        <v>0</v>
      </c>
      <c r="I561" s="325">
        <f t="shared" si="252"/>
        <v>143040.40249712576</v>
      </c>
      <c r="J561" s="328">
        <f t="shared" si="253"/>
        <v>1.5707893357631144</v>
      </c>
      <c r="K561" s="336">
        <f t="shared" si="273"/>
        <v>11.463669664906043</v>
      </c>
      <c r="L561" s="337">
        <f t="shared" si="274"/>
        <v>1.4834532131374545</v>
      </c>
      <c r="M561" s="325">
        <f t="shared" si="254"/>
        <v>1.1329118288825748</v>
      </c>
      <c r="N561" s="337">
        <f t="shared" si="255"/>
        <v>0.48925926799594932</v>
      </c>
      <c r="O561" s="343">
        <f t="shared" si="256"/>
        <v>1.1317515002189737</v>
      </c>
      <c r="P561" s="691">
        <f t="shared" si="257"/>
        <v>0.48733019170140263</v>
      </c>
      <c r="Q561" s="336">
        <f t="shared" si="272"/>
        <v>5.551527015217804</v>
      </c>
      <c r="R561" s="692">
        <f t="shared" si="258"/>
        <v>0.72825507266755174</v>
      </c>
      <c r="S561" s="329">
        <f t="shared" si="259"/>
        <v>0.95554930092691748</v>
      </c>
      <c r="T561" s="330">
        <f t="shared" si="260"/>
        <v>0.58274372401988428</v>
      </c>
      <c r="U561" s="331">
        <f t="shared" si="261"/>
        <v>-18.226092808265197</v>
      </c>
      <c r="V561" s="332">
        <f t="shared" si="262"/>
        <v>-167.05558835791774</v>
      </c>
      <c r="W561" s="334">
        <f t="shared" si="263"/>
        <v>12.944411642082258</v>
      </c>
      <c r="Y561" s="307">
        <f t="shared" si="264"/>
        <v>91201</v>
      </c>
      <c r="Z561" s="307">
        <f t="shared" si="265"/>
        <v>8317622401</v>
      </c>
      <c r="AB561" s="333">
        <f t="shared" si="266"/>
        <v>14.700600963985714</v>
      </c>
      <c r="AC561" s="334">
        <f t="shared" si="267"/>
        <v>-33.03648240706498</v>
      </c>
      <c r="AE561" s="333">
        <f t="shared" si="268"/>
        <v>-7.0722663718391212</v>
      </c>
      <c r="AF561" s="334">
        <f t="shared" si="269"/>
        <v>-120.21512707602734</v>
      </c>
      <c r="AH561">
        <f t="shared" si="270"/>
        <v>0</v>
      </c>
      <c r="AI561">
        <f t="shared" si="275"/>
        <v>0</v>
      </c>
    </row>
    <row r="562" spans="1:35" x14ac:dyDescent="0.25">
      <c r="A562" s="335">
        <v>91732</v>
      </c>
      <c r="B562" s="352">
        <f t="shared" si="271"/>
        <v>91.731999999999999</v>
      </c>
      <c r="C562" s="325">
        <f t="shared" si="246"/>
        <v>57.19041618332087</v>
      </c>
      <c r="D562" s="326">
        <f t="shared" si="247"/>
        <v>1.5533099885137265</v>
      </c>
      <c r="E562" s="326">
        <f t="shared" si="248"/>
        <v>1.0007232730907314</v>
      </c>
      <c r="F562" s="327">
        <f t="shared" si="249"/>
        <v>3.8022031060494725E-2</v>
      </c>
      <c r="G562" s="326">
        <f t="shared" si="250"/>
        <v>1</v>
      </c>
      <c r="H562" s="327">
        <f t="shared" si="251"/>
        <v>0</v>
      </c>
      <c r="I562" s="325">
        <f t="shared" si="252"/>
        <v>143873.22728766833</v>
      </c>
      <c r="J562" s="328">
        <f t="shared" si="253"/>
        <v>1.570789376231412</v>
      </c>
      <c r="K562" s="336">
        <f t="shared" si="273"/>
        <v>11.529908208303508</v>
      </c>
      <c r="L562" s="337">
        <f t="shared" si="274"/>
        <v>1.4839562622667013</v>
      </c>
      <c r="M562" s="325">
        <f t="shared" si="254"/>
        <v>1.1343720479469281</v>
      </c>
      <c r="N562" s="337">
        <f t="shared" si="255"/>
        <v>0.49167146060508848</v>
      </c>
      <c r="O562" s="343">
        <f t="shared" si="256"/>
        <v>1.1331996739960017</v>
      </c>
      <c r="P562" s="691">
        <f t="shared" si="257"/>
        <v>0.48973612671893052</v>
      </c>
      <c r="Q562" s="336">
        <f t="shared" si="272"/>
        <v>5.5657532710385782</v>
      </c>
      <c r="R562" s="692">
        <f t="shared" si="258"/>
        <v>0.73115835836603726</v>
      </c>
      <c r="S562" s="329">
        <f t="shared" si="259"/>
        <v>0.95527072485988662</v>
      </c>
      <c r="T562" s="330">
        <f t="shared" si="260"/>
        <v>0.58677989182817136</v>
      </c>
      <c r="U562" s="331">
        <f t="shared" si="261"/>
        <v>-18.296589711729624</v>
      </c>
      <c r="V562" s="332">
        <f t="shared" si="262"/>
        <v>-167.41796171113893</v>
      </c>
      <c r="W562" s="334">
        <f t="shared" si="263"/>
        <v>12.582038288861071</v>
      </c>
      <c r="Y562" s="307">
        <f t="shared" si="264"/>
        <v>91732</v>
      </c>
      <c r="Z562" s="307">
        <f t="shared" si="265"/>
        <v>8414759824</v>
      </c>
      <c r="AB562" s="333">
        <f t="shared" si="266"/>
        <v>14.689031354842969</v>
      </c>
      <c r="AC562" s="334">
        <f t="shared" si="267"/>
        <v>-33.145870589735367</v>
      </c>
      <c r="AE562" s="333">
        <f t="shared" si="268"/>
        <v>-7.1200710538036871</v>
      </c>
      <c r="AF562" s="334">
        <f t="shared" si="269"/>
        <v>-120.43961615158874</v>
      </c>
      <c r="AH562">
        <f t="shared" si="270"/>
        <v>0</v>
      </c>
      <c r="AI562">
        <f t="shared" si="275"/>
        <v>0</v>
      </c>
    </row>
    <row r="563" spans="1:35" x14ac:dyDescent="0.25">
      <c r="A563" s="335">
        <v>92263</v>
      </c>
      <c r="B563" s="352">
        <f t="shared" si="271"/>
        <v>92.263000000000005</v>
      </c>
      <c r="C563" s="325">
        <f t="shared" si="246"/>
        <v>57.52136779160417</v>
      </c>
      <c r="D563" s="326">
        <f t="shared" si="247"/>
        <v>1.5534106070636118</v>
      </c>
      <c r="E563" s="326">
        <f t="shared" si="248"/>
        <v>1.0007316677356739</v>
      </c>
      <c r="F563" s="327">
        <f t="shared" si="249"/>
        <v>3.8241911544839503E-2</v>
      </c>
      <c r="G563" s="326">
        <f t="shared" si="250"/>
        <v>1</v>
      </c>
      <c r="H563" s="327">
        <f t="shared" si="251"/>
        <v>0</v>
      </c>
      <c r="I563" s="325">
        <f t="shared" si="252"/>
        <v>144706.05207821113</v>
      </c>
      <c r="J563" s="328">
        <f t="shared" si="253"/>
        <v>1.5707894162338962</v>
      </c>
      <c r="K563" s="336">
        <f t="shared" si="273"/>
        <v>11.596149636108038</v>
      </c>
      <c r="L563" s="337">
        <f t="shared" si="274"/>
        <v>1.4844535643211196</v>
      </c>
      <c r="M563" s="325">
        <f t="shared" si="254"/>
        <v>1.1358388505579957</v>
      </c>
      <c r="N563" s="337">
        <f t="shared" si="255"/>
        <v>0.49407743705628376</v>
      </c>
      <c r="O563" s="343">
        <f t="shared" si="256"/>
        <v>1.1346543905595587</v>
      </c>
      <c r="P563" s="691">
        <f t="shared" si="257"/>
        <v>0.49213590640052102</v>
      </c>
      <c r="Q563" s="336">
        <f t="shared" si="272"/>
        <v>5.5800255342341867</v>
      </c>
      <c r="R563" s="692">
        <f t="shared" si="258"/>
        <v>0.73404692380064251</v>
      </c>
      <c r="S563" s="329">
        <f t="shared" si="259"/>
        <v>0.95499633707806475</v>
      </c>
      <c r="T563" s="330">
        <f t="shared" si="260"/>
        <v>0.59082634315199034</v>
      </c>
      <c r="U563" s="331">
        <f t="shared" si="261"/>
        <v>-18.366841151303916</v>
      </c>
      <c r="V563" s="332">
        <f t="shared" si="262"/>
        <v>-167.78033972901923</v>
      </c>
      <c r="W563" s="334">
        <f t="shared" si="263"/>
        <v>12.219660270980768</v>
      </c>
      <c r="Y563" s="307">
        <f t="shared" si="264"/>
        <v>92263</v>
      </c>
      <c r="Z563" s="307">
        <f t="shared" si="265"/>
        <v>8512461169</v>
      </c>
      <c r="AB563" s="333">
        <f t="shared" si="266"/>
        <v>14.677432328425763</v>
      </c>
      <c r="AC563" s="334">
        <f t="shared" si="267"/>
        <v>-33.255231869233867</v>
      </c>
      <c r="AE563" s="333">
        <f t="shared" si="268"/>
        <v>-7.1676218872118884</v>
      </c>
      <c r="AF563" s="334">
        <f t="shared" si="269"/>
        <v>-120.66462752920472</v>
      </c>
      <c r="AH563">
        <f t="shared" si="270"/>
        <v>0</v>
      </c>
      <c r="AI563">
        <f t="shared" si="275"/>
        <v>0</v>
      </c>
    </row>
    <row r="564" spans="1:35" x14ac:dyDescent="0.25">
      <c r="A564" s="335">
        <v>92794</v>
      </c>
      <c r="B564" s="352">
        <f t="shared" si="271"/>
        <v>92.793999999999997</v>
      </c>
      <c r="C564" s="325">
        <f t="shared" si="246"/>
        <v>57.8523199755763</v>
      </c>
      <c r="D564" s="326">
        <f t="shared" si="247"/>
        <v>1.5535100744098809</v>
      </c>
      <c r="E564" s="326">
        <f t="shared" si="248"/>
        <v>1.0007401107626048</v>
      </c>
      <c r="F564" s="327">
        <f t="shared" si="249"/>
        <v>3.8461788329646834E-2</v>
      </c>
      <c r="G564" s="326">
        <f t="shared" si="250"/>
        <v>1</v>
      </c>
      <c r="H564" s="327">
        <f t="shared" si="251"/>
        <v>0</v>
      </c>
      <c r="I564" s="325">
        <f t="shared" si="252"/>
        <v>145538.87686875413</v>
      </c>
      <c r="J564" s="328">
        <f t="shared" si="253"/>
        <v>1.570789455778564</v>
      </c>
      <c r="K564" s="336">
        <f t="shared" si="273"/>
        <v>11.662393899170048</v>
      </c>
      <c r="L564" s="337">
        <f t="shared" si="274"/>
        <v>1.4849452169855277</v>
      </c>
      <c r="M564" s="325">
        <f t="shared" si="254"/>
        <v>1.1373122112431859</v>
      </c>
      <c r="N564" s="337">
        <f t="shared" si="255"/>
        <v>0.49647719359954146</v>
      </c>
      <c r="O564" s="343">
        <f t="shared" si="256"/>
        <v>1.1361156247769038</v>
      </c>
      <c r="P564" s="691">
        <f t="shared" si="257"/>
        <v>0.49452952680336787</v>
      </c>
      <c r="Q564" s="336">
        <f t="shared" si="272"/>
        <v>5.59434345275828</v>
      </c>
      <c r="R564" s="692">
        <f t="shared" si="258"/>
        <v>0.73692083464990799</v>
      </c>
      <c r="S564" s="329">
        <f t="shared" si="259"/>
        <v>0.95472624346242796</v>
      </c>
      <c r="T564" s="330">
        <f t="shared" si="260"/>
        <v>0.59488309921439009</v>
      </c>
      <c r="U564" s="331">
        <f t="shared" si="261"/>
        <v>-18.436850795713035</v>
      </c>
      <c r="V564" s="332">
        <f t="shared" si="262"/>
        <v>-168.14272295807461</v>
      </c>
      <c r="W564" s="334">
        <f t="shared" si="263"/>
        <v>11.857277041925386</v>
      </c>
      <c r="Y564" s="307">
        <f t="shared" si="264"/>
        <v>92794</v>
      </c>
      <c r="Z564" s="307">
        <f t="shared" si="265"/>
        <v>8610726436</v>
      </c>
      <c r="AB564" s="333">
        <f t="shared" si="266"/>
        <v>14.665804088841059</v>
      </c>
      <c r="AC564" s="334">
        <f t="shared" si="267"/>
        <v>-33.364560434231983</v>
      </c>
      <c r="AE564" s="333">
        <f t="shared" si="268"/>
        <v>-7.2149232022666165</v>
      </c>
      <c r="AF564" s="334">
        <f t="shared" si="269"/>
        <v>-120.89016357771028</v>
      </c>
      <c r="AH564">
        <f t="shared" si="270"/>
        <v>0</v>
      </c>
      <c r="AI564">
        <f t="shared" si="275"/>
        <v>0</v>
      </c>
    </row>
    <row r="565" spans="1:35" x14ac:dyDescent="0.25">
      <c r="A565" s="335">
        <v>93325</v>
      </c>
      <c r="B565" s="352">
        <f t="shared" si="271"/>
        <v>93.325000000000003</v>
      </c>
      <c r="C565" s="325">
        <f t="shared" si="246"/>
        <v>58.183272725413502</v>
      </c>
      <c r="D565" s="326">
        <f t="shared" si="247"/>
        <v>1.5536084101950607</v>
      </c>
      <c r="E565" s="326">
        <f t="shared" si="248"/>
        <v>1.0007486021703</v>
      </c>
      <c r="F565" s="327">
        <f t="shared" si="249"/>
        <v>3.8681661393750399E-2</v>
      </c>
      <c r="G565" s="326">
        <f t="shared" si="250"/>
        <v>1</v>
      </c>
      <c r="H565" s="327">
        <f t="shared" si="251"/>
        <v>0</v>
      </c>
      <c r="I565" s="325">
        <f t="shared" si="252"/>
        <v>146371.70165929737</v>
      </c>
      <c r="J565" s="328">
        <f t="shared" si="253"/>
        <v>1.5707894948732295</v>
      </c>
      <c r="K565" s="336">
        <f t="shared" si="273"/>
        <v>11.728640949448289</v>
      </c>
      <c r="L565" s="337">
        <f t="shared" si="274"/>
        <v>1.4854313157487928</v>
      </c>
      <c r="M565" s="325">
        <f t="shared" si="254"/>
        <v>1.1387921045481371</v>
      </c>
      <c r="N565" s="337">
        <f t="shared" si="255"/>
        <v>0.4988707267907842</v>
      </c>
      <c r="O565" s="343">
        <f t="shared" si="256"/>
        <v>1.1375833515321141</v>
      </c>
      <c r="P565" s="691">
        <f t="shared" si="257"/>
        <v>0.49691698428718889</v>
      </c>
      <c r="Q565" s="336">
        <f t="shared" si="272"/>
        <v>5.6087066770390903</v>
      </c>
      <c r="R565" s="692">
        <f t="shared" si="258"/>
        <v>0.73978015687704002</v>
      </c>
      <c r="S565" s="329">
        <f t="shared" si="259"/>
        <v>0.95446055054723833</v>
      </c>
      <c r="T565" s="330">
        <f t="shared" si="260"/>
        <v>0.59895018012070311</v>
      </c>
      <c r="U565" s="331">
        <f t="shared" si="261"/>
        <v>-18.506622270141449</v>
      </c>
      <c r="V565" s="332">
        <f t="shared" si="262"/>
        <v>-168.50511199689598</v>
      </c>
      <c r="W565" s="334">
        <f t="shared" si="263"/>
        <v>11.494888003104023</v>
      </c>
      <c r="Y565" s="307">
        <f t="shared" si="264"/>
        <v>93325</v>
      </c>
      <c r="Z565" s="307">
        <f t="shared" si="265"/>
        <v>8709555625</v>
      </c>
      <c r="AB565" s="333">
        <f t="shared" si="266"/>
        <v>14.654146843229745</v>
      </c>
      <c r="AC565" s="334">
        <f t="shared" si="267"/>
        <v>-33.473850616737259</v>
      </c>
      <c r="AE565" s="333">
        <f t="shared" si="268"/>
        <v>-7.2619792787126789</v>
      </c>
      <c r="AF565" s="334">
        <f t="shared" si="269"/>
        <v>-121.11622657570273</v>
      </c>
      <c r="AH565">
        <f t="shared" si="270"/>
        <v>0</v>
      </c>
      <c r="AI565">
        <f t="shared" si="275"/>
        <v>0</v>
      </c>
    </row>
    <row r="566" spans="1:35" x14ac:dyDescent="0.25">
      <c r="A566" s="335">
        <v>93868.5</v>
      </c>
      <c r="B566" s="352">
        <f t="shared" si="271"/>
        <v>93.868499999999997</v>
      </c>
      <c r="C566" s="325">
        <f t="shared" si="246"/>
        <v>58.522016841013432</v>
      </c>
      <c r="D566" s="326">
        <f t="shared" si="247"/>
        <v>1.5537079090566903</v>
      </c>
      <c r="E566" s="326">
        <f t="shared" si="248"/>
        <v>1.0007573435711341</v>
      </c>
      <c r="F566" s="327">
        <f t="shared" si="249"/>
        <v>3.8906706502237272E-2</v>
      </c>
      <c r="G566" s="326">
        <f t="shared" si="250"/>
        <v>1</v>
      </c>
      <c r="H566" s="327">
        <f t="shared" si="251"/>
        <v>0</v>
      </c>
      <c r="I566" s="325">
        <f t="shared" si="252"/>
        <v>147224.13155319641</v>
      </c>
      <c r="J566" s="328">
        <f t="shared" si="253"/>
        <v>1.5707895344301568</v>
      </c>
      <c r="K566" s="336">
        <f t="shared" si="273"/>
        <v>11.796450325124136</v>
      </c>
      <c r="L566" s="337">
        <f t="shared" si="274"/>
        <v>1.4859232033848087</v>
      </c>
      <c r="M566" s="325">
        <f t="shared" si="254"/>
        <v>1.1403135738209957</v>
      </c>
      <c r="N566" s="337">
        <f t="shared" si="255"/>
        <v>0.50131415682135971</v>
      </c>
      <c r="O566" s="343">
        <f t="shared" si="256"/>
        <v>1.1390923266921016</v>
      </c>
      <c r="P566" s="691">
        <f t="shared" si="257"/>
        <v>0.49935425796061367</v>
      </c>
      <c r="Q566" s="336">
        <f t="shared" si="272"/>
        <v>5.6234545744834108</v>
      </c>
      <c r="R566" s="692">
        <f t="shared" si="258"/>
        <v>0.74269175027749956</v>
      </c>
      <c r="S566" s="329">
        <f t="shared" si="259"/>
        <v>0.95419327227547746</v>
      </c>
      <c r="T566" s="330">
        <f t="shared" si="260"/>
        <v>0.60312371417772237</v>
      </c>
      <c r="U566" s="331">
        <f t="shared" si="261"/>
        <v>-18.577793292600976</v>
      </c>
      <c r="V566" s="332">
        <f t="shared" si="262"/>
        <v>-168.87603854205548</v>
      </c>
      <c r="W566" s="334">
        <f t="shared" si="263"/>
        <v>11.123961457944517</v>
      </c>
      <c r="Y566" s="307">
        <f t="shared" si="264"/>
        <v>93868.5</v>
      </c>
      <c r="Z566" s="307">
        <f t="shared" si="265"/>
        <v>8811295292.25</v>
      </c>
      <c r="AB566" s="333">
        <f t="shared" si="266"/>
        <v>14.64218536127396</v>
      </c>
      <c r="AC566" s="334">
        <f t="shared" si="267"/>
        <v>-33.585668026059153</v>
      </c>
      <c r="AE566" s="333">
        <f t="shared" si="268"/>
        <v>-7.309893527267473</v>
      </c>
      <c r="AF566" s="334">
        <f t="shared" si="269"/>
        <v>-121.34815919301045</v>
      </c>
      <c r="AH566">
        <f t="shared" si="270"/>
        <v>0</v>
      </c>
      <c r="AI566">
        <f t="shared" si="275"/>
        <v>0</v>
      </c>
    </row>
    <row r="567" spans="1:35" x14ac:dyDescent="0.25">
      <c r="A567" s="335">
        <v>94412</v>
      </c>
      <c r="B567" s="352">
        <f t="shared" si="271"/>
        <v>94.412000000000006</v>
      </c>
      <c r="C567" s="325">
        <f t="shared" si="246"/>
        <v>58.860761529314146</v>
      </c>
      <c r="D567" s="326">
        <f t="shared" si="247"/>
        <v>1.5538062626839868</v>
      </c>
      <c r="E567" s="326">
        <f t="shared" si="248"/>
        <v>1.0007661356547382</v>
      </c>
      <c r="F567" s="327">
        <f t="shared" si="249"/>
        <v>3.9131747667919894E-2</v>
      </c>
      <c r="G567" s="326">
        <f t="shared" si="250"/>
        <v>1</v>
      </c>
      <c r="H567" s="327">
        <f t="shared" si="251"/>
        <v>0</v>
      </c>
      <c r="I567" s="325">
        <f t="shared" si="252"/>
        <v>148076.56144709565</v>
      </c>
      <c r="J567" s="328">
        <f t="shared" si="253"/>
        <v>1.5707895735316506</v>
      </c>
      <c r="K567" s="336">
        <f t="shared" si="273"/>
        <v>11.864262522365523</v>
      </c>
      <c r="L567" s="337">
        <f t="shared" si="274"/>
        <v>1.4864094682035565</v>
      </c>
      <c r="M567" s="325">
        <f t="shared" si="254"/>
        <v>1.1418418329985904</v>
      </c>
      <c r="N567" s="337">
        <f t="shared" si="255"/>
        <v>0.50375106071789788</v>
      </c>
      <c r="O567" s="343">
        <f t="shared" si="256"/>
        <v>1.1406080504784804</v>
      </c>
      <c r="P567" s="691">
        <f t="shared" si="257"/>
        <v>0.50178506838520542</v>
      </c>
      <c r="Q567" s="336">
        <f t="shared" si="272"/>
        <v>5.6382492026883426</v>
      </c>
      <c r="R567" s="692">
        <f t="shared" si="258"/>
        <v>0.74558820080170141</v>
      </c>
      <c r="S567" s="329">
        <f t="shared" si="259"/>
        <v>0.95393083225679298</v>
      </c>
      <c r="T567" s="330">
        <f t="shared" si="260"/>
        <v>0.60730810386336553</v>
      </c>
      <c r="U567" s="331">
        <f t="shared" si="261"/>
        <v>-18.648722350690381</v>
      </c>
      <c r="V567" s="332">
        <f t="shared" si="262"/>
        <v>-169.24697258937934</v>
      </c>
      <c r="W567" s="334">
        <f t="shared" si="263"/>
        <v>10.75302741062066</v>
      </c>
      <c r="Y567" s="307">
        <f t="shared" si="264"/>
        <v>94412</v>
      </c>
      <c r="Z567" s="307">
        <f t="shared" si="265"/>
        <v>8913625744</v>
      </c>
      <c r="AB567" s="333">
        <f t="shared" si="266"/>
        <v>14.630193939764862</v>
      </c>
      <c r="AC567" s="334">
        <f t="shared" si="267"/>
        <v>-33.697433653048108</v>
      </c>
      <c r="AE567" s="333">
        <f t="shared" si="268"/>
        <v>-7.3575597713052403</v>
      </c>
      <c r="AF567" s="334">
        <f t="shared" si="269"/>
        <v>-121.5806484008351</v>
      </c>
      <c r="AH567">
        <f t="shared" si="270"/>
        <v>0</v>
      </c>
      <c r="AI567">
        <f t="shared" si="275"/>
        <v>0</v>
      </c>
    </row>
    <row r="568" spans="1:35" x14ac:dyDescent="0.25">
      <c r="A568" s="335">
        <v>94955.5</v>
      </c>
      <c r="B568" s="352">
        <f t="shared" si="271"/>
        <v>94.955500000000001</v>
      </c>
      <c r="C568" s="325">
        <f t="shared" si="246"/>
        <v>59.199506780484512</v>
      </c>
      <c r="D568" s="326">
        <f t="shared" si="247"/>
        <v>1.5539034907344527</v>
      </c>
      <c r="E568" s="326">
        <f t="shared" si="248"/>
        <v>1.0007749784197764</v>
      </c>
      <c r="F568" s="327">
        <f t="shared" si="249"/>
        <v>3.935678486810873E-2</v>
      </c>
      <c r="G568" s="326">
        <f t="shared" si="250"/>
        <v>1</v>
      </c>
      <c r="H568" s="327">
        <f t="shared" si="251"/>
        <v>0</v>
      </c>
      <c r="I568" s="325">
        <f t="shared" si="252"/>
        <v>148928.99134099513</v>
      </c>
      <c r="J568" s="328">
        <f t="shared" si="253"/>
        <v>1.5707896121855314</v>
      </c>
      <c r="K568" s="336">
        <f t="shared" si="273"/>
        <v>11.932077493066016</v>
      </c>
      <c r="L568" s="337">
        <f t="shared" si="274"/>
        <v>1.4868902058435387</v>
      </c>
      <c r="M568" s="325">
        <f t="shared" si="254"/>
        <v>1.1433768548543757</v>
      </c>
      <c r="N568" s="337">
        <f t="shared" si="255"/>
        <v>0.50618143576423913</v>
      </c>
      <c r="O568" s="343">
        <f t="shared" si="256"/>
        <v>1.1421304960229024</v>
      </c>
      <c r="P568" s="691">
        <f t="shared" si="257"/>
        <v>0.50420941262384478</v>
      </c>
      <c r="Q568" s="336">
        <f t="shared" si="272"/>
        <v>5.6530901948400096</v>
      </c>
      <c r="R568" s="692">
        <f t="shared" si="258"/>
        <v>0.74846957999621033</v>
      </c>
      <c r="S568" s="329">
        <f t="shared" si="259"/>
        <v>0.95367334682723803</v>
      </c>
      <c r="T568" s="330">
        <f t="shared" si="260"/>
        <v>0.61150336698293239</v>
      </c>
      <c r="U568" s="331">
        <f t="shared" si="261"/>
        <v>-18.719413198148786</v>
      </c>
      <c r="V568" s="332">
        <f t="shared" si="262"/>
        <v>-169.61791491936972</v>
      </c>
      <c r="W568" s="334">
        <f t="shared" si="263"/>
        <v>10.382085080630276</v>
      </c>
      <c r="Y568" s="307">
        <f t="shared" si="264"/>
        <v>94955.5</v>
      </c>
      <c r="Z568" s="307">
        <f t="shared" si="265"/>
        <v>9016546980.25</v>
      </c>
      <c r="AB568" s="333">
        <f t="shared" si="266"/>
        <v>14.618172809670929</v>
      </c>
      <c r="AC568" s="334">
        <f t="shared" si="267"/>
        <v>-33.809141862845188</v>
      </c>
      <c r="AE568" s="333">
        <f t="shared" si="268"/>
        <v>-7.4049824436019858</v>
      </c>
      <c r="AF568" s="334">
        <f t="shared" si="269"/>
        <v>-121.81369634693716</v>
      </c>
      <c r="AH568">
        <f t="shared" si="270"/>
        <v>0</v>
      </c>
      <c r="AI568">
        <f t="shared" si="275"/>
        <v>0</v>
      </c>
    </row>
    <row r="569" spans="1:35" x14ac:dyDescent="0.25">
      <c r="A569" s="335">
        <v>95499</v>
      </c>
      <c r="B569" s="352">
        <f t="shared" si="271"/>
        <v>95.498999999999995</v>
      </c>
      <c r="C569" s="325">
        <f t="shared" si="246"/>
        <v>59.538252584917139</v>
      </c>
      <c r="D569" s="326">
        <f t="shared" si="247"/>
        <v>1.5539996124183075</v>
      </c>
      <c r="E569" s="326">
        <f t="shared" si="248"/>
        <v>1.0007838718649049</v>
      </c>
      <c r="F569" s="327">
        <f t="shared" si="249"/>
        <v>3.9581818080116647E-2</v>
      </c>
      <c r="G569" s="326">
        <f t="shared" si="250"/>
        <v>1</v>
      </c>
      <c r="H569" s="327">
        <f t="shared" si="251"/>
        <v>0</v>
      </c>
      <c r="I569" s="325">
        <f t="shared" si="252"/>
        <v>149781.42123489481</v>
      </c>
      <c r="J569" s="328">
        <f t="shared" si="253"/>
        <v>1.5707896503994414</v>
      </c>
      <c r="K569" s="336">
        <f t="shared" si="273"/>
        <v>11.99989519020469</v>
      </c>
      <c r="L569" s="337">
        <f t="shared" si="274"/>
        <v>1.4873655097915974</v>
      </c>
      <c r="M569" s="325">
        <f t="shared" si="254"/>
        <v>1.1449186121876613</v>
      </c>
      <c r="N569" s="337">
        <f t="shared" si="255"/>
        <v>0.50860527956726898</v>
      </c>
      <c r="O569" s="343">
        <f t="shared" si="256"/>
        <v>1.1436596364812519</v>
      </c>
      <c r="P569" s="691">
        <f t="shared" si="257"/>
        <v>0.50662728805905299</v>
      </c>
      <c r="Q569" s="336">
        <f t="shared" si="272"/>
        <v>5.6679771868230553</v>
      </c>
      <c r="R569" s="692">
        <f t="shared" si="258"/>
        <v>0.75133595964561317</v>
      </c>
      <c r="S569" s="329">
        <f t="shared" si="259"/>
        <v>0.95342093302124709</v>
      </c>
      <c r="T569" s="330">
        <f t="shared" si="260"/>
        <v>0.61570952003664814</v>
      </c>
      <c r="U569" s="331">
        <f t="shared" si="261"/>
        <v>-18.789869546286944</v>
      </c>
      <c r="V569" s="332">
        <f t="shared" si="262"/>
        <v>-169.9888663492296</v>
      </c>
      <c r="W569" s="334">
        <f t="shared" si="263"/>
        <v>10.011133650770404</v>
      </c>
      <c r="Y569" s="307">
        <f t="shared" si="264"/>
        <v>95499</v>
      </c>
      <c r="Z569" s="307">
        <f t="shared" si="265"/>
        <v>9120059001</v>
      </c>
      <c r="AB569" s="333">
        <f t="shared" si="266"/>
        <v>14.606122204620542</v>
      </c>
      <c r="AC569" s="334">
        <f t="shared" si="267"/>
        <v>-33.920787162371397</v>
      </c>
      <c r="AE569" s="333">
        <f t="shared" si="268"/>
        <v>-7.4521659267124853</v>
      </c>
      <c r="AF569" s="334">
        <f t="shared" si="269"/>
        <v>-122.04730507867433</v>
      </c>
      <c r="AH569">
        <f t="shared" si="270"/>
        <v>0</v>
      </c>
      <c r="AI569">
        <f t="shared" si="275"/>
        <v>0</v>
      </c>
    </row>
    <row r="570" spans="1:35" x14ac:dyDescent="0.25">
      <c r="A570" s="335">
        <v>96611.5</v>
      </c>
      <c r="B570" s="352">
        <f t="shared" si="271"/>
        <v>96.611500000000007</v>
      </c>
      <c r="C570" s="325">
        <f t="shared" si="246"/>
        <v>60.231639197216658</v>
      </c>
      <c r="D570" s="326">
        <f t="shared" si="247"/>
        <v>1.5541929940628603</v>
      </c>
      <c r="E570" s="326">
        <f t="shared" si="248"/>
        <v>1.000802234053815</v>
      </c>
      <c r="F570" s="327">
        <f t="shared" si="249"/>
        <v>4.0042430107963614E-2</v>
      </c>
      <c r="G570" s="326">
        <f t="shared" si="250"/>
        <v>1</v>
      </c>
      <c r="H570" s="327">
        <f t="shared" si="251"/>
        <v>0</v>
      </c>
      <c r="I570" s="325">
        <f t="shared" si="252"/>
        <v>151526.2754335402</v>
      </c>
      <c r="J570" s="328">
        <f t="shared" si="253"/>
        <v>1.5707897272794189</v>
      </c>
      <c r="K570" s="336">
        <f t="shared" si="273"/>
        <v>12.138720773438306</v>
      </c>
      <c r="L570" s="337">
        <f t="shared" si="274"/>
        <v>1.4883218558815099</v>
      </c>
      <c r="M570" s="325">
        <f t="shared" si="254"/>
        <v>1.1480953528238167</v>
      </c>
      <c r="N570" s="337">
        <f t="shared" si="255"/>
        <v>0.51354631399979689</v>
      </c>
      <c r="O570" s="343">
        <f t="shared" si="256"/>
        <v>1.1468104264054153</v>
      </c>
      <c r="P570" s="691">
        <f t="shared" si="257"/>
        <v>0.51155629948220993</v>
      </c>
      <c r="Q570" s="336">
        <f t="shared" si="272"/>
        <v>5.6985915687897721</v>
      </c>
      <c r="R570" s="692">
        <f t="shared" si="258"/>
        <v>0.75715673269794259</v>
      </c>
      <c r="S570" s="329">
        <f t="shared" si="259"/>
        <v>0.95292057395138829</v>
      </c>
      <c r="T570" s="330">
        <f t="shared" si="260"/>
        <v>0.62435319243394749</v>
      </c>
      <c r="U570" s="331">
        <f t="shared" si="261"/>
        <v>-18.9333720552378</v>
      </c>
      <c r="V570" s="332">
        <f t="shared" si="262"/>
        <v>-170.74820553212425</v>
      </c>
      <c r="W570" s="334">
        <f t="shared" si="263"/>
        <v>9.2517944678757544</v>
      </c>
      <c r="Y570" s="307">
        <f t="shared" si="264"/>
        <v>96611.5</v>
      </c>
      <c r="Z570" s="307">
        <f t="shared" si="265"/>
        <v>9333781932.25</v>
      </c>
      <c r="AB570" s="333">
        <f t="shared" si="266"/>
        <v>14.581364684084637</v>
      </c>
      <c r="AC570" s="334">
        <f t="shared" si="267"/>
        <v>-34.149097392237373</v>
      </c>
      <c r="AE570" s="333">
        <f t="shared" si="268"/>
        <v>-7.5480189437008356</v>
      </c>
      <c r="AF570" s="334">
        <f t="shared" si="269"/>
        <v>-122.52723985396129</v>
      </c>
      <c r="AH570">
        <f t="shared" si="270"/>
        <v>0</v>
      </c>
      <c r="AI570">
        <f t="shared" si="275"/>
        <v>0</v>
      </c>
    </row>
    <row r="571" spans="1:35" x14ac:dyDescent="0.25">
      <c r="A571" s="335">
        <v>97724</v>
      </c>
      <c r="B571" s="352">
        <f t="shared" si="271"/>
        <v>97.724000000000004</v>
      </c>
      <c r="C571" s="325">
        <f t="shared" si="246"/>
        <v>60.92502801069606</v>
      </c>
      <c r="D571" s="326">
        <f t="shared" si="247"/>
        <v>1.5543819739545632</v>
      </c>
      <c r="E571" s="326">
        <f t="shared" si="248"/>
        <v>1.0008208085685524</v>
      </c>
      <c r="F571" s="327">
        <f t="shared" si="249"/>
        <v>4.0503025136272776E-2</v>
      </c>
      <c r="G571" s="326">
        <f t="shared" si="250"/>
        <v>1</v>
      </c>
      <c r="H571" s="327">
        <f t="shared" si="251"/>
        <v>0</v>
      </c>
      <c r="I571" s="325">
        <f t="shared" si="252"/>
        <v>153271.12963218646</v>
      </c>
      <c r="J571" s="328">
        <f t="shared" si="253"/>
        <v>1.5707898024089773</v>
      </c>
      <c r="K571" s="336">
        <f t="shared" si="273"/>
        <v>12.277557207646346</v>
      </c>
      <c r="L571" s="337">
        <f t="shared" si="274"/>
        <v>1.4892565738039916</v>
      </c>
      <c r="M571" s="325">
        <f t="shared" si="254"/>
        <v>1.1512999677758069</v>
      </c>
      <c r="N571" s="337">
        <f t="shared" si="255"/>
        <v>0.51845996134552197</v>
      </c>
      <c r="O571" s="343">
        <f t="shared" si="256"/>
        <v>1.1499889251967439</v>
      </c>
      <c r="P571" s="691">
        <f t="shared" si="257"/>
        <v>0.51645818248155129</v>
      </c>
      <c r="Q571" s="336">
        <f t="shared" si="272"/>
        <v>5.7293941083039472</v>
      </c>
      <c r="R571" s="692">
        <f t="shared" si="258"/>
        <v>0.7629155815364016</v>
      </c>
      <c r="S571" s="329">
        <f t="shared" si="259"/>
        <v>0.95244297699174163</v>
      </c>
      <c r="T571" s="330">
        <f t="shared" si="260"/>
        <v>0.63304266680470356</v>
      </c>
      <c r="U571" s="331">
        <f t="shared" si="261"/>
        <v>-19.07593833549441</v>
      </c>
      <c r="V571" s="332">
        <f t="shared" si="262"/>
        <v>-171.5075940329512</v>
      </c>
      <c r="W571" s="334">
        <f t="shared" si="263"/>
        <v>8.4924059670487964</v>
      </c>
      <c r="Y571" s="307">
        <f t="shared" si="264"/>
        <v>97724</v>
      </c>
      <c r="Z571" s="307">
        <f t="shared" si="265"/>
        <v>9549980176</v>
      </c>
      <c r="AB571" s="333">
        <f t="shared" si="266"/>
        <v>14.556486714193317</v>
      </c>
      <c r="AC571" s="334">
        <f t="shared" si="267"/>
        <v>-34.377077560036746</v>
      </c>
      <c r="AE571" s="333">
        <f t="shared" si="268"/>
        <v>-7.6429244398424849</v>
      </c>
      <c r="AF571" s="334">
        <f t="shared" si="269"/>
        <v>-123.00954766116445</v>
      </c>
      <c r="AH571">
        <f t="shared" si="270"/>
        <v>0</v>
      </c>
      <c r="AI571">
        <f t="shared" si="275"/>
        <v>0</v>
      </c>
    </row>
    <row r="572" spans="1:35" x14ac:dyDescent="0.25">
      <c r="A572" s="335">
        <v>98862</v>
      </c>
      <c r="B572" s="352">
        <f t="shared" si="271"/>
        <v>98.861999999999995</v>
      </c>
      <c r="C572" s="325">
        <f t="shared" si="246"/>
        <v>61.634312430674647</v>
      </c>
      <c r="D572" s="326">
        <f t="shared" si="247"/>
        <v>1.5545708861369845</v>
      </c>
      <c r="E572" s="326">
        <f t="shared" si="248"/>
        <v>1.0008400285056818</v>
      </c>
      <c r="F572" s="327">
        <f t="shared" si="249"/>
        <v>4.0974159832424681E-2</v>
      </c>
      <c r="G572" s="326">
        <f t="shared" si="250"/>
        <v>1</v>
      </c>
      <c r="H572" s="327">
        <f t="shared" si="251"/>
        <v>0</v>
      </c>
      <c r="I572" s="325">
        <f t="shared" si="252"/>
        <v>155055.97824167897</v>
      </c>
      <c r="J572" s="328">
        <f t="shared" si="253"/>
        <v>1.5707898775111517</v>
      </c>
      <c r="K572" s="336">
        <f t="shared" si="273"/>
        <v>12.419586807637215</v>
      </c>
      <c r="L572" s="337">
        <f t="shared" si="274"/>
        <v>1.4901910937743252</v>
      </c>
      <c r="M572" s="325">
        <f t="shared" si="254"/>
        <v>1.1546066348534541</v>
      </c>
      <c r="N572" s="337">
        <f t="shared" si="255"/>
        <v>0.52345789166433598</v>
      </c>
      <c r="O572" s="343">
        <f t="shared" si="256"/>
        <v>1.1532687094353569</v>
      </c>
      <c r="P572" s="691">
        <f t="shared" si="257"/>
        <v>0.52144434428729736</v>
      </c>
      <c r="Q572" s="336">
        <f t="shared" si="272"/>
        <v>5.7610942139431538</v>
      </c>
      <c r="R572" s="692">
        <f t="shared" si="258"/>
        <v>0.76874301094836994</v>
      </c>
      <c r="S572" s="329">
        <f t="shared" si="259"/>
        <v>0.95197905796237092</v>
      </c>
      <c r="T572" s="330">
        <f t="shared" si="260"/>
        <v>0.64197879612691944</v>
      </c>
      <c r="U572" s="331">
        <f t="shared" si="261"/>
        <v>-19.220835346994321</v>
      </c>
      <c r="V572" s="332">
        <f t="shared" si="262"/>
        <v>-172.28444801997756</v>
      </c>
      <c r="W572" s="334">
        <f t="shared" si="263"/>
        <v>7.7155519800224397</v>
      </c>
      <c r="Y572" s="307">
        <f t="shared" si="264"/>
        <v>98862</v>
      </c>
      <c r="Z572" s="307">
        <f t="shared" si="265"/>
        <v>9773695044</v>
      </c>
      <c r="AB572" s="333">
        <f t="shared" si="266"/>
        <v>14.530916065970718</v>
      </c>
      <c r="AC572" s="334">
        <f t="shared" si="267"/>
        <v>-34.60989812673813</v>
      </c>
      <c r="AE572" s="333">
        <f t="shared" si="268"/>
        <v>-7.7390622137985154</v>
      </c>
      <c r="AF572" s="334">
        <f t="shared" si="269"/>
        <v>-123.50537999815676</v>
      </c>
      <c r="AH572">
        <f t="shared" si="270"/>
        <v>0</v>
      </c>
      <c r="AI572">
        <f t="shared" si="275"/>
        <v>0</v>
      </c>
    </row>
    <row r="573" spans="1:35" x14ac:dyDescent="0.25">
      <c r="A573" s="335">
        <v>100000</v>
      </c>
      <c r="B573" s="352">
        <f t="shared" si="271"/>
        <v>100</v>
      </c>
      <c r="C573" s="325">
        <f t="shared" si="246"/>
        <v>62.343599000197344</v>
      </c>
      <c r="D573" s="326">
        <f t="shared" si="247"/>
        <v>1.5547554997972011</v>
      </c>
      <c r="E573" s="326">
        <f t="shared" si="248"/>
        <v>1.0008594705886116</v>
      </c>
      <c r="F573" s="327">
        <f t="shared" si="249"/>
        <v>4.1445276329197991E-2</v>
      </c>
      <c r="G573" s="326">
        <f t="shared" si="250"/>
        <v>1</v>
      </c>
      <c r="H573" s="327">
        <f t="shared" si="251"/>
        <v>0</v>
      </c>
      <c r="I573" s="325">
        <f t="shared" si="252"/>
        <v>156840.82685117234</v>
      </c>
      <c r="J573" s="328">
        <f t="shared" si="253"/>
        <v>1.5707899509040009</v>
      </c>
      <c r="K573" s="336">
        <f t="shared" si="273"/>
        <v>12.561627008718649</v>
      </c>
      <c r="L573" s="337">
        <f t="shared" si="274"/>
        <v>1.4911044804172193</v>
      </c>
      <c r="M573" s="325">
        <f t="shared" si="254"/>
        <v>1.1579419780657079</v>
      </c>
      <c r="N573" s="337">
        <f t="shared" si="255"/>
        <v>0.52842715338034396</v>
      </c>
      <c r="O573" s="343">
        <f t="shared" si="256"/>
        <v>1.1565770029902722</v>
      </c>
      <c r="P573" s="691">
        <f t="shared" si="257"/>
        <v>0.52640210375433727</v>
      </c>
      <c r="Q573" s="336">
        <f t="shared" si="272"/>
        <v>5.7929848646880409</v>
      </c>
      <c r="R573" s="692">
        <f t="shared" si="258"/>
        <v>0.77450696620042414</v>
      </c>
      <c r="S573" s="329">
        <f t="shared" si="259"/>
        <v>0.95154115037116038</v>
      </c>
      <c r="T573" s="330">
        <f t="shared" si="260"/>
        <v>0.65096301045999982</v>
      </c>
      <c r="U573" s="331">
        <f t="shared" si="261"/>
        <v>-19.364816172930229</v>
      </c>
      <c r="V573" s="332">
        <f t="shared" si="262"/>
        <v>-173.06137052600334</v>
      </c>
      <c r="W573" s="334">
        <f t="shared" si="263"/>
        <v>6.9386294739966559</v>
      </c>
      <c r="Y573" s="307">
        <f t="shared" si="264"/>
        <v>100000</v>
      </c>
      <c r="Z573" s="307">
        <f t="shared" si="265"/>
        <v>10000000000</v>
      </c>
      <c r="AB573" s="333">
        <f t="shared" si="266"/>
        <v>14.505223844686927</v>
      </c>
      <c r="AC573" s="334">
        <f t="shared" si="267"/>
        <v>-34.842286856025915</v>
      </c>
      <c r="AE573" s="333">
        <f t="shared" si="268"/>
        <v>-7.834283368239725</v>
      </c>
      <c r="AF573" s="334">
        <f t="shared" si="269"/>
        <v>-124.00372215889939</v>
      </c>
      <c r="AH573">
        <f t="shared" si="270"/>
        <v>0</v>
      </c>
      <c r="AI573">
        <f t="shared" si="275"/>
        <v>0</v>
      </c>
    </row>
    <row r="574" spans="1:35" x14ac:dyDescent="0.25">
      <c r="A574" s="335">
        <v>101165</v>
      </c>
      <c r="B574" s="352">
        <f t="shared" si="271"/>
        <v>101.16500000000001</v>
      </c>
      <c r="C574" s="325">
        <f t="shared" si="246"/>
        <v>63.069716136624315</v>
      </c>
      <c r="D574" s="326">
        <f t="shared" si="247"/>
        <v>1.554940192261224</v>
      </c>
      <c r="E574" s="326">
        <f t="shared" si="248"/>
        <v>1.0008796040518888</v>
      </c>
      <c r="F574" s="327">
        <f t="shared" si="249"/>
        <v>4.1927551388720119E-2</v>
      </c>
      <c r="G574" s="326">
        <f t="shared" si="250"/>
        <v>1</v>
      </c>
      <c r="H574" s="327">
        <f t="shared" si="251"/>
        <v>0</v>
      </c>
      <c r="I574" s="325">
        <f t="shared" si="252"/>
        <v>158668.02248391465</v>
      </c>
      <c r="J574" s="328">
        <f t="shared" si="253"/>
        <v>1.5707900243277433</v>
      </c>
      <c r="K574" s="336">
        <f t="shared" si="273"/>
        <v>12.707047842336149</v>
      </c>
      <c r="L574" s="337">
        <f t="shared" si="274"/>
        <v>1.492018384888238</v>
      </c>
      <c r="M574" s="325">
        <f t="shared" si="254"/>
        <v>1.1613859018723491</v>
      </c>
      <c r="N574" s="337">
        <f t="shared" si="255"/>
        <v>0.53348462083417025</v>
      </c>
      <c r="O574" s="343">
        <f t="shared" si="256"/>
        <v>1.1599930658368298</v>
      </c>
      <c r="P574" s="691">
        <f t="shared" si="257"/>
        <v>0.53144806947022594</v>
      </c>
      <c r="Q574" s="336">
        <f t="shared" si="272"/>
        <v>5.8258262614112599</v>
      </c>
      <c r="R574" s="692">
        <f t="shared" si="258"/>
        <v>0.7803426261331583</v>
      </c>
      <c r="S574" s="329">
        <f t="shared" si="259"/>
        <v>0.95112097537261908</v>
      </c>
      <c r="T574" s="330">
        <f t="shared" si="260"/>
        <v>0.66021023311917049</v>
      </c>
      <c r="U574" s="331">
        <f t="shared" si="261"/>
        <v>-19.511296488438813</v>
      </c>
      <c r="V574" s="332">
        <f t="shared" si="262"/>
        <v>-173.856806154385</v>
      </c>
      <c r="W574" s="334">
        <f t="shared" si="263"/>
        <v>6.1431938456150021</v>
      </c>
      <c r="Y574" s="307">
        <f t="shared" si="264"/>
        <v>101165</v>
      </c>
      <c r="Z574" s="307">
        <f t="shared" si="265"/>
        <v>10234357225</v>
      </c>
      <c r="AB574" s="333">
        <f t="shared" si="266"/>
        <v>14.478798524414831</v>
      </c>
      <c r="AC574" s="334">
        <f t="shared" si="267"/>
        <v>-35.079699734229251</v>
      </c>
      <c r="AE574" s="333">
        <f t="shared" si="268"/>
        <v>-7.9308524708968644</v>
      </c>
      <c r="AF574" s="334">
        <f t="shared" si="269"/>
        <v>-124.51649876329488</v>
      </c>
      <c r="AH574">
        <f t="shared" si="270"/>
        <v>0</v>
      </c>
      <c r="AI574">
        <f t="shared" si="275"/>
        <v>0</v>
      </c>
    </row>
    <row r="575" spans="1:35" x14ac:dyDescent="0.25">
      <c r="A575" s="335">
        <v>102330</v>
      </c>
      <c r="B575" s="352">
        <f t="shared" si="271"/>
        <v>102.33</v>
      </c>
      <c r="C575" s="325">
        <f t="shared" si="246"/>
        <v>63.795835375467874</v>
      </c>
      <c r="D575" s="326">
        <f t="shared" si="247"/>
        <v>1.555120680420752</v>
      </c>
      <c r="E575" s="326">
        <f t="shared" si="248"/>
        <v>1.0008999702995884</v>
      </c>
      <c r="F575" s="327">
        <f t="shared" si="249"/>
        <v>4.2409806933802641E-2</v>
      </c>
      <c r="G575" s="326">
        <f t="shared" si="250"/>
        <v>1</v>
      </c>
      <c r="H575" s="327">
        <f t="shared" si="251"/>
        <v>0</v>
      </c>
      <c r="I575" s="325">
        <f t="shared" si="252"/>
        <v>160495.21811665778</v>
      </c>
      <c r="J575" s="328">
        <f t="shared" si="253"/>
        <v>1.5707900960796657</v>
      </c>
      <c r="K575" s="336">
        <f t="shared" si="273"/>
        <v>12.852479048978136</v>
      </c>
      <c r="L575" s="337">
        <f t="shared" si="274"/>
        <v>1.4929116076642703</v>
      </c>
      <c r="M575" s="325">
        <f t="shared" si="254"/>
        <v>1.1648593554873545</v>
      </c>
      <c r="N575" s="337">
        <f t="shared" si="255"/>
        <v>0.53851205487096721</v>
      </c>
      <c r="O575" s="343">
        <f t="shared" si="256"/>
        <v>1.1634384902800019</v>
      </c>
      <c r="P575" s="691">
        <f t="shared" si="257"/>
        <v>0.53646427588111067</v>
      </c>
      <c r="Q575" s="336">
        <f t="shared" si="272"/>
        <v>5.8588607712427336</v>
      </c>
      <c r="R575" s="692">
        <f t="shared" si="258"/>
        <v>0.78611318977735745</v>
      </c>
      <c r="S575" s="329">
        <f t="shared" si="259"/>
        <v>0.95073046652249893</v>
      </c>
      <c r="T575" s="330">
        <f t="shared" si="260"/>
        <v>0.66950790059758325</v>
      </c>
      <c r="U575" s="331">
        <f t="shared" si="261"/>
        <v>-19.656881936413498</v>
      </c>
      <c r="V575" s="332">
        <f t="shared" si="262"/>
        <v>-174.6523317171899</v>
      </c>
      <c r="W575" s="334">
        <f t="shared" si="263"/>
        <v>5.3476682828101048</v>
      </c>
      <c r="Y575" s="307">
        <f t="shared" si="264"/>
        <v>102330</v>
      </c>
      <c r="Z575" s="307">
        <f t="shared" si="265"/>
        <v>10471428900</v>
      </c>
      <c r="AB575" s="333">
        <f t="shared" si="266"/>
        <v>14.452250705201052</v>
      </c>
      <c r="AC575" s="334">
        <f t="shared" si="267"/>
        <v>-35.316576702439527</v>
      </c>
      <c r="AE575" s="333">
        <f t="shared" si="268"/>
        <v>-8.0265378132519807</v>
      </c>
      <c r="AF575" s="334">
        <f t="shared" si="269"/>
        <v>-125.03192587212598</v>
      </c>
      <c r="AH575">
        <f t="shared" si="270"/>
        <v>0</v>
      </c>
      <c r="AI575">
        <f t="shared" si="275"/>
        <v>0</v>
      </c>
    </row>
    <row r="576" spans="1:35" x14ac:dyDescent="0.25">
      <c r="A576" s="335">
        <v>103520</v>
      </c>
      <c r="B576" s="352">
        <f t="shared" si="271"/>
        <v>103.52</v>
      </c>
      <c r="C576" s="325">
        <f t="shared" si="246"/>
        <v>64.53753866901333</v>
      </c>
      <c r="D576" s="326">
        <f t="shared" si="247"/>
        <v>1.555300848658413</v>
      </c>
      <c r="E576" s="326">
        <f t="shared" si="248"/>
        <v>1.0009210139075355</v>
      </c>
      <c r="F576" s="327">
        <f t="shared" si="249"/>
        <v>4.2902390931245357E-2</v>
      </c>
      <c r="G576" s="326">
        <f t="shared" si="250"/>
        <v>1</v>
      </c>
      <c r="H576" s="327">
        <f t="shared" si="251"/>
        <v>0</v>
      </c>
      <c r="I576" s="325">
        <f t="shared" si="252"/>
        <v>162361.62395611301</v>
      </c>
      <c r="J576" s="328">
        <f t="shared" si="253"/>
        <v>1.5707901677040004</v>
      </c>
      <c r="K576" s="336">
        <f t="shared" si="273"/>
        <v>13.001041444315208</v>
      </c>
      <c r="L576" s="337">
        <f t="shared" si="274"/>
        <v>1.493803366347136</v>
      </c>
      <c r="M576" s="325">
        <f t="shared" si="254"/>
        <v>1.168437560023746</v>
      </c>
      <c r="N576" s="337">
        <f t="shared" si="255"/>
        <v>0.54361638216740726</v>
      </c>
      <c r="O576" s="343">
        <f t="shared" si="256"/>
        <v>1.1669878939167857</v>
      </c>
      <c r="P576" s="691">
        <f t="shared" si="257"/>
        <v>0.54155741493519016</v>
      </c>
      <c r="Q576" s="336">
        <f t="shared" si="272"/>
        <v>5.8928001735579461</v>
      </c>
      <c r="R576" s="692">
        <f t="shared" si="258"/>
        <v>0.79194113019272416</v>
      </c>
      <c r="S576" s="329">
        <f t="shared" si="259"/>
        <v>0.95036349139695753</v>
      </c>
      <c r="T576" s="330">
        <f t="shared" si="260"/>
        <v>0.67905714550231755</v>
      </c>
      <c r="U576" s="331">
        <f t="shared" si="261"/>
        <v>-19.804701005692426</v>
      </c>
      <c r="V576" s="332">
        <f t="shared" si="262"/>
        <v>-175.46503056722915</v>
      </c>
      <c r="W576" s="334">
        <f t="shared" si="263"/>
        <v>4.5349694327708505</v>
      </c>
      <c r="Y576" s="307">
        <f t="shared" si="264"/>
        <v>103520</v>
      </c>
      <c r="Z576" s="307">
        <f t="shared" si="265"/>
        <v>10716390400</v>
      </c>
      <c r="AB576" s="333">
        <f t="shared" si="266"/>
        <v>14.425009341773142</v>
      </c>
      <c r="AC576" s="334">
        <f t="shared" si="267"/>
        <v>-35.557943208954512</v>
      </c>
      <c r="AE576" s="333">
        <f t="shared" si="268"/>
        <v>-8.1234032506784715</v>
      </c>
      <c r="AF576" s="334">
        <f t="shared" si="269"/>
        <v>-125.56115719881994</v>
      </c>
      <c r="AH576">
        <f t="shared" si="270"/>
        <v>0</v>
      </c>
      <c r="AI576">
        <f t="shared" si="275"/>
        <v>0</v>
      </c>
    </row>
    <row r="577" spans="1:35" x14ac:dyDescent="0.25">
      <c r="A577" s="335">
        <v>104710</v>
      </c>
      <c r="B577" s="352">
        <f t="shared" si="271"/>
        <v>104.71</v>
      </c>
      <c r="C577" s="325">
        <f t="shared" si="246"/>
        <v>65.279244009880415</v>
      </c>
      <c r="D577" s="326">
        <f t="shared" si="247"/>
        <v>1.5554769227444605</v>
      </c>
      <c r="E577" s="326">
        <f t="shared" si="248"/>
        <v>1.0009423003677049</v>
      </c>
      <c r="F577" s="327">
        <f t="shared" si="249"/>
        <v>4.3394954097201725E-2</v>
      </c>
      <c r="G577" s="326">
        <f t="shared" si="250"/>
        <v>1</v>
      </c>
      <c r="H577" s="327">
        <f t="shared" si="251"/>
        <v>0</v>
      </c>
      <c r="I577" s="325">
        <f t="shared" si="252"/>
        <v>164228.02979556899</v>
      </c>
      <c r="J577" s="328">
        <f t="shared" si="253"/>
        <v>1.5707902377003538</v>
      </c>
      <c r="K577" s="336">
        <f t="shared" si="273"/>
        <v>13.149613944897945</v>
      </c>
      <c r="L577" s="337">
        <f t="shared" si="274"/>
        <v>1.494674974423877</v>
      </c>
      <c r="M577" s="325">
        <f t="shared" si="254"/>
        <v>1.1720460208747543</v>
      </c>
      <c r="N577" s="337">
        <f t="shared" si="255"/>
        <v>0.54868941085669765</v>
      </c>
      <c r="O577" s="343">
        <f t="shared" si="256"/>
        <v>1.1705673852590071</v>
      </c>
      <c r="P577" s="691">
        <f t="shared" si="257"/>
        <v>0.54661953589925949</v>
      </c>
      <c r="Q577" s="336">
        <f t="shared" si="272"/>
        <v>5.9269342757969232</v>
      </c>
      <c r="R577" s="692">
        <f t="shared" si="258"/>
        <v>0.79770267538298378</v>
      </c>
      <c r="S577" s="329">
        <f t="shared" si="259"/>
        <v>0.95003009108359293</v>
      </c>
      <c r="T577" s="330">
        <f t="shared" si="260"/>
        <v>0.68865893975641679</v>
      </c>
      <c r="U577" s="331">
        <f t="shared" si="261"/>
        <v>-19.951653389220496</v>
      </c>
      <c r="V577" s="332">
        <f t="shared" si="262"/>
        <v>-176.27784110193383</v>
      </c>
      <c r="W577" s="334">
        <f t="shared" si="263"/>
        <v>3.7221588980661693</v>
      </c>
      <c r="Y577" s="307">
        <f t="shared" si="264"/>
        <v>104710</v>
      </c>
      <c r="Z577" s="307">
        <f t="shared" si="265"/>
        <v>10964184100</v>
      </c>
      <c r="AB577" s="333">
        <f t="shared" si="266"/>
        <v>14.397645503614346</v>
      </c>
      <c r="AC577" s="334">
        <f t="shared" si="267"/>
        <v>-35.798670888783548</v>
      </c>
      <c r="AE577" s="333">
        <f t="shared" si="268"/>
        <v>-8.2194252291849939</v>
      </c>
      <c r="AF577" s="334">
        <f t="shared" si="269"/>
        <v>-126.09316599739994</v>
      </c>
      <c r="AH577">
        <f t="shared" si="270"/>
        <v>0</v>
      </c>
      <c r="AI577">
        <f t="shared" si="275"/>
        <v>0</v>
      </c>
    </row>
    <row r="578" spans="1:35" x14ac:dyDescent="0.25">
      <c r="A578" s="335">
        <v>105930</v>
      </c>
      <c r="B578" s="352">
        <f t="shared" si="271"/>
        <v>105.93</v>
      </c>
      <c r="C578" s="325">
        <f t="shared" si="246"/>
        <v>66.039649857896919</v>
      </c>
      <c r="D578" s="326">
        <f t="shared" si="247"/>
        <v>1.5556533297988897</v>
      </c>
      <c r="E578" s="326">
        <f t="shared" si="248"/>
        <v>1.0009643755579851</v>
      </c>
      <c r="F578" s="327">
        <f t="shared" si="249"/>
        <v>4.3899912947303089E-2</v>
      </c>
      <c r="G578" s="326">
        <f t="shared" si="250"/>
        <v>1</v>
      </c>
      <c r="H578" s="327">
        <f t="shared" si="251"/>
        <v>0</v>
      </c>
      <c r="I578" s="325">
        <f t="shared" si="252"/>
        <v>166141.48788307933</v>
      </c>
      <c r="J578" s="328">
        <f t="shared" si="253"/>
        <v>1.5707903078286964</v>
      </c>
      <c r="K578" s="336">
        <f t="shared" si="273"/>
        <v>13.301942106823901</v>
      </c>
      <c r="L578" s="337">
        <f t="shared" si="274"/>
        <v>1.4955483422819467</v>
      </c>
      <c r="M578" s="325">
        <f t="shared" si="254"/>
        <v>1.1757765697643539</v>
      </c>
      <c r="N578" s="337">
        <f t="shared" si="255"/>
        <v>0.55385786855360608</v>
      </c>
      <c r="O578" s="343">
        <f t="shared" si="256"/>
        <v>1.1742680628612239</v>
      </c>
      <c r="P578" s="691">
        <f t="shared" si="257"/>
        <v>0.55177709911954487</v>
      </c>
      <c r="Q578" s="336">
        <f t="shared" si="272"/>
        <v>5.9621275260792803</v>
      </c>
      <c r="R578" s="692">
        <f t="shared" si="258"/>
        <v>0.80354134909151564</v>
      </c>
      <c r="S578" s="329">
        <f t="shared" si="259"/>
        <v>0.9497245488450673</v>
      </c>
      <c r="T578" s="330">
        <f t="shared" si="260"/>
        <v>0.69855724668878738</v>
      </c>
      <c r="U578" s="331">
        <f t="shared" si="261"/>
        <v>-20.101445171492841</v>
      </c>
      <c r="V578" s="332">
        <f t="shared" si="262"/>
        <v>-177.11126697800435</v>
      </c>
      <c r="W578" s="334">
        <f t="shared" si="263"/>
        <v>2.8887330219956482</v>
      </c>
      <c r="Y578" s="307">
        <f t="shared" si="264"/>
        <v>105930</v>
      </c>
      <c r="Z578" s="307">
        <f t="shared" si="265"/>
        <v>11221164900</v>
      </c>
      <c r="AB578" s="333">
        <f t="shared" si="266"/>
        <v>14.369467526966304</v>
      </c>
      <c r="AC578" s="334">
        <f t="shared" si="267"/>
        <v>-36.04476542751781</v>
      </c>
      <c r="AE578" s="333">
        <f t="shared" si="268"/>
        <v>-8.3170326368629048</v>
      </c>
      <c r="AF578" s="334">
        <f t="shared" si="269"/>
        <v>-126.64147257833292</v>
      </c>
      <c r="AH578">
        <f t="shared" si="270"/>
        <v>0</v>
      </c>
      <c r="AI578">
        <f t="shared" si="275"/>
        <v>0</v>
      </c>
    </row>
    <row r="579" spans="1:35" x14ac:dyDescent="0.25">
      <c r="A579" s="335">
        <v>107150</v>
      </c>
      <c r="B579" s="352">
        <f t="shared" si="271"/>
        <v>107.15</v>
      </c>
      <c r="C579" s="325">
        <f t="shared" si="246"/>
        <v>66.800057714242826</v>
      </c>
      <c r="D579" s="326">
        <f t="shared" si="247"/>
        <v>1.5558257206551631</v>
      </c>
      <c r="E579" s="326">
        <f t="shared" si="248"/>
        <v>1.0009867059663102</v>
      </c>
      <c r="F579" s="327">
        <f t="shared" si="249"/>
        <v>4.440484939650563E-2</v>
      </c>
      <c r="G579" s="326">
        <f t="shared" si="250"/>
        <v>1</v>
      </c>
      <c r="H579" s="327">
        <f t="shared" si="251"/>
        <v>0</v>
      </c>
      <c r="I579" s="325">
        <f t="shared" si="252"/>
        <v>168054.94597059049</v>
      </c>
      <c r="J579" s="328">
        <f t="shared" si="253"/>
        <v>1.5707903763600894</v>
      </c>
      <c r="K579" s="336">
        <f t="shared" si="273"/>
        <v>13.454280185334671</v>
      </c>
      <c r="L579" s="337">
        <f t="shared" si="274"/>
        <v>1.4964019331052332</v>
      </c>
      <c r="M579" s="325">
        <f t="shared" si="254"/>
        <v>1.1795383279605445</v>
      </c>
      <c r="N579" s="337">
        <f t="shared" si="255"/>
        <v>0.55899349644512342</v>
      </c>
      <c r="O579" s="343">
        <f t="shared" si="256"/>
        <v>1.1779997797934869</v>
      </c>
      <c r="P579" s="691">
        <f t="shared" si="257"/>
        <v>0.55690212126297012</v>
      </c>
      <c r="Q579" s="336">
        <f t="shared" si="272"/>
        <v>5.9975183630896085</v>
      </c>
      <c r="R579" s="692">
        <f t="shared" si="258"/>
        <v>0.8093118767821984</v>
      </c>
      <c r="S579" s="329">
        <f t="shared" si="259"/>
        <v>0.94945717251370931</v>
      </c>
      <c r="T579" s="330">
        <f t="shared" si="260"/>
        <v>0.70851053565570177</v>
      </c>
      <c r="U579" s="331">
        <f t="shared" si="261"/>
        <v>-20.250395430170876</v>
      </c>
      <c r="V579" s="332">
        <f t="shared" si="262"/>
        <v>-177.94482629186248</v>
      </c>
      <c r="W579" s="334">
        <f t="shared" si="263"/>
        <v>2.0551737081375165</v>
      </c>
      <c r="Y579" s="307">
        <f t="shared" si="264"/>
        <v>107150</v>
      </c>
      <c r="Z579" s="307">
        <f t="shared" si="265"/>
        <v>11481122500</v>
      </c>
      <c r="AB579" s="333">
        <f t="shared" si="266"/>
        <v>14.341166632971166</v>
      </c>
      <c r="AC579" s="334">
        <f t="shared" si="267"/>
        <v>-36.290112006085927</v>
      </c>
      <c r="AE579" s="333">
        <f t="shared" si="268"/>
        <v>-8.4138346947964315</v>
      </c>
      <c r="AF579" s="334">
        <f t="shared" si="269"/>
        <v>-127.19270057007061</v>
      </c>
      <c r="AH579">
        <f t="shared" si="270"/>
        <v>0</v>
      </c>
      <c r="AI579">
        <f t="shared" si="275"/>
        <v>0</v>
      </c>
    </row>
    <row r="580" spans="1:35" x14ac:dyDescent="0.25">
      <c r="A580" s="335">
        <v>108400</v>
      </c>
      <c r="B580" s="352">
        <f t="shared" si="271"/>
        <v>108.4</v>
      </c>
      <c r="C580" s="325">
        <f t="shared" si="246"/>
        <v>67.579166136556367</v>
      </c>
      <c r="D580" s="326">
        <f t="shared" si="247"/>
        <v>1.5559983268356763</v>
      </c>
      <c r="E580" s="326">
        <f t="shared" si="248"/>
        <v>1.0010098501741622</v>
      </c>
      <c r="F580" s="327">
        <f t="shared" si="249"/>
        <v>4.4922178814171619E-2</v>
      </c>
      <c r="G580" s="326">
        <f t="shared" si="250"/>
        <v>1</v>
      </c>
      <c r="H580" s="327">
        <f t="shared" si="251"/>
        <v>0</v>
      </c>
      <c r="I580" s="325">
        <f t="shared" si="252"/>
        <v>170015.45630615597</v>
      </c>
      <c r="J580" s="328">
        <f t="shared" si="253"/>
        <v>1.5707904449767272</v>
      </c>
      <c r="K580" s="336">
        <f t="shared" si="273"/>
        <v>13.610374219331499</v>
      </c>
      <c r="L580" s="337">
        <f t="shared" si="274"/>
        <v>1.4972566945154975</v>
      </c>
      <c r="M580" s="325">
        <f t="shared" si="254"/>
        <v>1.1834246470835721</v>
      </c>
      <c r="N580" s="337">
        <f t="shared" si="255"/>
        <v>0.56422140511418073</v>
      </c>
      <c r="O580" s="343">
        <f t="shared" si="256"/>
        <v>1.1818551463945901</v>
      </c>
      <c r="P580" s="691">
        <f t="shared" si="257"/>
        <v>0.5621194595427611</v>
      </c>
      <c r="Q580" s="336">
        <f t="shared" si="272"/>
        <v>6.0339807664464553</v>
      </c>
      <c r="R580" s="692">
        <f t="shared" si="258"/>
        <v>0.81515448802590407</v>
      </c>
      <c r="S580" s="329">
        <f t="shared" si="259"/>
        <v>0.9492243511131957</v>
      </c>
      <c r="T580" s="330">
        <f t="shared" si="260"/>
        <v>0.71876540434462288</v>
      </c>
      <c r="U580" s="331">
        <f t="shared" si="261"/>
        <v>-20.402171337295862</v>
      </c>
      <c r="V580" s="332">
        <f t="shared" si="262"/>
        <v>-178.79902811602341</v>
      </c>
      <c r="W580" s="334">
        <f t="shared" si="263"/>
        <v>1.2009718839765924</v>
      </c>
      <c r="Y580" s="307">
        <f t="shared" si="264"/>
        <v>108400</v>
      </c>
      <c r="Z580" s="307">
        <f t="shared" si="265"/>
        <v>11750560000</v>
      </c>
      <c r="AB580" s="333">
        <f t="shared" si="266"/>
        <v>14.312045418910815</v>
      </c>
      <c r="AC580" s="334">
        <f t="shared" si="267"/>
        <v>-36.54067881893404</v>
      </c>
      <c r="AE580" s="333">
        <f t="shared" si="268"/>
        <v>-8.5122235129770516</v>
      </c>
      <c r="AF580" s="334">
        <f t="shared" si="269"/>
        <v>-127.76051007946651</v>
      </c>
      <c r="AH580">
        <f t="shared" si="270"/>
        <v>0</v>
      </c>
      <c r="AI580">
        <f t="shared" si="275"/>
        <v>0</v>
      </c>
    </row>
    <row r="581" spans="1:35" x14ac:dyDescent="0.25">
      <c r="A581" s="335">
        <v>109650</v>
      </c>
      <c r="B581" s="352">
        <f t="shared" si="271"/>
        <v>109.65</v>
      </c>
      <c r="C581" s="325">
        <f t="shared" si="246"/>
        <v>68.358276526354089</v>
      </c>
      <c r="D581" s="326">
        <f t="shared" si="247"/>
        <v>1.5561669984787232</v>
      </c>
      <c r="E581" s="326">
        <f t="shared" si="248"/>
        <v>1.0010332622695768</v>
      </c>
      <c r="F581" s="327">
        <f t="shared" si="249"/>
        <v>4.5439484171750595E-2</v>
      </c>
      <c r="G581" s="326">
        <f t="shared" si="250"/>
        <v>1</v>
      </c>
      <c r="H581" s="327">
        <f t="shared" si="251"/>
        <v>0</v>
      </c>
      <c r="I581" s="325">
        <f t="shared" si="252"/>
        <v>171975.96664172228</v>
      </c>
      <c r="J581" s="328">
        <f t="shared" si="253"/>
        <v>1.5707905120289178</v>
      </c>
      <c r="K581" s="336">
        <f t="shared" si="273"/>
        <v>13.766477971792334</v>
      </c>
      <c r="L581" s="337">
        <f t="shared" si="274"/>
        <v>1.4980920715426558</v>
      </c>
      <c r="M581" s="325">
        <f t="shared" si="254"/>
        <v>1.187343098173175</v>
      </c>
      <c r="N581" s="337">
        <f t="shared" si="255"/>
        <v>0.56941494882673116</v>
      </c>
      <c r="O581" s="343">
        <f t="shared" si="256"/>
        <v>1.1857424741122984</v>
      </c>
      <c r="P581" s="691">
        <f t="shared" si="257"/>
        <v>0.56730272919525826</v>
      </c>
      <c r="Q581" s="336">
        <f t="shared" si="272"/>
        <v>6.0706432736141087</v>
      </c>
      <c r="R581" s="692">
        <f t="shared" si="258"/>
        <v>0.8209273175033347</v>
      </c>
      <c r="S581" s="329">
        <f t="shared" si="259"/>
        <v>0.9490347492054827</v>
      </c>
      <c r="T581" s="330">
        <f t="shared" si="260"/>
        <v>0.72907753769937078</v>
      </c>
      <c r="U581" s="331">
        <f t="shared" si="261"/>
        <v>-20.553135854746923</v>
      </c>
      <c r="V581" s="332">
        <f t="shared" si="262"/>
        <v>-179.65338228459834</v>
      </c>
      <c r="W581" s="334">
        <f t="shared" si="263"/>
        <v>0.34661771540166342</v>
      </c>
      <c r="Y581" s="307">
        <f t="shared" si="264"/>
        <v>109650</v>
      </c>
      <c r="Z581" s="307">
        <f t="shared" si="265"/>
        <v>12023122500</v>
      </c>
      <c r="AB581" s="333">
        <f t="shared" si="266"/>
        <v>14.282801457772141</v>
      </c>
      <c r="AC581" s="334">
        <f t="shared" si="267"/>
        <v>-36.790387218514404</v>
      </c>
      <c r="AE581" s="333">
        <f t="shared" si="268"/>
        <v>-8.6098507558526602</v>
      </c>
      <c r="AF581" s="334">
        <f t="shared" si="269"/>
        <v>-128.3313765586833</v>
      </c>
      <c r="AH581">
        <f t="shared" si="270"/>
        <v>0</v>
      </c>
      <c r="AI581">
        <f t="shared" si="275"/>
        <v>0</v>
      </c>
    </row>
    <row r="582" spans="1:35" x14ac:dyDescent="0.25">
      <c r="A582" s="335">
        <v>110925</v>
      </c>
      <c r="B582" s="352">
        <f t="shared" si="271"/>
        <v>110.925</v>
      </c>
      <c r="C582" s="325">
        <f t="shared" si="246"/>
        <v>69.152971081885127</v>
      </c>
      <c r="D582" s="326">
        <f t="shared" si="247"/>
        <v>1.5563351280989766</v>
      </c>
      <c r="E582" s="326">
        <f t="shared" si="248"/>
        <v>1.0010574185651733</v>
      </c>
      <c r="F582" s="327">
        <f t="shared" si="249"/>
        <v>4.5967110564411016E-2</v>
      </c>
      <c r="G582" s="326">
        <f t="shared" si="250"/>
        <v>1</v>
      </c>
      <c r="H582" s="327">
        <f t="shared" si="251"/>
        <v>0</v>
      </c>
      <c r="I582" s="325">
        <f t="shared" si="252"/>
        <v>173975.68718400065</v>
      </c>
      <c r="J582" s="328">
        <f t="shared" si="253"/>
        <v>1.5707905788653083</v>
      </c>
      <c r="K582" s="336">
        <f t="shared" si="273"/>
        <v>13.925713472324539</v>
      </c>
      <c r="L582" s="337">
        <f t="shared" si="274"/>
        <v>1.4989248611765684</v>
      </c>
      <c r="M582" s="325">
        <f t="shared" si="254"/>
        <v>1.1913726918225134</v>
      </c>
      <c r="N582" s="337">
        <f t="shared" si="255"/>
        <v>0.57467702322170333</v>
      </c>
      <c r="O582" s="343">
        <f t="shared" si="256"/>
        <v>1.1897401498135562</v>
      </c>
      <c r="P582" s="691">
        <f t="shared" si="257"/>
        <v>0.57255462570307458</v>
      </c>
      <c r="Q582" s="336">
        <f t="shared" si="272"/>
        <v>6.1082414421585902</v>
      </c>
      <c r="R582" s="692">
        <f t="shared" si="258"/>
        <v>0.82674463218163585</v>
      </c>
      <c r="S582" s="329">
        <f t="shared" si="259"/>
        <v>0.94888755665439095</v>
      </c>
      <c r="T582" s="330">
        <f t="shared" si="260"/>
        <v>0.7396545919605676</v>
      </c>
      <c r="U582" s="331">
        <f t="shared" si="261"/>
        <v>-20.706320585052428</v>
      </c>
      <c r="V582" s="332">
        <f t="shared" si="262"/>
        <v>-180.52498443397639</v>
      </c>
      <c r="W582" s="334">
        <f t="shared" si="263"/>
        <v>-0.52498443397638539</v>
      </c>
      <c r="Y582" s="307">
        <f t="shared" si="264"/>
        <v>110925</v>
      </c>
      <c r="Z582" s="307">
        <f t="shared" si="265"/>
        <v>12304355625</v>
      </c>
      <c r="AB582" s="333">
        <f t="shared" si="266"/>
        <v>14.252849468603529</v>
      </c>
      <c r="AC582" s="334">
        <f t="shared" si="267"/>
        <v>-37.044170371317783</v>
      </c>
      <c r="AE582" s="333">
        <f t="shared" si="268"/>
        <v>-8.7086886798881054</v>
      </c>
      <c r="AF582" s="334">
        <f t="shared" si="269"/>
        <v>-128.91679948039217</v>
      </c>
      <c r="AH582">
        <f t="shared" si="270"/>
        <v>0</v>
      </c>
      <c r="AI582">
        <f t="shared" si="275"/>
        <v>0</v>
      </c>
    </row>
    <row r="583" spans="1:35" x14ac:dyDescent="0.25">
      <c r="A583" s="335">
        <v>112200</v>
      </c>
      <c r="B583" s="352">
        <f t="shared" si="271"/>
        <v>112.2</v>
      </c>
      <c r="C583" s="325">
        <f t="shared" si="246"/>
        <v>69.947667547784789</v>
      </c>
      <c r="D583" s="326">
        <f t="shared" si="247"/>
        <v>1.5564994373815308</v>
      </c>
      <c r="E583" s="326">
        <f t="shared" si="248"/>
        <v>1.0010818535312596</v>
      </c>
      <c r="F583" s="327">
        <f t="shared" si="249"/>
        <v>4.6494711346743572E-2</v>
      </c>
      <c r="G583" s="326">
        <f t="shared" si="250"/>
        <v>1</v>
      </c>
      <c r="H583" s="327">
        <f t="shared" si="251"/>
        <v>0</v>
      </c>
      <c r="I583" s="325">
        <f t="shared" si="252"/>
        <v>175975.40772627981</v>
      </c>
      <c r="J583" s="328">
        <f t="shared" si="253"/>
        <v>1.57079064418269</v>
      </c>
      <c r="K583" s="336">
        <f t="shared" si="273"/>
        <v>14.084958412497622</v>
      </c>
      <c r="L583" s="337">
        <f t="shared" si="274"/>
        <v>1.4997388202778583</v>
      </c>
      <c r="M583" s="325">
        <f t="shared" si="254"/>
        <v>1.1954350509722627</v>
      </c>
      <c r="N583" s="337">
        <f t="shared" si="255"/>
        <v>0.57990347807663689</v>
      </c>
      <c r="O583" s="343">
        <f t="shared" si="256"/>
        <v>1.1937704211111353</v>
      </c>
      <c r="P583" s="691">
        <f t="shared" si="257"/>
        <v>0.57777120358529255</v>
      </c>
      <c r="Q583" s="336">
        <f t="shared" si="272"/>
        <v>6.1460403000472956</v>
      </c>
      <c r="R583" s="692">
        <f t="shared" si="258"/>
        <v>0.8324912020068721</v>
      </c>
      <c r="S583" s="329">
        <f t="shared" si="259"/>
        <v>0.94878874128038337</v>
      </c>
      <c r="T583" s="330">
        <f t="shared" si="260"/>
        <v>0.75029052967493581</v>
      </c>
      <c r="U583" s="331">
        <f t="shared" si="261"/>
        <v>-20.858735108714633</v>
      </c>
      <c r="V583" s="332">
        <f t="shared" si="262"/>
        <v>-181.39675113522389</v>
      </c>
      <c r="W583" s="334">
        <f t="shared" si="263"/>
        <v>-1.3967511352238944</v>
      </c>
      <c r="Y583" s="307">
        <f t="shared" si="264"/>
        <v>112200</v>
      </c>
      <c r="Z583" s="307">
        <f t="shared" si="265"/>
        <v>12588840000</v>
      </c>
      <c r="AB583" s="333">
        <f t="shared" si="266"/>
        <v>14.22277646878128</v>
      </c>
      <c r="AC583" s="334">
        <f t="shared" si="267"/>
        <v>-37.296991497820159</v>
      </c>
      <c r="AE583" s="333">
        <f t="shared" si="268"/>
        <v>-8.8068199556990034</v>
      </c>
      <c r="AF583" s="334">
        <f t="shared" si="269"/>
        <v>-129.50537875359177</v>
      </c>
      <c r="AH583">
        <f t="shared" si="270"/>
        <v>0</v>
      </c>
      <c r="AI583">
        <f t="shared" si="275"/>
        <v>0</v>
      </c>
    </row>
    <row r="584" spans="1:35" x14ac:dyDescent="0.25">
      <c r="A584" s="335">
        <v>113510</v>
      </c>
      <c r="B584" s="352">
        <f t="shared" si="271"/>
        <v>113.51</v>
      </c>
      <c r="C584" s="325">
        <f t="shared" si="246"/>
        <v>70.764181132888908</v>
      </c>
      <c r="D584" s="326">
        <f t="shared" si="247"/>
        <v>1.5566644133052072</v>
      </c>
      <c r="E584" s="326">
        <f t="shared" si="248"/>
        <v>1.0011072494898257</v>
      </c>
      <c r="F584" s="327">
        <f t="shared" si="249"/>
        <v>4.7036768306536324E-2</v>
      </c>
      <c r="G584" s="326">
        <f t="shared" si="250"/>
        <v>1</v>
      </c>
      <c r="H584" s="327">
        <f t="shared" si="251"/>
        <v>0</v>
      </c>
      <c r="I584" s="325">
        <f t="shared" si="252"/>
        <v>178030.02255795558</v>
      </c>
      <c r="J584" s="328">
        <f t="shared" si="253"/>
        <v>1.5707907097647709</v>
      </c>
      <c r="K584" s="336">
        <f t="shared" si="273"/>
        <v>14.248584281623753</v>
      </c>
      <c r="L584" s="337">
        <f t="shared" si="274"/>
        <v>1.5005561728513903</v>
      </c>
      <c r="M584" s="325">
        <f t="shared" si="254"/>
        <v>1.1996427029914121</v>
      </c>
      <c r="N584" s="337">
        <f t="shared" si="255"/>
        <v>0.58523638642702791</v>
      </c>
      <c r="O584" s="343">
        <f t="shared" si="256"/>
        <v>1.1979449315451685</v>
      </c>
      <c r="P584" s="691">
        <f t="shared" si="257"/>
        <v>0.58309427326594065</v>
      </c>
      <c r="Q584" s="336">
        <f t="shared" si="272"/>
        <v>6.1850819359657017</v>
      </c>
      <c r="R584" s="692">
        <f t="shared" si="258"/>
        <v>0.83832281470970849</v>
      </c>
      <c r="S584" s="329">
        <f t="shared" si="259"/>
        <v>0.948739432671456</v>
      </c>
      <c r="T584" s="330">
        <f t="shared" si="260"/>
        <v>0.76127930725751947</v>
      </c>
      <c r="U584" s="331">
        <f t="shared" si="261"/>
        <v>-21.014569599529654</v>
      </c>
      <c r="V584" s="332">
        <f t="shared" si="262"/>
        <v>-182.29261997645239</v>
      </c>
      <c r="W584" s="334">
        <f t="shared" si="263"/>
        <v>-2.2926199764523858</v>
      </c>
      <c r="Y584" s="307">
        <f t="shared" si="264"/>
        <v>113510</v>
      </c>
      <c r="Z584" s="307">
        <f t="shared" si="265"/>
        <v>12884520100</v>
      </c>
      <c r="AB584" s="333">
        <f t="shared" si="266"/>
        <v>14.191755441912093</v>
      </c>
      <c r="AC584" s="334">
        <f t="shared" si="267"/>
        <v>-37.555717543862194</v>
      </c>
      <c r="AE584" s="333">
        <f t="shared" si="268"/>
        <v>-8.9069531574497027</v>
      </c>
      <c r="AF584" s="334">
        <f t="shared" si="269"/>
        <v>-130.11338417987264</v>
      </c>
      <c r="AH584">
        <f t="shared" si="270"/>
        <v>0</v>
      </c>
      <c r="AI584">
        <f t="shared" si="275"/>
        <v>0</v>
      </c>
    </row>
    <row r="585" spans="1:35" x14ac:dyDescent="0.25">
      <c r="A585" s="335">
        <v>114820</v>
      </c>
      <c r="B585" s="352">
        <f t="shared" si="271"/>
        <v>114.82</v>
      </c>
      <c r="C585" s="325">
        <f t="shared" si="246"/>
        <v>71.580696600046437</v>
      </c>
      <c r="D585" s="326">
        <f t="shared" si="247"/>
        <v>1.5568256254979975</v>
      </c>
      <c r="E585" s="326">
        <f t="shared" si="248"/>
        <v>1.0011329395845039</v>
      </c>
      <c r="F585" s="327">
        <f t="shared" si="249"/>
        <v>4.757879760611302E-2</v>
      </c>
      <c r="G585" s="326">
        <f t="shared" si="250"/>
        <v>1</v>
      </c>
      <c r="H585" s="327">
        <f t="shared" si="251"/>
        <v>0</v>
      </c>
      <c r="I585" s="325">
        <f t="shared" si="252"/>
        <v>180084.63738963215</v>
      </c>
      <c r="J585" s="328">
        <f t="shared" si="253"/>
        <v>1.5707907738503784</v>
      </c>
      <c r="K585" s="336">
        <f t="shared" si="273"/>
        <v>14.412219453586699</v>
      </c>
      <c r="L585" s="337">
        <f t="shared" si="274"/>
        <v>1.5013549656387239</v>
      </c>
      <c r="M585" s="325">
        <f t="shared" si="254"/>
        <v>1.2038842336918323</v>
      </c>
      <c r="N585" s="337">
        <f t="shared" si="255"/>
        <v>0.59053186664397228</v>
      </c>
      <c r="O585" s="343">
        <f t="shared" si="256"/>
        <v>1.2021531495329281</v>
      </c>
      <c r="P585" s="691">
        <f t="shared" si="257"/>
        <v>0.58838022432773263</v>
      </c>
      <c r="Q585" s="336">
        <f t="shared" si="272"/>
        <v>6.2243276351078363</v>
      </c>
      <c r="R585" s="692">
        <f t="shared" si="258"/>
        <v>0.84408173211900195</v>
      </c>
      <c r="S585" s="329">
        <f t="shared" si="259"/>
        <v>0.94874493744704358</v>
      </c>
      <c r="T585" s="330">
        <f t="shared" si="260"/>
        <v>0.77232925129251273</v>
      </c>
      <c r="U585" s="331">
        <f t="shared" si="261"/>
        <v>-21.169668238360995</v>
      </c>
      <c r="V585" s="332">
        <f t="shared" si="262"/>
        <v>-183.18865978045645</v>
      </c>
      <c r="W585" s="334">
        <f t="shared" si="263"/>
        <v>-3.1886597804564474</v>
      </c>
      <c r="Y585" s="307">
        <f t="shared" si="264"/>
        <v>114820</v>
      </c>
      <c r="Z585" s="307">
        <f t="shared" si="265"/>
        <v>13183632400</v>
      </c>
      <c r="AB585" s="333">
        <f t="shared" si="266"/>
        <v>14.160613877720952</v>
      </c>
      <c r="AC585" s="334">
        <f t="shared" si="267"/>
        <v>-37.813362427497651</v>
      </c>
      <c r="AE585" s="333">
        <f t="shared" si="268"/>
        <v>-9.0064293631037167</v>
      </c>
      <c r="AF585" s="334">
        <f t="shared" si="269"/>
        <v>-130.72468012464682</v>
      </c>
      <c r="AH585">
        <f t="shared" si="270"/>
        <v>0</v>
      </c>
      <c r="AI585">
        <f t="shared" si="275"/>
        <v>0</v>
      </c>
    </row>
    <row r="586" spans="1:35" x14ac:dyDescent="0.25">
      <c r="A586" s="335">
        <v>116155</v>
      </c>
      <c r="B586" s="352">
        <f t="shared" si="271"/>
        <v>116.155</v>
      </c>
      <c r="C586" s="325">
        <f t="shared" si="246"/>
        <v>72.412796293803169</v>
      </c>
      <c r="D586" s="326">
        <f t="shared" si="247"/>
        <v>1.5569861739129356</v>
      </c>
      <c r="E586" s="326">
        <f t="shared" si="248"/>
        <v>1.0011594225343206</v>
      </c>
      <c r="F586" s="327">
        <f t="shared" si="249"/>
        <v>4.8131142191705813E-2</v>
      </c>
      <c r="G586" s="326">
        <f t="shared" si="250"/>
        <v>1</v>
      </c>
      <c r="H586" s="327">
        <f t="shared" si="251"/>
        <v>0</v>
      </c>
      <c r="I586" s="325">
        <f t="shared" si="252"/>
        <v>182178.46242802081</v>
      </c>
      <c r="J586" s="328">
        <f t="shared" si="253"/>
        <v>1.570790837671832</v>
      </c>
      <c r="K586" s="336">
        <f t="shared" si="273"/>
        <v>14.578986680687843</v>
      </c>
      <c r="L586" s="337">
        <f t="shared" si="274"/>
        <v>1.5021505541093911</v>
      </c>
      <c r="M586" s="325">
        <f t="shared" si="254"/>
        <v>1.208241194873813</v>
      </c>
      <c r="N586" s="337">
        <f t="shared" si="255"/>
        <v>0.59589000157605554</v>
      </c>
      <c r="O586" s="343">
        <f t="shared" si="256"/>
        <v>1.2064759904252396</v>
      </c>
      <c r="P586" s="691">
        <f t="shared" si="257"/>
        <v>0.59372896235288053</v>
      </c>
      <c r="Q586" s="336">
        <f t="shared" si="272"/>
        <v>6.2645282702579417</v>
      </c>
      <c r="R586" s="692">
        <f t="shared" si="258"/>
        <v>0.8498767963248911</v>
      </c>
      <c r="S586" s="329">
        <f t="shared" si="259"/>
        <v>0.94880892408979456</v>
      </c>
      <c r="T586" s="330">
        <f t="shared" si="260"/>
        <v>0.78365237850519065</v>
      </c>
      <c r="U586" s="331">
        <f t="shared" si="261"/>
        <v>-21.327009209002071</v>
      </c>
      <c r="V586" s="332">
        <f t="shared" si="262"/>
        <v>-184.10196983388252</v>
      </c>
      <c r="W586" s="334">
        <f t="shared" si="263"/>
        <v>-4.1019698338825208</v>
      </c>
      <c r="Y586" s="307">
        <f t="shared" si="264"/>
        <v>116155</v>
      </c>
      <c r="Z586" s="307">
        <f t="shared" si="265"/>
        <v>13491984025</v>
      </c>
      <c r="AB586" s="333">
        <f t="shared" si="266"/>
        <v>14.12875776001535</v>
      </c>
      <c r="AC586" s="334">
        <f t="shared" si="267"/>
        <v>-38.074780740567796</v>
      </c>
      <c r="AE586" s="333">
        <f t="shared" si="268"/>
        <v>-9.1071733459975857</v>
      </c>
      <c r="AF586" s="334">
        <f t="shared" si="269"/>
        <v>-131.35099925853075</v>
      </c>
      <c r="AH586">
        <f t="shared" si="270"/>
        <v>0</v>
      </c>
      <c r="AI586">
        <f t="shared" si="275"/>
        <v>0</v>
      </c>
    </row>
    <row r="587" spans="1:35" x14ac:dyDescent="0.25">
      <c r="A587" s="335">
        <v>117490</v>
      </c>
      <c r="B587" s="352">
        <f t="shared" si="271"/>
        <v>117.49</v>
      </c>
      <c r="C587" s="325">
        <f t="shared" si="246"/>
        <v>73.244897811648428</v>
      </c>
      <c r="D587" s="326">
        <f t="shared" si="247"/>
        <v>1.5571430744987842</v>
      </c>
      <c r="E587" s="326">
        <f t="shared" si="248"/>
        <v>1.0011862109061873</v>
      </c>
      <c r="F587" s="327">
        <f t="shared" si="249"/>
        <v>4.8683457388031384E-2</v>
      </c>
      <c r="G587" s="326">
        <f t="shared" si="250"/>
        <v>1</v>
      </c>
      <c r="H587" s="327">
        <f t="shared" si="251"/>
        <v>0</v>
      </c>
      <c r="I587" s="325">
        <f t="shared" si="252"/>
        <v>184272.28746641023</v>
      </c>
      <c r="J587" s="328">
        <f t="shared" si="253"/>
        <v>1.5707909000429212</v>
      </c>
      <c r="K587" s="336">
        <f t="shared" si="273"/>
        <v>14.745762926989249</v>
      </c>
      <c r="L587" s="337">
        <f t="shared" si="274"/>
        <v>1.5029281466718558</v>
      </c>
      <c r="M587" s="325">
        <f t="shared" si="254"/>
        <v>1.2126325943433802</v>
      </c>
      <c r="N587" s="337">
        <f t="shared" si="255"/>
        <v>0.60120948066070967</v>
      </c>
      <c r="O587" s="343">
        <f t="shared" si="256"/>
        <v>1.2108331003594295</v>
      </c>
      <c r="P587" s="691">
        <f t="shared" si="257"/>
        <v>0.59903935717364698</v>
      </c>
      <c r="Q587" s="336">
        <f t="shared" si="272"/>
        <v>6.3049328734372239</v>
      </c>
      <c r="R587" s="692">
        <f t="shared" si="258"/>
        <v>0.85559844973110066</v>
      </c>
      <c r="S587" s="329">
        <f t="shared" si="259"/>
        <v>0.94893386734006169</v>
      </c>
      <c r="T587" s="330">
        <f t="shared" si="260"/>
        <v>0.79503769824340775</v>
      </c>
      <c r="U587" s="331">
        <f t="shared" si="261"/>
        <v>-21.483665253641753</v>
      </c>
      <c r="V587" s="332">
        <f t="shared" si="262"/>
        <v>-185.01544289957835</v>
      </c>
      <c r="W587" s="334">
        <f t="shared" si="263"/>
        <v>-5.0154428995783462</v>
      </c>
      <c r="Y587" s="307">
        <f t="shared" si="264"/>
        <v>117490</v>
      </c>
      <c r="Z587" s="307">
        <f t="shared" si="265"/>
        <v>13803900100</v>
      </c>
      <c r="AB587" s="333">
        <f t="shared" si="266"/>
        <v>14.096784057855793</v>
      </c>
      <c r="AC587" s="334">
        <f t="shared" si="267"/>
        <v>-38.335015243214144</v>
      </c>
      <c r="AE587" s="333">
        <f t="shared" si="268"/>
        <v>-9.2073258358704244</v>
      </c>
      <c r="AF587" s="334">
        <f t="shared" si="269"/>
        <v>-131.98067444031892</v>
      </c>
      <c r="AH587">
        <f t="shared" si="270"/>
        <v>0</v>
      </c>
      <c r="AI587">
        <f t="shared" si="275"/>
        <v>0</v>
      </c>
    </row>
    <row r="588" spans="1:35" x14ac:dyDescent="0.25">
      <c r="A588" s="335">
        <v>118860</v>
      </c>
      <c r="B588" s="352">
        <f t="shared" si="271"/>
        <v>118.86</v>
      </c>
      <c r="C588" s="325">
        <f t="shared" si="246"/>
        <v>74.09881655709431</v>
      </c>
      <c r="D588" s="326">
        <f t="shared" si="247"/>
        <v>1.5573004249212714</v>
      </c>
      <c r="E588" s="326">
        <f t="shared" si="248"/>
        <v>1.0012140191072014</v>
      </c>
      <c r="F588" s="327">
        <f t="shared" si="249"/>
        <v>4.9250221852008461E-2</v>
      </c>
      <c r="G588" s="326">
        <f t="shared" si="250"/>
        <v>1</v>
      </c>
      <c r="H588" s="327">
        <f t="shared" si="251"/>
        <v>0</v>
      </c>
      <c r="I588" s="325">
        <f t="shared" si="252"/>
        <v>186421.00679419635</v>
      </c>
      <c r="J588" s="328">
        <f t="shared" si="253"/>
        <v>1.5707909625925613</v>
      </c>
      <c r="K588" s="336">
        <f t="shared" si="273"/>
        <v>14.916920643967529</v>
      </c>
      <c r="L588" s="337">
        <f t="shared" si="274"/>
        <v>1.5037080478197344</v>
      </c>
      <c r="M588" s="325">
        <f t="shared" si="254"/>
        <v>1.2171745376345768</v>
      </c>
      <c r="N588" s="337">
        <f t="shared" si="255"/>
        <v>0.60662835730200548</v>
      </c>
      <c r="O588" s="343">
        <f t="shared" si="256"/>
        <v>1.2153396835551131</v>
      </c>
      <c r="P588" s="691">
        <f t="shared" si="257"/>
        <v>0.60444923173122311</v>
      </c>
      <c r="Q588" s="336">
        <f t="shared" si="272"/>
        <v>6.3466047484212336</v>
      </c>
      <c r="R588" s="692">
        <f t="shared" si="258"/>
        <v>0.86139487811962867</v>
      </c>
      <c r="S588" s="329">
        <f t="shared" si="259"/>
        <v>0.9491276129622872</v>
      </c>
      <c r="T588" s="330">
        <f t="shared" si="260"/>
        <v>0.80678535088042991</v>
      </c>
      <c r="U588" s="331">
        <f t="shared" si="261"/>
        <v>-21.643757173194285</v>
      </c>
      <c r="V588" s="332">
        <f t="shared" si="262"/>
        <v>-185.95302132322198</v>
      </c>
      <c r="W588" s="334">
        <f t="shared" si="263"/>
        <v>-5.9530213232219751</v>
      </c>
      <c r="Y588" s="307">
        <f t="shared" si="264"/>
        <v>118860</v>
      </c>
      <c r="Z588" s="307">
        <f t="shared" si="265"/>
        <v>14127699600</v>
      </c>
      <c r="AB588" s="333">
        <f t="shared" si="266"/>
        <v>14.063853831796651</v>
      </c>
      <c r="AC588" s="334">
        <f t="shared" si="267"/>
        <v>-38.600812544385668</v>
      </c>
      <c r="AE588" s="333">
        <f t="shared" si="268"/>
        <v>-9.309535708426834</v>
      </c>
      <c r="AF588" s="334">
        <f t="shared" si="269"/>
        <v>-132.63030765969759</v>
      </c>
      <c r="AH588">
        <f t="shared" si="270"/>
        <v>0</v>
      </c>
      <c r="AI588">
        <f t="shared" si="275"/>
        <v>0</v>
      </c>
    </row>
    <row r="589" spans="1:35" x14ac:dyDescent="0.25">
      <c r="A589" s="335">
        <v>120230</v>
      </c>
      <c r="B589" s="352">
        <f t="shared" si="271"/>
        <v>120.23</v>
      </c>
      <c r="C589" s="325">
        <f t="shared" ref="C589:C613" si="276">SQRT(1+(A589/pole1)^2)</f>
        <v>74.952737095361414</v>
      </c>
      <c r="D589" s="326">
        <f t="shared" ref="D589:D613" si="277">ATAN(A589/pole1)</f>
        <v>1.5574541900279262</v>
      </c>
      <c r="E589" s="326">
        <f t="shared" ref="E589:E613" si="278">SQRT(1+(A589/Zero1)^2)</f>
        <v>1.0012421489022176</v>
      </c>
      <c r="F589" s="327">
        <f t="shared" ref="F589:F613" si="279">ATAN(A589/Zero1)</f>
        <v>4.981695465164563E-2</v>
      </c>
      <c r="G589" s="326">
        <f t="shared" ref="G589:G613" si="280">IF(VIN_nom&gt;Vout, 1, SQRT(1+(A589/z_RHP)^2))</f>
        <v>1</v>
      </c>
      <c r="H589" s="327">
        <f t="shared" ref="H589:H613" si="281">IF(VIN_nom&gt;Vout, 0, -ATAN(A589/z_RHP))</f>
        <v>0</v>
      </c>
      <c r="I589" s="325">
        <f t="shared" ref="I589:I613" si="282">SQRT(1+(A589/Pole2)^2)</f>
        <v>188569.72612198317</v>
      </c>
      <c r="J589" s="328">
        <f t="shared" ref="J589:J613" si="283">ATAN(A589/Pole2)</f>
        <v>1.5707910237167166</v>
      </c>
      <c r="K589" s="336">
        <f t="shared" si="273"/>
        <v>15.088087228247105</v>
      </c>
      <c r="L589" s="337">
        <f t="shared" si="274"/>
        <v>1.5044702542682282</v>
      </c>
      <c r="M589" s="325">
        <f t="shared" ref="M589:M613" si="284">SQRT(1+(A589/pole4)^2)</f>
        <v>1.2217519559601309</v>
      </c>
      <c r="N589" s="337">
        <f t="shared" ref="N589:N613" si="285">ATAN(A589/pole4)</f>
        <v>0.6120067861472448</v>
      </c>
      <c r="O589" s="343">
        <f t="shared" ref="O589:O613" si="286">IF(VOUT_setting=1,1,SQRT(1+(A589*zterm1)^2))</f>
        <v>1.2198815723761207</v>
      </c>
      <c r="P589" s="691">
        <f t="shared" ref="P589:P613" si="287">IF(VOUT_setting=1,0,ATAN(((A589*zterm1))))</f>
        <v>0.60981897815512776</v>
      </c>
      <c r="Q589" s="336">
        <f t="shared" si="272"/>
        <v>6.3884832033962011</v>
      </c>
      <c r="R589" s="692">
        <f t="shared" ref="R589:R613" si="288">IF(VOUT_setting=1,0,ATAN(A589*$Q$4/(1+Afbr-$Q$5*(A589)^2)))</f>
        <v>0.86711620895722696</v>
      </c>
      <c r="S589" s="329">
        <f t="shared" ref="S589:S613" si="289">SQRT((1-(Z589/pterm2))^2+(A589/pterm1)^2)</f>
        <v>0.94938994248027087</v>
      </c>
      <c r="T589" s="330">
        <f t="shared" ref="T589:T613" si="290">IF((ATAN((A589/pterm1)/(1-A589^2/pterm2))&gt;0),ATAN((A589/pterm1)/(1-A589^2/pterm2)),PI()+ATAN((A589/pterm1)/(1-A589^2/pterm2)))</f>
        <v>0.81859675462349979</v>
      </c>
      <c r="U589" s="331">
        <f t="shared" ref="U589:U613" si="291">20*LOG10(((E589*K589*G589*O589)/(C589*I589*S589*M589*Q589))*Adc)</f>
        <v>-21.803210235216042</v>
      </c>
      <c r="V589" s="332">
        <f t="shared" ref="V589:V613" si="292">((F589+L589+H589+P589)-(D589+J589+T589+N589+R589))*radconv</f>
        <v>-186.89074146884394</v>
      </c>
      <c r="W589" s="334">
        <f t="shared" ref="W589:W613" si="293">IF(V589&gt;0,V589,V589+180)</f>
        <v>-6.8907414688439417</v>
      </c>
      <c r="Y589" s="307">
        <f t="shared" ref="Y589:Y613" si="294">IF(U589&lt;0,A589,1000000000)</f>
        <v>120230</v>
      </c>
      <c r="Z589" s="307">
        <f t="shared" ref="Z589:Z613" si="295">A589^2</f>
        <v>14455252900</v>
      </c>
      <c r="AB589" s="333">
        <f t="shared" ref="AB589:AB613" si="296">20*LOG10((K589/(I589*M589))*AEA)</f>
        <v>14.03080785837389</v>
      </c>
      <c r="AC589" s="334">
        <f t="shared" ref="AC589:AC613" si="297">(L589-(J589+N589))*radconv</f>
        <v>-38.865306107471312</v>
      </c>
      <c r="AE589" s="333">
        <f t="shared" ref="AE589:AE613" si="298">20*LOG10((E589*G589/(C589*S589))*Acs*Am)</f>
        <v>-9.4112165387869684</v>
      </c>
      <c r="AF589" s="334">
        <f t="shared" ref="AF589:AF613" si="299">(F589+H589-(D589+T589))*radconv</f>
        <v>-133.28338993916361</v>
      </c>
      <c r="AH589">
        <f t="shared" ref="AH589:AH613" si="300">SUM((U590&lt;0)*(U589&gt;0))*A589</f>
        <v>0</v>
      </c>
      <c r="AI589">
        <f t="shared" si="275"/>
        <v>0</v>
      </c>
    </row>
    <row r="590" spans="1:35" x14ac:dyDescent="0.25">
      <c r="A590" s="335">
        <v>126030</v>
      </c>
      <c r="B590" s="352">
        <f t="shared" ref="B590:B613" si="301">A590/1000</f>
        <v>126.03</v>
      </c>
      <c r="C590" s="325">
        <f t="shared" si="276"/>
        <v>78.567893656500658</v>
      </c>
      <c r="D590" s="326">
        <f t="shared" si="277"/>
        <v>1.5580681377713355</v>
      </c>
      <c r="E590" s="326">
        <f t="shared" si="278"/>
        <v>1.0013648006543199</v>
      </c>
      <c r="F590" s="327">
        <f t="shared" si="279"/>
        <v>5.2215902289076882E-2</v>
      </c>
      <c r="G590" s="326">
        <f t="shared" si="280"/>
        <v>1</v>
      </c>
      <c r="H590" s="327">
        <f t="shared" si="281"/>
        <v>0</v>
      </c>
      <c r="I590" s="325">
        <f t="shared" si="282"/>
        <v>197666.49407904423</v>
      </c>
      <c r="J590" s="328">
        <f t="shared" si="283"/>
        <v>1.5707912677685569</v>
      </c>
      <c r="K590" s="336">
        <f t="shared" si="273"/>
        <v>15.812825687919476</v>
      </c>
      <c r="L590" s="337">
        <f t="shared" si="274"/>
        <v>1.50751429437082</v>
      </c>
      <c r="M590" s="325">
        <f t="shared" si="284"/>
        <v>1.2415147239694624</v>
      </c>
      <c r="N590" s="337">
        <f t="shared" si="285"/>
        <v>0.63433211278078694</v>
      </c>
      <c r="O590" s="343">
        <f t="shared" si="286"/>
        <v>1.2394921455286623</v>
      </c>
      <c r="P590" s="691">
        <f t="shared" si="287"/>
        <v>0.63211097568950991</v>
      </c>
      <c r="Q590" s="336">
        <f t="shared" si="272"/>
        <v>6.5679761314879448</v>
      </c>
      <c r="R590" s="692">
        <f t="shared" si="288"/>
        <v>0.89053122360499626</v>
      </c>
      <c r="S590" s="329">
        <f t="shared" si="289"/>
        <v>0.95131196695118658</v>
      </c>
      <c r="T590" s="330">
        <f t="shared" si="290"/>
        <v>0.8692827629230877</v>
      </c>
      <c r="U590" s="331">
        <f t="shared" si="291"/>
        <v>-22.472111689680997</v>
      </c>
      <c r="V590" s="332">
        <f t="shared" si="292"/>
        <v>-190.8616573348184</v>
      </c>
      <c r="W590" s="334">
        <f t="shared" si="293"/>
        <v>-10.861657334818403</v>
      </c>
      <c r="Y590" s="307">
        <f t="shared" si="294"/>
        <v>126030</v>
      </c>
      <c r="Z590" s="307">
        <f t="shared" si="295"/>
        <v>15883560900</v>
      </c>
      <c r="AB590" s="333">
        <f t="shared" si="296"/>
        <v>13.889715391943369</v>
      </c>
      <c r="AC590" s="334">
        <f t="shared" si="297"/>
        <v>-39.97005643368</v>
      </c>
      <c r="AE590" s="333">
        <f t="shared" si="298"/>
        <v>-9.8368715190495166</v>
      </c>
      <c r="AF590" s="334">
        <f t="shared" si="299"/>
        <v>-136.08521133793789</v>
      </c>
      <c r="AH590">
        <f t="shared" si="300"/>
        <v>0</v>
      </c>
      <c r="AI590">
        <f t="shared" si="275"/>
        <v>0</v>
      </c>
    </row>
    <row r="591" spans="1:35" x14ac:dyDescent="0.25">
      <c r="A591" s="335">
        <v>131830</v>
      </c>
      <c r="B591" s="352">
        <f t="shared" si="301"/>
        <v>131.83000000000001</v>
      </c>
      <c r="C591" s="325">
        <f t="shared" si="276"/>
        <v>82.183077226924468</v>
      </c>
      <c r="D591" s="326">
        <f t="shared" si="277"/>
        <v>1.5586280713351359</v>
      </c>
      <c r="E591" s="326">
        <f t="shared" si="278"/>
        <v>1.0014932137796773</v>
      </c>
      <c r="F591" s="327">
        <f t="shared" si="279"/>
        <v>5.4614248531869317E-2</v>
      </c>
      <c r="G591" s="326">
        <f t="shared" si="280"/>
        <v>1</v>
      </c>
      <c r="H591" s="327">
        <f t="shared" si="281"/>
        <v>0</v>
      </c>
      <c r="I591" s="325">
        <f t="shared" si="282"/>
        <v>206763.26203611607</v>
      </c>
      <c r="J591" s="328">
        <f t="shared" si="283"/>
        <v>1.5707914903457607</v>
      </c>
      <c r="K591" s="336">
        <f t="shared" si="273"/>
        <v>16.537697828927612</v>
      </c>
      <c r="L591" s="337">
        <f t="shared" si="274"/>
        <v>1.5102915086590118</v>
      </c>
      <c r="M591" s="325">
        <f t="shared" si="284"/>
        <v>1.2618767291172384</v>
      </c>
      <c r="N591" s="337">
        <f t="shared" si="285"/>
        <v>0.65594743305859704</v>
      </c>
      <c r="O591" s="343">
        <f t="shared" si="286"/>
        <v>1.2596993106450489</v>
      </c>
      <c r="P591" s="691">
        <f t="shared" si="287"/>
        <v>0.65369823593238052</v>
      </c>
      <c r="Q591" s="336">
        <f t="shared" ref="Q591:Q613" si="302">IF(VOUT_setting=1,1,SQRT((1+Afbr-$Q$5*(A591)^2)^2+(A591*$Q$4)^2))</f>
        <v>6.7508118559802126</v>
      </c>
      <c r="R591" s="692">
        <f t="shared" si="288"/>
        <v>0.91270165025449501</v>
      </c>
      <c r="S591" s="329">
        <f t="shared" si="289"/>
        <v>0.95467426137043554</v>
      </c>
      <c r="T591" s="330">
        <f t="shared" si="290"/>
        <v>0.92099808380917914</v>
      </c>
      <c r="U591" s="331">
        <f t="shared" si="291"/>
        <v>-23.133211344085755</v>
      </c>
      <c r="V591" s="332">
        <f t="shared" si="292"/>
        <v>-194.83216336859684</v>
      </c>
      <c r="W591" s="334">
        <f t="shared" si="293"/>
        <v>-14.832163368596838</v>
      </c>
      <c r="Y591" s="307">
        <f t="shared" si="294"/>
        <v>131830</v>
      </c>
      <c r="Z591" s="307">
        <f t="shared" si="295"/>
        <v>17379148900</v>
      </c>
      <c r="AB591" s="333">
        <f t="shared" si="296"/>
        <v>13.74691931515607</v>
      </c>
      <c r="AC591" s="334">
        <f t="shared" si="297"/>
        <v>-41.049413154872958</v>
      </c>
      <c r="AE591" s="333">
        <f t="shared" si="298"/>
        <v>-10.257148577760402</v>
      </c>
      <c r="AF591" s="334">
        <f t="shared" si="299"/>
        <v>-138.94294767663152</v>
      </c>
      <c r="AH591">
        <f t="shared" si="300"/>
        <v>0</v>
      </c>
      <c r="AI591">
        <f t="shared" si="275"/>
        <v>0</v>
      </c>
    </row>
    <row r="592" spans="1:35" x14ac:dyDescent="0.25">
      <c r="A592" s="335">
        <v>144540</v>
      </c>
      <c r="B592" s="352">
        <f t="shared" si="301"/>
        <v>144.54</v>
      </c>
      <c r="C592" s="325">
        <f t="shared" si="276"/>
        <v>90.105394268856344</v>
      </c>
      <c r="D592" s="326">
        <f t="shared" si="277"/>
        <v>1.5596979842674896</v>
      </c>
      <c r="E592" s="326">
        <f t="shared" si="278"/>
        <v>1.001794750824335</v>
      </c>
      <c r="F592" s="327">
        <f t="shared" si="279"/>
        <v>5.9867698360821321E-2</v>
      </c>
      <c r="G592" s="326">
        <f t="shared" si="280"/>
        <v>1</v>
      </c>
      <c r="H592" s="327">
        <f t="shared" si="281"/>
        <v>0</v>
      </c>
      <c r="I592" s="325">
        <f t="shared" si="282"/>
        <v>226697.7311282822</v>
      </c>
      <c r="J592" s="328">
        <f t="shared" si="283"/>
        <v>1.5707919156347363</v>
      </c>
      <c r="K592" s="336">
        <f t="shared" si="273"/>
        <v>18.126556738816578</v>
      </c>
      <c r="L592" s="337">
        <f t="shared" si="274"/>
        <v>1.5156006293557798</v>
      </c>
      <c r="M592" s="325">
        <f t="shared" si="284"/>
        <v>1.3084551312195132</v>
      </c>
      <c r="N592" s="337">
        <f t="shared" si="285"/>
        <v>0.700903131399783</v>
      </c>
      <c r="O592" s="343">
        <f t="shared" si="286"/>
        <v>1.3059305350734873</v>
      </c>
      <c r="P592" s="691">
        <f t="shared" si="287"/>
        <v>0.69860906362239361</v>
      </c>
      <c r="Q592" s="336">
        <f t="shared" si="302"/>
        <v>7.1619063353521648</v>
      </c>
      <c r="R592" s="692">
        <f t="shared" si="288"/>
        <v>0.95730901578766403</v>
      </c>
      <c r="S592" s="329">
        <f t="shared" si="289"/>
        <v>0.96790839777554816</v>
      </c>
      <c r="T592" s="330">
        <f t="shared" si="290"/>
        <v>1.0372987867804848</v>
      </c>
      <c r="U592" s="331">
        <f t="shared" si="291"/>
        <v>-24.567442992640544</v>
      </c>
      <c r="V592" s="332">
        <f t="shared" si="292"/>
        <v>-203.51022264315816</v>
      </c>
      <c r="W592" s="334">
        <f t="shared" si="293"/>
        <v>-23.510222643158158</v>
      </c>
      <c r="Y592" s="307">
        <f t="shared" si="294"/>
        <v>144540</v>
      </c>
      <c r="Z592" s="307">
        <f t="shared" si="295"/>
        <v>20891811600</v>
      </c>
      <c r="AB592" s="333">
        <f t="shared" si="296"/>
        <v>13.429410531515128</v>
      </c>
      <c r="AC592" s="334">
        <f t="shared" si="297"/>
        <v>-43.321019095894904</v>
      </c>
      <c r="AE592" s="333">
        <f t="shared" si="298"/>
        <v>-11.173482490995477</v>
      </c>
      <c r="AF592" s="334">
        <f t="shared" si="299"/>
        <v>-145.36678811101993</v>
      </c>
      <c r="AH592">
        <f t="shared" si="300"/>
        <v>0</v>
      </c>
      <c r="AI592">
        <f t="shared" si="275"/>
        <v>0</v>
      </c>
    </row>
    <row r="593" spans="1:35" x14ac:dyDescent="0.25">
      <c r="A593" s="335">
        <v>158490</v>
      </c>
      <c r="B593" s="352">
        <f t="shared" si="301"/>
        <v>158.49</v>
      </c>
      <c r="C593" s="325">
        <f t="shared" si="276"/>
        <v>98.800719051013957</v>
      </c>
      <c r="D593" s="326">
        <f t="shared" si="277"/>
        <v>1.5606747701490802</v>
      </c>
      <c r="E593" s="326">
        <f t="shared" si="278"/>
        <v>1.0021575113884751</v>
      </c>
      <c r="F593" s="327">
        <f t="shared" si="279"/>
        <v>6.5629863180537679E-2</v>
      </c>
      <c r="G593" s="326">
        <f t="shared" si="280"/>
        <v>1</v>
      </c>
      <c r="H593" s="327">
        <f t="shared" si="281"/>
        <v>0</v>
      </c>
      <c r="I593" s="325">
        <f t="shared" si="282"/>
        <v>248577.02647338191</v>
      </c>
      <c r="J593" s="328">
        <f t="shared" si="283"/>
        <v>1.5707923038969878</v>
      </c>
      <c r="K593" s="336">
        <f t="shared" si="273"/>
        <v>19.870915754416494</v>
      </c>
      <c r="L593" s="337">
        <f t="shared" si="274"/>
        <v>1.5204502535771458</v>
      </c>
      <c r="M593" s="325">
        <f t="shared" si="284"/>
        <v>1.3623995977665466</v>
      </c>
      <c r="N593" s="337">
        <f t="shared" si="285"/>
        <v>0.7466046598451227</v>
      </c>
      <c r="O593" s="343">
        <f t="shared" si="286"/>
        <v>1.3594840534865722</v>
      </c>
      <c r="P593" s="691">
        <f t="shared" si="287"/>
        <v>0.74428395261377089</v>
      </c>
      <c r="Q593" s="336">
        <f t="shared" si="302"/>
        <v>7.6273175849309611</v>
      </c>
      <c r="R593" s="692">
        <f t="shared" si="288"/>
        <v>1.0007048702862487</v>
      </c>
      <c r="S593" s="329">
        <f t="shared" si="289"/>
        <v>0.99337525048074704</v>
      </c>
      <c r="T593" s="330">
        <f t="shared" si="290"/>
        <v>1.1679024102920943</v>
      </c>
      <c r="U593" s="331">
        <f t="shared" si="291"/>
        <v>-26.140987571501284</v>
      </c>
      <c r="V593" s="332">
        <f t="shared" si="292"/>
        <v>-212.92916193881925</v>
      </c>
      <c r="W593" s="334">
        <f t="shared" si="293"/>
        <v>-32.929161938819249</v>
      </c>
      <c r="Y593" s="307">
        <f t="shared" si="294"/>
        <v>158490</v>
      </c>
      <c r="Z593" s="307">
        <f t="shared" si="295"/>
        <v>25119080100</v>
      </c>
      <c r="AB593" s="333">
        <f t="shared" si="296"/>
        <v>13.076272136059931</v>
      </c>
      <c r="AC593" s="334">
        <f t="shared" si="297"/>
        <v>-45.661683041464222</v>
      </c>
      <c r="AE593" s="333">
        <f t="shared" si="298"/>
        <v>-12.196105639207808</v>
      </c>
      <c r="AF593" s="334">
        <f t="shared" si="299"/>
        <v>-152.5756425190626</v>
      </c>
      <c r="AH593">
        <f t="shared" si="300"/>
        <v>0</v>
      </c>
      <c r="AI593">
        <f t="shared" si="275"/>
        <v>0</v>
      </c>
    </row>
    <row r="594" spans="1:35" x14ac:dyDescent="0.25">
      <c r="A594" s="335">
        <v>173780</v>
      </c>
      <c r="B594" s="352">
        <f t="shared" si="301"/>
        <v>173.78</v>
      </c>
      <c r="C594" s="325">
        <f t="shared" si="276"/>
        <v>108.33138373509833</v>
      </c>
      <c r="D594" s="326">
        <f t="shared" si="277"/>
        <v>1.5615652603415733</v>
      </c>
      <c r="E594" s="326">
        <f t="shared" si="278"/>
        <v>1.0025933099813022</v>
      </c>
      <c r="F594" s="327">
        <f t="shared" si="279"/>
        <v>7.1940502848897123E-2</v>
      </c>
      <c r="G594" s="326">
        <f t="shared" si="280"/>
        <v>1</v>
      </c>
      <c r="H594" s="327">
        <f t="shared" si="281"/>
        <v>0</v>
      </c>
      <c r="I594" s="325">
        <f t="shared" si="282"/>
        <v>272557.98889826174</v>
      </c>
      <c r="J594" s="328">
        <f t="shared" si="283"/>
        <v>1.5707926578508893</v>
      </c>
      <c r="K594" s="336">
        <f t="shared" si="273"/>
        <v>21.783279991208598</v>
      </c>
      <c r="L594" s="337">
        <f t="shared" si="274"/>
        <v>1.5248734183766646</v>
      </c>
      <c r="M594" s="325">
        <f t="shared" si="284"/>
        <v>1.424530810248734</v>
      </c>
      <c r="N594" s="337">
        <f t="shared" si="285"/>
        <v>0.79261474522588748</v>
      </c>
      <c r="O594" s="343">
        <f t="shared" si="286"/>
        <v>1.4211781111454627</v>
      </c>
      <c r="P594" s="691">
        <f t="shared" si="287"/>
        <v>0.79028677965398197</v>
      </c>
      <c r="Q594" s="336">
        <f t="shared" si="302"/>
        <v>8.1515823006195856</v>
      </c>
      <c r="R594" s="692">
        <f t="shared" si="288"/>
        <v>1.0425671699555583</v>
      </c>
      <c r="S594" s="329">
        <f t="shared" si="289"/>
        <v>1.0367043840292942</v>
      </c>
      <c r="T594" s="330">
        <f t="shared" si="290"/>
        <v>1.3113056637318439</v>
      </c>
      <c r="U594" s="331">
        <f t="shared" si="291"/>
        <v>-27.88903836941731</v>
      </c>
      <c r="V594" s="332">
        <f t="shared" si="292"/>
        <v>-222.98055202055474</v>
      </c>
      <c r="W594" s="334">
        <f t="shared" si="293"/>
        <v>-42.98055202055474</v>
      </c>
      <c r="Y594" s="307">
        <f t="shared" si="294"/>
        <v>173780</v>
      </c>
      <c r="Z594" s="307">
        <f t="shared" si="295"/>
        <v>30199488400</v>
      </c>
      <c r="AB594" s="333">
        <f t="shared" si="296"/>
        <v>12.687074618349424</v>
      </c>
      <c r="AC594" s="334">
        <f t="shared" si="297"/>
        <v>-48.044458356502773</v>
      </c>
      <c r="AE594" s="333">
        <f t="shared" si="298"/>
        <v>-13.363045006034875</v>
      </c>
      <c r="AF594" s="334">
        <f t="shared" si="299"/>
        <v>-160.48149202934172</v>
      </c>
      <c r="AH594">
        <f t="shared" si="300"/>
        <v>0</v>
      </c>
      <c r="AI594">
        <f t="shared" si="275"/>
        <v>0</v>
      </c>
    </row>
    <row r="595" spans="1:35" x14ac:dyDescent="0.25">
      <c r="A595" s="335">
        <v>190550</v>
      </c>
      <c r="B595" s="352">
        <f t="shared" si="301"/>
        <v>190.55</v>
      </c>
      <c r="C595" s="325">
        <f t="shared" si="276"/>
        <v>118.78465404177186</v>
      </c>
      <c r="D595" s="326">
        <f t="shared" si="277"/>
        <v>1.5623776314628279</v>
      </c>
      <c r="E595" s="326">
        <f t="shared" si="278"/>
        <v>1.0031171604798217</v>
      </c>
      <c r="F595" s="327">
        <f t="shared" si="279"/>
        <v>7.8855370378897421E-2</v>
      </c>
      <c r="G595" s="326">
        <f t="shared" si="280"/>
        <v>1</v>
      </c>
      <c r="H595" s="327">
        <f t="shared" si="281"/>
        <v>0</v>
      </c>
      <c r="I595" s="325">
        <f t="shared" si="282"/>
        <v>298860.19556050724</v>
      </c>
      <c r="J595" s="328">
        <f t="shared" si="283"/>
        <v>1.5707929807487693</v>
      </c>
      <c r="K595" s="336">
        <f t="shared" si="273"/>
        <v>23.881159842729659</v>
      </c>
      <c r="L595" s="337">
        <f t="shared" si="274"/>
        <v>1.5289100668206426</v>
      </c>
      <c r="M595" s="325">
        <f t="shared" si="284"/>
        <v>1.4958370880331398</v>
      </c>
      <c r="N595" s="337">
        <f t="shared" si="285"/>
        <v>0.83857670154569719</v>
      </c>
      <c r="O595" s="343">
        <f t="shared" si="286"/>
        <v>1.491997834655534</v>
      </c>
      <c r="P595" s="691">
        <f t="shared" si="287"/>
        <v>0.83626115467578432</v>
      </c>
      <c r="Q595" s="336">
        <f t="shared" si="302"/>
        <v>8.7405347452613444</v>
      </c>
      <c r="R595" s="692">
        <f t="shared" si="288"/>
        <v>1.0827175267503295</v>
      </c>
      <c r="S595" s="329">
        <f t="shared" si="289"/>
        <v>1.1049563695418225</v>
      </c>
      <c r="T595" s="330">
        <f t="shared" si="290"/>
        <v>1.4642484267573845</v>
      </c>
      <c r="U595" s="331">
        <f t="shared" si="291"/>
        <v>-29.847743475645807</v>
      </c>
      <c r="V595" s="332">
        <f t="shared" si="292"/>
        <v>-233.46234960479137</v>
      </c>
      <c r="W595" s="334">
        <f t="shared" si="293"/>
        <v>-53.46234960479137</v>
      </c>
      <c r="Y595" s="307">
        <f t="shared" si="294"/>
        <v>190550</v>
      </c>
      <c r="Z595" s="307">
        <f t="shared" si="295"/>
        <v>36309302500</v>
      </c>
      <c r="AB595" s="333">
        <f t="shared" si="296"/>
        <v>12.261285244184117</v>
      </c>
      <c r="AC595" s="334">
        <f t="shared" si="297"/>
        <v>-50.446620056005131</v>
      </c>
      <c r="AE595" s="333">
        <f t="shared" si="298"/>
        <v>-14.712432679112496</v>
      </c>
      <c r="AF595" s="334">
        <f t="shared" si="299"/>
        <v>-168.89481957867346</v>
      </c>
      <c r="AH595">
        <f t="shared" si="300"/>
        <v>0</v>
      </c>
      <c r="AI595">
        <f t="shared" si="275"/>
        <v>0</v>
      </c>
    </row>
    <row r="596" spans="1:35" x14ac:dyDescent="0.25">
      <c r="A596" s="335">
        <v>208930</v>
      </c>
      <c r="B596" s="352">
        <f t="shared" si="301"/>
        <v>208.93</v>
      </c>
      <c r="C596" s="325">
        <f t="shared" si="276"/>
        <v>130.24156305871648</v>
      </c>
      <c r="D596" s="326">
        <f t="shared" si="277"/>
        <v>1.5631182108220851</v>
      </c>
      <c r="E596" s="326">
        <f t="shared" si="278"/>
        <v>1.0037463338344141</v>
      </c>
      <c r="F596" s="327">
        <f t="shared" si="279"/>
        <v>8.6425404313002219E-2</v>
      </c>
      <c r="G596" s="326">
        <f t="shared" si="280"/>
        <v>1</v>
      </c>
      <c r="H596" s="327">
        <f t="shared" si="281"/>
        <v>0</v>
      </c>
      <c r="I596" s="325">
        <f t="shared" si="282"/>
        <v>327687.5395350196</v>
      </c>
      <c r="J596" s="328">
        <f t="shared" si="283"/>
        <v>1.5707932751072999</v>
      </c>
      <c r="K596" s="336">
        <f t="shared" si="273"/>
        <v>26.180818057807965</v>
      </c>
      <c r="L596" s="337">
        <f t="shared" si="274"/>
        <v>1.5325911296894192</v>
      </c>
      <c r="M596" s="325">
        <f t="shared" si="284"/>
        <v>1.577270041113741</v>
      </c>
      <c r="N596" s="337">
        <f t="shared" si="285"/>
        <v>0.88407274790601487</v>
      </c>
      <c r="O596" s="343">
        <f t="shared" si="286"/>
        <v>1.57289225895781</v>
      </c>
      <c r="P596" s="691">
        <f t="shared" si="287"/>
        <v>0.88178876485254898</v>
      </c>
      <c r="Q596" s="336">
        <f t="shared" si="302"/>
        <v>9.3996249685230318</v>
      </c>
      <c r="R596" s="692">
        <f t="shared" si="288"/>
        <v>1.1209755435872095</v>
      </c>
      <c r="S596" s="329">
        <f t="shared" si="289"/>
        <v>1.2062082033496782</v>
      </c>
      <c r="T596" s="330">
        <f t="shared" si="290"/>
        <v>1.6213470640155576</v>
      </c>
      <c r="U596" s="331">
        <f t="shared" si="291"/>
        <v>-32.038176482508398</v>
      </c>
      <c r="V596" s="332">
        <f t="shared" si="292"/>
        <v>-244.05146149835028</v>
      </c>
      <c r="W596" s="334">
        <f t="shared" si="293"/>
        <v>-64.051461498350278</v>
      </c>
      <c r="Y596" s="307">
        <f t="shared" si="294"/>
        <v>208930</v>
      </c>
      <c r="Z596" s="307">
        <f t="shared" si="295"/>
        <v>43651744900</v>
      </c>
      <c r="AB596" s="333">
        <f t="shared" si="296"/>
        <v>11.79956901640643</v>
      </c>
      <c r="AC596" s="334">
        <f t="shared" si="297"/>
        <v>-52.842458998718747</v>
      </c>
      <c r="AE596" s="333">
        <f t="shared" si="298"/>
        <v>-16.268314648789872</v>
      </c>
      <c r="AF596" s="334">
        <f t="shared" si="299"/>
        <v>-177.50460954714649</v>
      </c>
      <c r="AH596">
        <f t="shared" si="300"/>
        <v>0</v>
      </c>
      <c r="AI596">
        <f t="shared" si="275"/>
        <v>0</v>
      </c>
    </row>
    <row r="597" spans="1:35" x14ac:dyDescent="0.25">
      <c r="A597" s="335">
        <v>229090</v>
      </c>
      <c r="B597" s="352">
        <f t="shared" si="301"/>
        <v>229.09</v>
      </c>
      <c r="C597" s="325">
        <f t="shared" si="276"/>
        <v>142.80807783570285</v>
      </c>
      <c r="D597" s="326">
        <f t="shared" si="277"/>
        <v>1.5637938645559599</v>
      </c>
      <c r="E597" s="326">
        <f t="shared" si="278"/>
        <v>1.0045024953196706</v>
      </c>
      <c r="F597" s="327">
        <f t="shared" si="279"/>
        <v>9.471711834763584E-2</v>
      </c>
      <c r="G597" s="326">
        <f t="shared" si="280"/>
        <v>1</v>
      </c>
      <c r="H597" s="327">
        <f t="shared" si="281"/>
        <v>0</v>
      </c>
      <c r="I597" s="325">
        <f t="shared" si="282"/>
        <v>359306.65022743901</v>
      </c>
      <c r="J597" s="328">
        <f t="shared" si="283"/>
        <v>1.5707935436568741</v>
      </c>
      <c r="K597" s="336">
        <f t="shared" si="273"/>
        <v>28.70352470059613</v>
      </c>
      <c r="L597" s="337">
        <f t="shared" si="274"/>
        <v>1.5359503483721311</v>
      </c>
      <c r="M597" s="325">
        <f t="shared" si="284"/>
        <v>1.6699550323211756</v>
      </c>
      <c r="N597" s="337">
        <f t="shared" si="285"/>
        <v>0.92877125222332224</v>
      </c>
      <c r="O597" s="343">
        <f t="shared" si="286"/>
        <v>1.6649832749302218</v>
      </c>
      <c r="P597" s="691">
        <f t="shared" si="287"/>
        <v>0.9265367099954146</v>
      </c>
      <c r="Q597" s="336">
        <f t="shared" si="302"/>
        <v>10.135696939499237</v>
      </c>
      <c r="R597" s="692">
        <f t="shared" si="288"/>
        <v>1.1572716434048365</v>
      </c>
      <c r="S597" s="329">
        <f t="shared" si="289"/>
        <v>1.3493469711588888</v>
      </c>
      <c r="T597" s="330">
        <f t="shared" si="290"/>
        <v>1.7764696905061426</v>
      </c>
      <c r="U597" s="331">
        <f t="shared" si="291"/>
        <v>-34.46341068396633</v>
      </c>
      <c r="V597" s="332">
        <f t="shared" si="292"/>
        <v>-254.38729211877666</v>
      </c>
      <c r="W597" s="334">
        <f t="shared" si="293"/>
        <v>-74.387292118776656</v>
      </c>
      <c r="Y597" s="307">
        <f t="shared" si="294"/>
        <v>229090</v>
      </c>
      <c r="Z597" s="307">
        <f t="shared" si="295"/>
        <v>52482228100</v>
      </c>
      <c r="AB597" s="333">
        <f t="shared" si="296"/>
        <v>11.302528354771393</v>
      </c>
      <c r="AC597" s="334">
        <f t="shared" si="297"/>
        <v>-55.211040983130552</v>
      </c>
      <c r="AE597" s="333">
        <f t="shared" si="298"/>
        <v>-18.035864387490122</v>
      </c>
      <c r="AF597" s="334">
        <f t="shared" si="299"/>
        <v>-185.95611324994789</v>
      </c>
      <c r="AH597">
        <f t="shared" si="300"/>
        <v>0</v>
      </c>
      <c r="AI597">
        <f t="shared" si="275"/>
        <v>0</v>
      </c>
    </row>
    <row r="598" spans="1:35" x14ac:dyDescent="0.25">
      <c r="A598" s="335">
        <v>251190</v>
      </c>
      <c r="B598" s="352">
        <f t="shared" si="301"/>
        <v>251.19</v>
      </c>
      <c r="C598" s="325">
        <f t="shared" si="276"/>
        <v>156.5839326281332</v>
      </c>
      <c r="D598" s="326">
        <f t="shared" si="277"/>
        <v>1.5644099320932121</v>
      </c>
      <c r="E598" s="326">
        <f t="shared" si="278"/>
        <v>1.0054106442862891</v>
      </c>
      <c r="F598" s="327">
        <f t="shared" si="279"/>
        <v>0.10379171935320551</v>
      </c>
      <c r="G598" s="326">
        <f t="shared" si="280"/>
        <v>1</v>
      </c>
      <c r="H598" s="327">
        <f t="shared" si="281"/>
        <v>0</v>
      </c>
      <c r="I598" s="325">
        <f t="shared" si="282"/>
        <v>393968.47296072112</v>
      </c>
      <c r="J598" s="328">
        <f t="shared" si="283"/>
        <v>1.5707937885207233</v>
      </c>
      <c r="K598" s="336">
        <f t="shared" si="273"/>
        <v>31.469301417869371</v>
      </c>
      <c r="L598" s="337">
        <f t="shared" si="274"/>
        <v>1.5390139761309876</v>
      </c>
      <c r="M598" s="325">
        <f t="shared" si="284"/>
        <v>1.7749683887570737</v>
      </c>
      <c r="N598" s="337">
        <f t="shared" si="285"/>
        <v>0.97231269116890573</v>
      </c>
      <c r="O598" s="343">
        <f t="shared" si="286"/>
        <v>1.769344222639085</v>
      </c>
      <c r="P598" s="691">
        <f t="shared" si="287"/>
        <v>0.97014350685090234</v>
      </c>
      <c r="Q598" s="336">
        <f t="shared" si="302"/>
        <v>10.955219440054572</v>
      </c>
      <c r="R598" s="692">
        <f t="shared" si="288"/>
        <v>1.191534295587068</v>
      </c>
      <c r="S598" s="329">
        <f t="shared" si="289"/>
        <v>1.543484669575649</v>
      </c>
      <c r="T598" s="330">
        <f t="shared" si="290"/>
        <v>1.9237573577033653</v>
      </c>
      <c r="U598" s="331">
        <f t="shared" si="291"/>
        <v>-37.100927495874025</v>
      </c>
      <c r="V598" s="332">
        <f t="shared" si="292"/>
        <v>-264.12545728768254</v>
      </c>
      <c r="W598" s="334">
        <f t="shared" si="293"/>
        <v>-84.125457287682536</v>
      </c>
      <c r="Y598" s="307">
        <f t="shared" si="294"/>
        <v>251190</v>
      </c>
      <c r="Z598" s="307">
        <f t="shared" si="295"/>
        <v>63096416100</v>
      </c>
      <c r="AB598" s="333">
        <f t="shared" si="296"/>
        <v>10.771924603847722</v>
      </c>
      <c r="AC598" s="334">
        <f t="shared" si="297"/>
        <v>-57.530262760372665</v>
      </c>
      <c r="AE598" s="333">
        <f t="shared" si="298"/>
        <v>-19.99547729588064</v>
      </c>
      <c r="AF598" s="334">
        <f t="shared" si="299"/>
        <v>-193.91043669516063</v>
      </c>
      <c r="AH598">
        <f t="shared" si="300"/>
        <v>0</v>
      </c>
      <c r="AI598">
        <f t="shared" si="275"/>
        <v>0</v>
      </c>
    </row>
    <row r="599" spans="1:35" x14ac:dyDescent="0.25">
      <c r="A599" s="335">
        <v>275420</v>
      </c>
      <c r="B599" s="352">
        <f t="shared" si="301"/>
        <v>275.42</v>
      </c>
      <c r="C599" s="325">
        <f t="shared" si="276"/>
        <v>171.68756236138628</v>
      </c>
      <c r="D599" s="326">
        <f t="shared" si="277"/>
        <v>1.5649717601196456</v>
      </c>
      <c r="E599" s="326">
        <f t="shared" si="278"/>
        <v>1.0065012836224447</v>
      </c>
      <c r="F599" s="327">
        <f t="shared" si="279"/>
        <v>0.11372120019462231</v>
      </c>
      <c r="G599" s="326">
        <f t="shared" si="280"/>
        <v>1</v>
      </c>
      <c r="H599" s="327">
        <f t="shared" si="281"/>
        <v>0</v>
      </c>
      <c r="I599" s="325">
        <f t="shared" si="282"/>
        <v>431971.00530587608</v>
      </c>
      <c r="J599" s="328">
        <f t="shared" si="283"/>
        <v>1.5707940118247072</v>
      </c>
      <c r="K599" s="336">
        <f t="shared" ref="K599:K613" si="303">SQRT(1+(A599/Zero2)^2)</f>
        <v>34.50192633823027</v>
      </c>
      <c r="L599" s="337">
        <f t="shared" ref="L599:L613" si="304">ATAN(A599/Zero2)</f>
        <v>1.5418083782925573</v>
      </c>
      <c r="M599" s="325">
        <f t="shared" si="284"/>
        <v>1.8935160977261116</v>
      </c>
      <c r="N599" s="337">
        <f t="shared" si="285"/>
        <v>1.0144135312365961</v>
      </c>
      <c r="O599" s="343">
        <f t="shared" si="286"/>
        <v>1.8871773283120832</v>
      </c>
      <c r="P599" s="691">
        <f t="shared" si="287"/>
        <v>1.0123232207328621</v>
      </c>
      <c r="Q599" s="336">
        <f t="shared" si="302"/>
        <v>11.865748567769206</v>
      </c>
      <c r="R599" s="692">
        <f t="shared" si="288"/>
        <v>1.2237615078884003</v>
      </c>
      <c r="S599" s="329">
        <f t="shared" si="289"/>
        <v>1.7982376113240293</v>
      </c>
      <c r="T599" s="330">
        <f t="shared" si="290"/>
        <v>2.0591427359830883</v>
      </c>
      <c r="U599" s="331">
        <f t="shared" si="291"/>
        <v>-39.914017258791091</v>
      </c>
      <c r="V599" s="332">
        <f t="shared" si="292"/>
        <v>-273.02761056874488</v>
      </c>
      <c r="W599" s="334">
        <f t="shared" si="293"/>
        <v>-93.027610568744876</v>
      </c>
      <c r="Y599" s="307">
        <f t="shared" si="294"/>
        <v>275420</v>
      </c>
      <c r="Z599" s="307">
        <f t="shared" si="295"/>
        <v>75856176400</v>
      </c>
      <c r="AB599" s="333">
        <f t="shared" si="296"/>
        <v>10.209619297543938</v>
      </c>
      <c r="AC599" s="334">
        <f t="shared" si="297"/>
        <v>-59.782368557035618</v>
      </c>
      <c r="AE599" s="333">
        <f t="shared" si="298"/>
        <v>-22.112788109476146</v>
      </c>
      <c r="AF599" s="334">
        <f t="shared" si="299"/>
        <v>-201.13072051637886</v>
      </c>
      <c r="AH599">
        <f t="shared" si="300"/>
        <v>0</v>
      </c>
      <c r="AI599">
        <f t="shared" si="275"/>
        <v>0</v>
      </c>
    </row>
    <row r="600" spans="1:35" x14ac:dyDescent="0.25">
      <c r="A600" s="335">
        <v>302000</v>
      </c>
      <c r="B600" s="352">
        <f t="shared" si="301"/>
        <v>302</v>
      </c>
      <c r="C600" s="325">
        <f t="shared" si="276"/>
        <v>188.2561027875773</v>
      </c>
      <c r="D600" s="326">
        <f t="shared" si="277"/>
        <v>1.5654843890250791</v>
      </c>
      <c r="E600" s="326">
        <f t="shared" si="278"/>
        <v>1.0078115737865976</v>
      </c>
      <c r="F600" s="327">
        <f t="shared" si="279"/>
        <v>0.12458779948412006</v>
      </c>
      <c r="G600" s="326">
        <f t="shared" si="280"/>
        <v>1</v>
      </c>
      <c r="H600" s="327">
        <f t="shared" si="281"/>
        <v>0</v>
      </c>
      <c r="I600" s="325">
        <f t="shared" si="282"/>
        <v>473659.29708196846</v>
      </c>
      <c r="J600" s="328">
        <f t="shared" si="283"/>
        <v>1.5707942155727457</v>
      </c>
      <c r="K600" s="336">
        <f t="shared" si="303"/>
        <v>37.828934858352959</v>
      </c>
      <c r="L600" s="337">
        <f t="shared" si="304"/>
        <v>1.5443584557115677</v>
      </c>
      <c r="M600" s="325">
        <f t="shared" si="284"/>
        <v>2.0269441304333857</v>
      </c>
      <c r="N600" s="337">
        <f t="shared" si="285"/>
        <v>1.0548554037693831</v>
      </c>
      <c r="O600" s="343">
        <f t="shared" si="286"/>
        <v>2.0198239493630856</v>
      </c>
      <c r="P600" s="691">
        <f t="shared" si="287"/>
        <v>1.0528548572168501</v>
      </c>
      <c r="Q600" s="336">
        <f t="shared" si="302"/>
        <v>12.875980698899218</v>
      </c>
      <c r="R600" s="692">
        <f t="shared" si="288"/>
        <v>1.2539972224901681</v>
      </c>
      <c r="S600" s="329">
        <f t="shared" si="289"/>
        <v>2.1242592209217848</v>
      </c>
      <c r="T600" s="330">
        <f t="shared" si="290"/>
        <v>2.1806698610200099</v>
      </c>
      <c r="U600" s="331">
        <f t="shared" si="291"/>
        <v>-42.861887272605827</v>
      </c>
      <c r="V600" s="332">
        <f t="shared" si="292"/>
        <v>-280.97850187664295</v>
      </c>
      <c r="W600" s="334">
        <f t="shared" si="293"/>
        <v>-100.97850187664295</v>
      </c>
      <c r="Y600" s="307">
        <f t="shared" si="294"/>
        <v>302000</v>
      </c>
      <c r="Z600" s="307">
        <f t="shared" si="295"/>
        <v>91204000000</v>
      </c>
      <c r="AB600" s="333">
        <f t="shared" si="296"/>
        <v>9.6175497760688522</v>
      </c>
      <c r="AC600" s="334">
        <f t="shared" si="297"/>
        <v>-61.953420171612947</v>
      </c>
      <c r="AE600" s="333">
        <f t="shared" si="298"/>
        <v>-24.348901229808803</v>
      </c>
      <c r="AF600" s="334">
        <f t="shared" si="299"/>
        <v>-207.50047308042127</v>
      </c>
      <c r="AH600">
        <f t="shared" si="300"/>
        <v>0</v>
      </c>
      <c r="AI600">
        <f t="shared" si="275"/>
        <v>0</v>
      </c>
    </row>
    <row r="601" spans="1:35" x14ac:dyDescent="0.25">
      <c r="A601" s="335">
        <v>331130</v>
      </c>
      <c r="B601" s="352">
        <f t="shared" si="301"/>
        <v>331.13</v>
      </c>
      <c r="C601" s="325">
        <f t="shared" si="276"/>
        <v>206.41422313256498</v>
      </c>
      <c r="D601" s="326">
        <f t="shared" si="277"/>
        <v>1.5659516804493061</v>
      </c>
      <c r="E601" s="326">
        <f t="shared" si="278"/>
        <v>1.0093838650687406</v>
      </c>
      <c r="F601" s="327">
        <f t="shared" si="279"/>
        <v>0.13646294104811516</v>
      </c>
      <c r="G601" s="326">
        <f t="shared" si="280"/>
        <v>1</v>
      </c>
      <c r="H601" s="327">
        <f t="shared" si="281"/>
        <v>0</v>
      </c>
      <c r="I601" s="325">
        <f t="shared" si="282"/>
        <v>519347.02994269342</v>
      </c>
      <c r="J601" s="328">
        <f t="shared" si="283"/>
        <v>1.5707944013001074</v>
      </c>
      <c r="K601" s="336">
        <f t="shared" si="303"/>
        <v>41.475360938956499</v>
      </c>
      <c r="L601" s="337">
        <f t="shared" si="304"/>
        <v>1.5466832897927227</v>
      </c>
      <c r="M601" s="325">
        <f t="shared" si="284"/>
        <v>2.1764873547683607</v>
      </c>
      <c r="N601" s="337">
        <f t="shared" si="285"/>
        <v>1.093413789715971</v>
      </c>
      <c r="O601" s="343">
        <f t="shared" si="286"/>
        <v>2.1685148916128973</v>
      </c>
      <c r="P601" s="691">
        <f t="shared" si="287"/>
        <v>1.0915110606223981</v>
      </c>
      <c r="Q601" s="336">
        <f t="shared" si="302"/>
        <v>13.993861698575685</v>
      </c>
      <c r="R601" s="692">
        <f t="shared" si="288"/>
        <v>1.2822695503124342</v>
      </c>
      <c r="S601" s="329">
        <f t="shared" si="289"/>
        <v>2.5332479163537198</v>
      </c>
      <c r="T601" s="330">
        <f t="shared" si="290"/>
        <v>2.287948750741982</v>
      </c>
      <c r="U601" s="331">
        <f t="shared" si="291"/>
        <v>-45.902526971919848</v>
      </c>
      <c r="V601" s="332">
        <f t="shared" si="292"/>
        <v>-287.95259582434454</v>
      </c>
      <c r="W601" s="334">
        <f t="shared" si="293"/>
        <v>-107.95259582434454</v>
      </c>
      <c r="Y601" s="307">
        <f t="shared" si="294"/>
        <v>331130</v>
      </c>
      <c r="Z601" s="307">
        <f t="shared" si="295"/>
        <v>109647076900</v>
      </c>
      <c r="AB601" s="333">
        <f t="shared" si="296"/>
        <v>8.9987518719756476</v>
      </c>
      <c r="AC601" s="334">
        <f t="shared" si="297"/>
        <v>-64.029460414036805</v>
      </c>
      <c r="AE601" s="333">
        <f t="shared" si="298"/>
        <v>-26.664575645683655</v>
      </c>
      <c r="AF601" s="334">
        <f t="shared" si="299"/>
        <v>-212.99347903228991</v>
      </c>
      <c r="AH601">
        <f t="shared" si="300"/>
        <v>0</v>
      </c>
      <c r="AI601">
        <f t="shared" si="275"/>
        <v>0</v>
      </c>
    </row>
    <row r="602" spans="1:35" x14ac:dyDescent="0.25">
      <c r="A602" s="335">
        <v>363080</v>
      </c>
      <c r="B602" s="352">
        <f t="shared" si="301"/>
        <v>363.08</v>
      </c>
      <c r="C602" s="325">
        <f t="shared" si="276"/>
        <v>226.33022728033058</v>
      </c>
      <c r="D602" s="326">
        <f t="shared" si="277"/>
        <v>1.5663779896348935</v>
      </c>
      <c r="E602" s="326">
        <f t="shared" si="278"/>
        <v>1.0112714960086755</v>
      </c>
      <c r="F602" s="327">
        <f t="shared" si="279"/>
        <v>0.14944318147847585</v>
      </c>
      <c r="G602" s="326">
        <f t="shared" si="280"/>
        <v>1</v>
      </c>
      <c r="H602" s="327">
        <f t="shared" si="281"/>
        <v>0</v>
      </c>
      <c r="I602" s="325">
        <f t="shared" si="282"/>
        <v>569457.67412053968</v>
      </c>
      <c r="J602" s="328">
        <f t="shared" si="283"/>
        <v>1.5707945707381334</v>
      </c>
      <c r="K602" s="336">
        <f t="shared" si="303"/>
        <v>45.475002532390832</v>
      </c>
      <c r="L602" s="337">
        <f t="shared" si="304"/>
        <v>1.5488044509079852</v>
      </c>
      <c r="M602" s="325">
        <f t="shared" si="284"/>
        <v>2.3437272956860218</v>
      </c>
      <c r="N602" s="337">
        <f t="shared" si="285"/>
        <v>1.1299878462470825</v>
      </c>
      <c r="O602" s="343">
        <f t="shared" si="286"/>
        <v>2.334825480189918</v>
      </c>
      <c r="P602" s="691">
        <f t="shared" si="287"/>
        <v>1.1281884045335886</v>
      </c>
      <c r="Q602" s="336">
        <f t="shared" si="302"/>
        <v>15.230032473498751</v>
      </c>
      <c r="R602" s="692">
        <f t="shared" si="288"/>
        <v>1.3086812041558378</v>
      </c>
      <c r="S602" s="329">
        <f t="shared" si="289"/>
        <v>3.0398079382703975</v>
      </c>
      <c r="T602" s="330">
        <f t="shared" si="290"/>
        <v>2.3819146481331002</v>
      </c>
      <c r="U602" s="331">
        <f t="shared" si="291"/>
        <v>-49.006594752672534</v>
      </c>
      <c r="V602" s="332">
        <f t="shared" si="292"/>
        <v>-294.00299238604964</v>
      </c>
      <c r="W602" s="334">
        <f t="shared" si="293"/>
        <v>-114.00299238604964</v>
      </c>
      <c r="Y602" s="307">
        <f t="shared" si="294"/>
        <v>363080</v>
      </c>
      <c r="Z602" s="307">
        <f t="shared" si="295"/>
        <v>131827086400</v>
      </c>
      <c r="AB602" s="333">
        <f t="shared" si="296"/>
        <v>8.3553084804905264</v>
      </c>
      <c r="AC602" s="334">
        <f t="shared" si="297"/>
        <v>-66.003475623710003</v>
      </c>
      <c r="AE602" s="333">
        <f t="shared" si="298"/>
        <v>-29.031775303080014</v>
      </c>
      <c r="AF602" s="334">
        <f t="shared" si="299"/>
        <v>-217.6580410996674</v>
      </c>
      <c r="AH602">
        <f t="shared" si="300"/>
        <v>0</v>
      </c>
      <c r="AI602">
        <f t="shared" ref="AI602:AI613" si="305">IF(AH602&gt;0,W602,0)</f>
        <v>0</v>
      </c>
    </row>
    <row r="603" spans="1:35" x14ac:dyDescent="0.25">
      <c r="A603" s="335">
        <v>398110</v>
      </c>
      <c r="B603" s="352">
        <f t="shared" si="301"/>
        <v>398.11</v>
      </c>
      <c r="C603" s="325">
        <f t="shared" si="276"/>
        <v>248.16618601393003</v>
      </c>
      <c r="D603" s="326">
        <f t="shared" si="277"/>
        <v>1.5667667580518514</v>
      </c>
      <c r="E603" s="326">
        <f t="shared" si="278"/>
        <v>1.0135361249415928</v>
      </c>
      <c r="F603" s="327">
        <f t="shared" si="279"/>
        <v>0.16361649787982657</v>
      </c>
      <c r="G603" s="326">
        <f t="shared" si="280"/>
        <v>1</v>
      </c>
      <c r="H603" s="327">
        <f t="shared" si="281"/>
        <v>0</v>
      </c>
      <c r="I603" s="325">
        <f t="shared" si="282"/>
        <v>624399.01576531143</v>
      </c>
      <c r="J603" s="328">
        <f t="shared" si="283"/>
        <v>1.5707947252548962</v>
      </c>
      <c r="K603" s="336">
        <f t="shared" si="303"/>
        <v>49.860407679027283</v>
      </c>
      <c r="L603" s="337">
        <f t="shared" si="304"/>
        <v>1.5507389887351424</v>
      </c>
      <c r="M603" s="325">
        <f t="shared" si="284"/>
        <v>2.5301901710312791</v>
      </c>
      <c r="N603" s="337">
        <f t="shared" si="285"/>
        <v>1.1644811415289955</v>
      </c>
      <c r="O603" s="343">
        <f t="shared" si="286"/>
        <v>2.5202759138143027</v>
      </c>
      <c r="P603" s="691">
        <f t="shared" si="287"/>
        <v>1.1627879785436381</v>
      </c>
      <c r="Q603" s="336">
        <f t="shared" si="302"/>
        <v>16.594788898134535</v>
      </c>
      <c r="R603" s="692">
        <f t="shared" si="288"/>
        <v>1.3333176573078056</v>
      </c>
      <c r="S603" s="329">
        <f t="shared" si="289"/>
        <v>3.6611030373608004</v>
      </c>
      <c r="T603" s="330">
        <f t="shared" si="290"/>
        <v>2.4639150813621118</v>
      </c>
      <c r="U603" s="331">
        <f t="shared" si="291"/>
        <v>-52.149302318021412</v>
      </c>
      <c r="V603" s="332">
        <f t="shared" si="292"/>
        <v>-299.20611817781958</v>
      </c>
      <c r="W603" s="334">
        <f t="shared" si="293"/>
        <v>-119.20611817781958</v>
      </c>
      <c r="Y603" s="307">
        <f t="shared" si="294"/>
        <v>398110</v>
      </c>
      <c r="Z603" s="307">
        <f t="shared" si="295"/>
        <v>158491572100</v>
      </c>
      <c r="AB603" s="333">
        <f t="shared" si="296"/>
        <v>7.6900334211551211</v>
      </c>
      <c r="AC603" s="334">
        <f t="shared" si="297"/>
        <v>-67.868963867347603</v>
      </c>
      <c r="AE603" s="333">
        <f t="shared" si="298"/>
        <v>-31.427663048222236</v>
      </c>
      <c r="AF603" s="334">
        <f t="shared" si="299"/>
        <v>-221.56652342439895</v>
      </c>
      <c r="AH603">
        <f t="shared" si="300"/>
        <v>0</v>
      </c>
      <c r="AI603">
        <f t="shared" si="305"/>
        <v>0</v>
      </c>
    </row>
    <row r="604" spans="1:35" x14ac:dyDescent="0.25">
      <c r="A604" s="335">
        <v>436520</v>
      </c>
      <c r="B604" s="352">
        <f t="shared" si="301"/>
        <v>436.52</v>
      </c>
      <c r="C604" s="325">
        <f t="shared" si="276"/>
        <v>272.10910440036793</v>
      </c>
      <c r="D604" s="326">
        <f t="shared" si="277"/>
        <v>1.5671213220457887</v>
      </c>
      <c r="E604" s="326">
        <f t="shared" si="278"/>
        <v>1.0162521586998725</v>
      </c>
      <c r="F604" s="327">
        <f t="shared" si="279"/>
        <v>0.17908131212841896</v>
      </c>
      <c r="G604" s="326">
        <f t="shared" si="280"/>
        <v>1</v>
      </c>
      <c r="H604" s="327">
        <f t="shared" si="281"/>
        <v>0</v>
      </c>
      <c r="I604" s="325">
        <f t="shared" si="282"/>
        <v>684641.57735755167</v>
      </c>
      <c r="J604" s="328">
        <f t="shared" si="283"/>
        <v>1.5707948661766211</v>
      </c>
      <c r="K604" s="336">
        <f t="shared" si="303"/>
        <v>54.669133377712555</v>
      </c>
      <c r="L604" s="337">
        <f t="shared" si="304"/>
        <v>1.5525034490419112</v>
      </c>
      <c r="M604" s="325">
        <f t="shared" si="284"/>
        <v>2.7376081943355235</v>
      </c>
      <c r="N604" s="337">
        <f t="shared" si="285"/>
        <v>1.1968602142730229</v>
      </c>
      <c r="O604" s="343">
        <f t="shared" si="286"/>
        <v>2.7265910958834718</v>
      </c>
      <c r="P604" s="691">
        <f t="shared" si="287"/>
        <v>1.1952741902939821</v>
      </c>
      <c r="Q604" s="336">
        <f t="shared" si="302"/>
        <v>18.100014327522477</v>
      </c>
      <c r="R604" s="692">
        <f t="shared" si="288"/>
        <v>1.356289039915741</v>
      </c>
      <c r="S604" s="329">
        <f t="shared" si="289"/>
        <v>4.4182707165194186</v>
      </c>
      <c r="T604" s="330">
        <f t="shared" si="290"/>
        <v>2.5354966450816407</v>
      </c>
      <c r="U604" s="331">
        <f t="shared" si="291"/>
        <v>-55.31423583169893</v>
      </c>
      <c r="V604" s="332">
        <f t="shared" si="292"/>
        <v>-303.65062271365139</v>
      </c>
      <c r="W604" s="334">
        <f t="shared" si="293"/>
        <v>-123.65062271365139</v>
      </c>
      <c r="Y604" s="307">
        <f t="shared" si="294"/>
        <v>436520</v>
      </c>
      <c r="Z604" s="307">
        <f t="shared" si="295"/>
        <v>190549710400</v>
      </c>
      <c r="AB604" s="333">
        <f t="shared" si="296"/>
        <v>7.00537695231107</v>
      </c>
      <c r="AC604" s="334">
        <f t="shared" si="297"/>
        <v>-69.623060027655669</v>
      </c>
      <c r="AE604" s="333">
        <f t="shared" si="298"/>
        <v>-33.837234826920032</v>
      </c>
      <c r="AF604" s="334">
        <f t="shared" si="299"/>
        <v>-224.80209135319365</v>
      </c>
      <c r="AH604">
        <f t="shared" si="300"/>
        <v>0</v>
      </c>
      <c r="AI604">
        <f t="shared" si="305"/>
        <v>0</v>
      </c>
    </row>
    <row r="605" spans="1:35" x14ac:dyDescent="0.25">
      <c r="A605" s="335">
        <v>478630</v>
      </c>
      <c r="B605" s="352">
        <f t="shared" si="301"/>
        <v>478.63</v>
      </c>
      <c r="C605" s="325">
        <f t="shared" si="276"/>
        <v>298.35845480760742</v>
      </c>
      <c r="D605" s="326">
        <f t="shared" si="277"/>
        <v>1.5674446474434947</v>
      </c>
      <c r="E605" s="326">
        <f t="shared" si="278"/>
        <v>1.0195075157174451</v>
      </c>
      <c r="F605" s="327">
        <f t="shared" si="279"/>
        <v>0.19593665906977664</v>
      </c>
      <c r="G605" s="326">
        <f t="shared" si="280"/>
        <v>1</v>
      </c>
      <c r="H605" s="327">
        <f t="shared" si="281"/>
        <v>0</v>
      </c>
      <c r="I605" s="325">
        <f t="shared" si="282"/>
        <v>750687.2495431737</v>
      </c>
      <c r="J605" s="328">
        <f t="shared" si="283"/>
        <v>1.5707949946822217</v>
      </c>
      <c r="K605" s="336">
        <f t="shared" si="303"/>
        <v>59.941241895859037</v>
      </c>
      <c r="L605" s="337">
        <f t="shared" si="304"/>
        <v>1.5541125484598741</v>
      </c>
      <c r="M605" s="325">
        <f t="shared" si="284"/>
        <v>2.9678195039635664</v>
      </c>
      <c r="N605" s="337">
        <f t="shared" si="285"/>
        <v>1.2271231758172063</v>
      </c>
      <c r="O605" s="343">
        <f t="shared" si="286"/>
        <v>2.955601149361748</v>
      </c>
      <c r="P605" s="691">
        <f t="shared" si="287"/>
        <v>1.2256433401581843</v>
      </c>
      <c r="Q605" s="336">
        <f t="shared" si="302"/>
        <v>19.758418465886106</v>
      </c>
      <c r="R605" s="692">
        <f t="shared" si="288"/>
        <v>1.3777078620905836</v>
      </c>
      <c r="S605" s="329">
        <f t="shared" si="289"/>
        <v>5.3368482400497372</v>
      </c>
      <c r="T605" s="330">
        <f t="shared" si="290"/>
        <v>2.5981237758752167</v>
      </c>
      <c r="U605" s="331">
        <f t="shared" si="291"/>
        <v>-58.489530179715416</v>
      </c>
      <c r="V605" s="332">
        <f t="shared" si="292"/>
        <v>-307.42061466172566</v>
      </c>
      <c r="W605" s="334">
        <f t="shared" si="293"/>
        <v>-127.42061466172566</v>
      </c>
      <c r="Y605" s="307">
        <f t="shared" si="294"/>
        <v>478630</v>
      </c>
      <c r="Z605" s="307">
        <f t="shared" si="295"/>
        <v>229086676900</v>
      </c>
      <c r="AB605" s="333">
        <f t="shared" si="296"/>
        <v>6.3038086532700035</v>
      </c>
      <c r="AC605" s="334">
        <f t="shared" si="297"/>
        <v>-71.264812758942398</v>
      </c>
      <c r="AE605" s="333">
        <f t="shared" si="298"/>
        <v>-36.250011958548583</v>
      </c>
      <c r="AF605" s="334">
        <f t="shared" si="299"/>
        <v>-227.4431465724266</v>
      </c>
      <c r="AH605">
        <f t="shared" si="300"/>
        <v>0</v>
      </c>
      <c r="AI605">
        <f t="shared" si="305"/>
        <v>0</v>
      </c>
    </row>
    <row r="606" spans="1:35" x14ac:dyDescent="0.25">
      <c r="A606" s="335">
        <v>524810</v>
      </c>
      <c r="B606" s="352">
        <f t="shared" si="301"/>
        <v>524.80999999999995</v>
      </c>
      <c r="C606" s="325">
        <f t="shared" si="276"/>
        <v>327.14487745669044</v>
      </c>
      <c r="D606" s="326">
        <f t="shared" si="277"/>
        <v>1.5677395723530503</v>
      </c>
      <c r="E606" s="326">
        <f t="shared" si="278"/>
        <v>1.0234082151939985</v>
      </c>
      <c r="F606" s="327">
        <f t="shared" si="279"/>
        <v>0.21429201408489248</v>
      </c>
      <c r="G606" s="326">
        <f t="shared" si="280"/>
        <v>1</v>
      </c>
      <c r="H606" s="327">
        <f t="shared" si="281"/>
        <v>0</v>
      </c>
      <c r="I606" s="325">
        <f t="shared" si="282"/>
        <v>823116.34338151431</v>
      </c>
      <c r="J606" s="328">
        <f t="shared" si="283"/>
        <v>1.5707951118998116</v>
      </c>
      <c r="K606" s="336">
        <f t="shared" si="303"/>
        <v>65.723056694575504</v>
      </c>
      <c r="L606" s="337">
        <f t="shared" si="304"/>
        <v>1.5555803791678711</v>
      </c>
      <c r="M606" s="325">
        <f t="shared" si="284"/>
        <v>3.2229362709345</v>
      </c>
      <c r="N606" s="337">
        <f t="shared" si="285"/>
        <v>1.2553129057385597</v>
      </c>
      <c r="O606" s="343">
        <f t="shared" si="286"/>
        <v>3.2094086836574052</v>
      </c>
      <c r="P606" s="691">
        <f t="shared" si="287"/>
        <v>1.2539368937359228</v>
      </c>
      <c r="Q606" s="336">
        <f t="shared" si="302"/>
        <v>21.584729487222837</v>
      </c>
      <c r="R606" s="692">
        <f t="shared" si="288"/>
        <v>1.3976999833691239</v>
      </c>
      <c r="S606" s="329">
        <f t="shared" si="289"/>
        <v>6.4482768172530092</v>
      </c>
      <c r="T606" s="330">
        <f t="shared" si="290"/>
        <v>2.6531263083675265</v>
      </c>
      <c r="U606" s="331">
        <f t="shared" si="291"/>
        <v>-61.668365458289259</v>
      </c>
      <c r="V606" s="332">
        <f t="shared" si="292"/>
        <v>-310.59266294536604</v>
      </c>
      <c r="W606" s="334">
        <f t="shared" si="293"/>
        <v>-130.59266294536604</v>
      </c>
      <c r="Y606" s="307">
        <f t="shared" si="294"/>
        <v>524810</v>
      </c>
      <c r="Z606" s="307">
        <f t="shared" si="295"/>
        <v>275425536100</v>
      </c>
      <c r="AB606" s="333">
        <f t="shared" si="296"/>
        <v>5.5873206160931721</v>
      </c>
      <c r="AC606" s="334">
        <f t="shared" si="297"/>
        <v>-72.795871522264349</v>
      </c>
      <c r="AE606" s="333">
        <f t="shared" si="298"/>
        <v>-38.660054510983592</v>
      </c>
      <c r="AF606" s="334">
        <f t="shared" si="299"/>
        <v>-229.55977312794616</v>
      </c>
      <c r="AH606">
        <f t="shared" si="300"/>
        <v>0</v>
      </c>
      <c r="AI606">
        <f t="shared" si="305"/>
        <v>0</v>
      </c>
    </row>
    <row r="607" spans="1:35" x14ac:dyDescent="0.25">
      <c r="A607" s="335">
        <v>575440</v>
      </c>
      <c r="B607" s="352">
        <f t="shared" si="301"/>
        <v>575.44000000000005</v>
      </c>
      <c r="C607" s="325">
        <f t="shared" si="276"/>
        <v>358.70524633447002</v>
      </c>
      <c r="D607" s="326">
        <f t="shared" si="277"/>
        <v>1.5680085189623321</v>
      </c>
      <c r="E607" s="326">
        <f t="shared" si="278"/>
        <v>1.0280778008955211</v>
      </c>
      <c r="F607" s="327">
        <f t="shared" si="279"/>
        <v>0.23424857389586881</v>
      </c>
      <c r="G607" s="326">
        <f t="shared" si="280"/>
        <v>1</v>
      </c>
      <c r="H607" s="327">
        <f t="shared" si="281"/>
        <v>0</v>
      </c>
      <c r="I607" s="325">
        <f t="shared" si="282"/>
        <v>902524.85401459539</v>
      </c>
      <c r="J607" s="328">
        <f t="shared" si="283"/>
        <v>1.570795218792169</v>
      </c>
      <c r="K607" s="336">
        <f t="shared" si="303"/>
        <v>72.062154442903747</v>
      </c>
      <c r="L607" s="337">
        <f t="shared" si="304"/>
        <v>1.5569189718187324</v>
      </c>
      <c r="M607" s="325">
        <f t="shared" si="284"/>
        <v>3.5051293898659335</v>
      </c>
      <c r="N607" s="337">
        <f t="shared" si="285"/>
        <v>1.2814808971812328</v>
      </c>
      <c r="O607" s="343">
        <f t="shared" si="286"/>
        <v>3.4901746463989309</v>
      </c>
      <c r="P607" s="691">
        <f t="shared" si="287"/>
        <v>1.2802052056390434</v>
      </c>
      <c r="Q607" s="336">
        <f t="shared" si="302"/>
        <v>23.594128028795797</v>
      </c>
      <c r="R607" s="692">
        <f t="shared" si="288"/>
        <v>1.4163812716376747</v>
      </c>
      <c r="S607" s="329">
        <f t="shared" si="289"/>
        <v>7.7900069011089528</v>
      </c>
      <c r="T607" s="330">
        <f t="shared" si="290"/>
        <v>2.7016136094899377</v>
      </c>
      <c r="U607" s="331">
        <f t="shared" si="291"/>
        <v>-64.844578857082155</v>
      </c>
      <c r="V607" s="332">
        <f t="shared" si="292"/>
        <v>-313.23068496730349</v>
      </c>
      <c r="W607" s="334">
        <f t="shared" si="293"/>
        <v>-133.23068496730349</v>
      </c>
      <c r="Y607" s="307">
        <f t="shared" si="294"/>
        <v>575440</v>
      </c>
      <c r="Z607" s="307">
        <f t="shared" si="295"/>
        <v>331131193600</v>
      </c>
      <c r="AB607" s="333">
        <f t="shared" si="296"/>
        <v>4.8581047460784053</v>
      </c>
      <c r="AC607" s="334">
        <f t="shared" si="297"/>
        <v>-74.218497406988931</v>
      </c>
      <c r="AE607" s="333">
        <f t="shared" si="298"/>
        <v>-41.062348329770522</v>
      </c>
      <c r="AF607" s="334">
        <f t="shared" si="299"/>
        <v>-231.20987369898259</v>
      </c>
      <c r="AH607">
        <f t="shared" si="300"/>
        <v>0</v>
      </c>
      <c r="AI607">
        <f t="shared" si="305"/>
        <v>0</v>
      </c>
    </row>
    <row r="608" spans="1:35" x14ac:dyDescent="0.25">
      <c r="A608" s="335">
        <v>630960</v>
      </c>
      <c r="B608" s="352">
        <f t="shared" si="301"/>
        <v>630.96</v>
      </c>
      <c r="C608" s="325">
        <f t="shared" si="276"/>
        <v>393.31383681700987</v>
      </c>
      <c r="D608" s="326">
        <f t="shared" si="277"/>
        <v>1.5682538251491895</v>
      </c>
      <c r="E608" s="326">
        <f t="shared" si="278"/>
        <v>1.0336644837084641</v>
      </c>
      <c r="F608" s="327">
        <f t="shared" si="279"/>
        <v>0.25591571773561161</v>
      </c>
      <c r="G608" s="326">
        <f t="shared" si="280"/>
        <v>1</v>
      </c>
      <c r="H608" s="327">
        <f t="shared" si="281"/>
        <v>0</v>
      </c>
      <c r="I608" s="325">
        <f t="shared" si="282"/>
        <v>989602.88108054746</v>
      </c>
      <c r="J608" s="328">
        <f t="shared" si="283"/>
        <v>1.570795316288542</v>
      </c>
      <c r="K608" s="336">
        <f t="shared" si="303"/>
        <v>79.013625073334296</v>
      </c>
      <c r="L608" s="337">
        <f t="shared" si="304"/>
        <v>1.5581399438367796</v>
      </c>
      <c r="M608" s="325">
        <f t="shared" si="284"/>
        <v>3.8169079057922111</v>
      </c>
      <c r="N608" s="337">
        <f t="shared" si="285"/>
        <v>1.305710421282742</v>
      </c>
      <c r="O608" s="343">
        <f t="shared" si="286"/>
        <v>3.8003963566919818</v>
      </c>
      <c r="P608" s="691">
        <f t="shared" si="287"/>
        <v>1.3045307579546745</v>
      </c>
      <c r="Q608" s="336">
        <f t="shared" si="302"/>
        <v>25.804234965784154</v>
      </c>
      <c r="R608" s="692">
        <f t="shared" si="288"/>
        <v>1.4338766166065677</v>
      </c>
      <c r="S608" s="329">
        <f t="shared" si="289"/>
        <v>9.4079000190749298</v>
      </c>
      <c r="T608" s="330">
        <f t="shared" si="290"/>
        <v>2.7445408738418067</v>
      </c>
      <c r="U608" s="331">
        <f t="shared" si="291"/>
        <v>-68.01503324918356</v>
      </c>
      <c r="V608" s="332">
        <f t="shared" si="292"/>
        <v>-315.38981161530307</v>
      </c>
      <c r="W608" s="334">
        <f t="shared" si="293"/>
        <v>-135.38981161530307</v>
      </c>
      <c r="Y608" s="307">
        <f t="shared" si="294"/>
        <v>630960</v>
      </c>
      <c r="Z608" s="307">
        <f t="shared" si="295"/>
        <v>398110521600</v>
      </c>
      <c r="AB608" s="333">
        <f t="shared" si="296"/>
        <v>4.1178114976035012</v>
      </c>
      <c r="AC608" s="334">
        <f t="shared" si="297"/>
        <v>-75.536795921715296</v>
      </c>
      <c r="AE608" s="333">
        <f t="shared" si="298"/>
        <v>-43.454403025801682</v>
      </c>
      <c r="AF608" s="334">
        <f t="shared" si="299"/>
        <v>-232.44204388687029</v>
      </c>
      <c r="AH608">
        <f t="shared" si="300"/>
        <v>0</v>
      </c>
      <c r="AI608">
        <f t="shared" si="305"/>
        <v>0</v>
      </c>
    </row>
    <row r="609" spans="1:35" x14ac:dyDescent="0.25">
      <c r="A609" s="335">
        <v>691830</v>
      </c>
      <c r="B609" s="352">
        <f t="shared" si="301"/>
        <v>691.83</v>
      </c>
      <c r="C609" s="325">
        <f t="shared" si="276"/>
        <v>431.25739154851721</v>
      </c>
      <c r="D609" s="326">
        <f t="shared" si="277"/>
        <v>1.5684775238810473</v>
      </c>
      <c r="E609" s="326">
        <f t="shared" si="278"/>
        <v>1.0403407241481231</v>
      </c>
      <c r="F609" s="327">
        <f t="shared" si="279"/>
        <v>0.2793910529025509</v>
      </c>
      <c r="G609" s="326">
        <f t="shared" si="280"/>
        <v>1</v>
      </c>
      <c r="H609" s="327">
        <f t="shared" si="281"/>
        <v>0</v>
      </c>
      <c r="I609" s="325">
        <f t="shared" si="282"/>
        <v>1085071.8923828711</v>
      </c>
      <c r="J609" s="328">
        <f t="shared" si="283"/>
        <v>1.5707954051969757</v>
      </c>
      <c r="K609" s="336">
        <f t="shared" si="303"/>
        <v>86.635063627402488</v>
      </c>
      <c r="L609" s="337">
        <f t="shared" si="304"/>
        <v>1.5592533998897697</v>
      </c>
      <c r="M609" s="325">
        <f t="shared" si="284"/>
        <v>4.160899623812476</v>
      </c>
      <c r="N609" s="337">
        <f t="shared" si="285"/>
        <v>1.3280878042860667</v>
      </c>
      <c r="O609" s="343">
        <f t="shared" si="286"/>
        <v>4.1426892689194013</v>
      </c>
      <c r="P609" s="691">
        <f t="shared" si="287"/>
        <v>1.3269993088747731</v>
      </c>
      <c r="Q609" s="336">
        <f t="shared" si="302"/>
        <v>28.233537668701342</v>
      </c>
      <c r="R609" s="692">
        <f t="shared" si="288"/>
        <v>1.4503020296638778</v>
      </c>
      <c r="S609" s="329">
        <f t="shared" si="289"/>
        <v>11.356621351440353</v>
      </c>
      <c r="T609" s="330">
        <f t="shared" si="290"/>
        <v>2.7826865946587875</v>
      </c>
      <c r="U609" s="331">
        <f t="shared" si="291"/>
        <v>-71.176233806303358</v>
      </c>
      <c r="V609" s="332">
        <f t="shared" si="292"/>
        <v>-317.11527186172231</v>
      </c>
      <c r="W609" s="334">
        <f t="shared" si="293"/>
        <v>-137.11527186172231</v>
      </c>
      <c r="Y609" s="307">
        <f t="shared" si="294"/>
        <v>691830</v>
      </c>
      <c r="Z609" s="307">
        <f t="shared" si="295"/>
        <v>478628748900</v>
      </c>
      <c r="AB609" s="333">
        <f t="shared" si="296"/>
        <v>3.3681833176905123</v>
      </c>
      <c r="AC609" s="334">
        <f t="shared" si="297"/>
        <v>-76.755134287314107</v>
      </c>
      <c r="AE609" s="333">
        <f t="shared" si="298"/>
        <v>-45.833558509419071</v>
      </c>
      <c r="AF609" s="334">
        <f t="shared" si="299"/>
        <v>-233.29541206263994</v>
      </c>
      <c r="AH609">
        <f t="shared" si="300"/>
        <v>0</v>
      </c>
      <c r="AI609">
        <f t="shared" si="305"/>
        <v>0</v>
      </c>
    </row>
    <row r="610" spans="1:35" x14ac:dyDescent="0.25">
      <c r="A610" s="335">
        <v>758580</v>
      </c>
      <c r="B610" s="352">
        <f t="shared" si="301"/>
        <v>758.58</v>
      </c>
      <c r="C610" s="325">
        <f t="shared" si="276"/>
        <v>472.86628812090947</v>
      </c>
      <c r="D610" s="326">
        <f t="shared" si="277"/>
        <v>1.5686815624936699</v>
      </c>
      <c r="E610" s="326">
        <f t="shared" si="278"/>
        <v>1.0483119193097197</v>
      </c>
      <c r="F610" s="327">
        <f t="shared" si="279"/>
        <v>0.30477479168310034</v>
      </c>
      <c r="G610" s="326">
        <f t="shared" si="280"/>
        <v>1</v>
      </c>
      <c r="H610" s="327">
        <f t="shared" si="281"/>
        <v>0</v>
      </c>
      <c r="I610" s="325">
        <f t="shared" si="282"/>
        <v>1189763.1443038601</v>
      </c>
      <c r="J610" s="328">
        <f t="shared" si="283"/>
        <v>1.5707954862914697</v>
      </c>
      <c r="K610" s="336">
        <f t="shared" si="303"/>
        <v>94.992830590390824</v>
      </c>
      <c r="L610" s="337">
        <f t="shared" si="304"/>
        <v>1.56026902210554</v>
      </c>
      <c r="M610" s="325">
        <f t="shared" si="284"/>
        <v>4.5401347087606343</v>
      </c>
      <c r="N610" s="337">
        <f t="shared" si="285"/>
        <v>1.348717592317273</v>
      </c>
      <c r="O610" s="343">
        <f t="shared" si="286"/>
        <v>4.520069195517066</v>
      </c>
      <c r="P610" s="691">
        <f t="shared" si="287"/>
        <v>1.3477150923578112</v>
      </c>
      <c r="Q610" s="336">
        <f t="shared" si="302"/>
        <v>30.903395250165513</v>
      </c>
      <c r="R610" s="692">
        <f t="shared" si="288"/>
        <v>1.4657781494886091</v>
      </c>
      <c r="S610" s="329">
        <f t="shared" si="289"/>
        <v>13.702876068741322</v>
      </c>
      <c r="T610" s="330">
        <f t="shared" si="290"/>
        <v>2.8167127827191765</v>
      </c>
      <c r="U610" s="331">
        <f t="shared" si="291"/>
        <v>-74.326513845897779</v>
      </c>
      <c r="V610" s="332">
        <f t="shared" si="292"/>
        <v>-318.4457412355718</v>
      </c>
      <c r="W610" s="334">
        <f t="shared" si="293"/>
        <v>-138.4457412355718</v>
      </c>
      <c r="Y610" s="307">
        <f t="shared" si="294"/>
        <v>758580</v>
      </c>
      <c r="Z610" s="307">
        <f t="shared" si="295"/>
        <v>575443616400</v>
      </c>
      <c r="AB610" s="333">
        <f t="shared" si="296"/>
        <v>2.610455972378956</v>
      </c>
      <c r="AC610" s="334">
        <f t="shared" si="297"/>
        <v>-77.878947854864791</v>
      </c>
      <c r="AE610" s="333">
        <f t="shared" si="298"/>
        <v>-48.19854772711637</v>
      </c>
      <c r="AF610" s="334">
        <f t="shared" si="299"/>
        <v>-233.80227848297079</v>
      </c>
      <c r="AH610">
        <f t="shared" si="300"/>
        <v>0</v>
      </c>
      <c r="AI610">
        <f t="shared" si="305"/>
        <v>0</v>
      </c>
    </row>
    <row r="611" spans="1:35" x14ac:dyDescent="0.25">
      <c r="A611" s="335">
        <v>831760</v>
      </c>
      <c r="B611" s="352">
        <f t="shared" si="301"/>
        <v>831.76</v>
      </c>
      <c r="C611" s="325">
        <f t="shared" si="276"/>
        <v>518.48337137423368</v>
      </c>
      <c r="D611" s="326">
        <f t="shared" si="277"/>
        <v>1.5688676234358427</v>
      </c>
      <c r="E611" s="326">
        <f t="shared" si="278"/>
        <v>1.0578145869620919</v>
      </c>
      <c r="F611" s="327">
        <f t="shared" si="279"/>
        <v>0.33214451180509896</v>
      </c>
      <c r="G611" s="326">
        <f t="shared" si="280"/>
        <v>1</v>
      </c>
      <c r="H611" s="327">
        <f t="shared" si="281"/>
        <v>0</v>
      </c>
      <c r="I611" s="325">
        <f t="shared" si="282"/>
        <v>1304539.2613911782</v>
      </c>
      <c r="J611" s="328">
        <f t="shared" si="283"/>
        <v>1.5707955602407349</v>
      </c>
      <c r="K611" s="336">
        <f t="shared" si="303"/>
        <v>104.15579145780963</v>
      </c>
      <c r="L611" s="337">
        <f t="shared" si="304"/>
        <v>1.5611951769226871</v>
      </c>
      <c r="M611" s="325">
        <f t="shared" si="284"/>
        <v>4.9577651411598316</v>
      </c>
      <c r="N611" s="337">
        <f t="shared" si="285"/>
        <v>1.3676991769025828</v>
      </c>
      <c r="O611" s="343">
        <f t="shared" si="286"/>
        <v>4.9356731795795925</v>
      </c>
      <c r="P611" s="691">
        <f t="shared" si="287"/>
        <v>1.3667773222053212</v>
      </c>
      <c r="Q611" s="336">
        <f t="shared" si="302"/>
        <v>33.836059678797014</v>
      </c>
      <c r="R611" s="692">
        <f t="shared" si="288"/>
        <v>1.4804153476820983</v>
      </c>
      <c r="S611" s="329">
        <f t="shared" si="289"/>
        <v>16.525872439411831</v>
      </c>
      <c r="T611" s="330">
        <f t="shared" si="290"/>
        <v>2.847155033667307</v>
      </c>
      <c r="U611" s="331">
        <f t="shared" si="291"/>
        <v>-77.46298686605833</v>
      </c>
      <c r="V611" s="332">
        <f t="shared" si="292"/>
        <v>-319.41341331416174</v>
      </c>
      <c r="W611" s="334">
        <f t="shared" si="293"/>
        <v>-139.41341331416174</v>
      </c>
      <c r="Y611" s="307">
        <f t="shared" si="294"/>
        <v>831760</v>
      </c>
      <c r="Z611" s="307">
        <f t="shared" si="295"/>
        <v>691824697600</v>
      </c>
      <c r="AB611" s="333">
        <f t="shared" si="296"/>
        <v>1.8460307940247311</v>
      </c>
      <c r="AC611" s="334">
        <f t="shared" si="297"/>
        <v>-78.913452016038249</v>
      </c>
      <c r="AE611" s="333">
        <f t="shared" si="298"/>
        <v>-50.547150082783993</v>
      </c>
      <c r="AF611" s="334">
        <f t="shared" si="299"/>
        <v>-233.98898203866403</v>
      </c>
      <c r="AH611">
        <f t="shared" si="300"/>
        <v>0</v>
      </c>
      <c r="AI611">
        <f t="shared" si="305"/>
        <v>0</v>
      </c>
    </row>
    <row r="612" spans="1:35" x14ac:dyDescent="0.25">
      <c r="A612" s="335">
        <v>912010</v>
      </c>
      <c r="B612" s="352">
        <f t="shared" si="301"/>
        <v>912.01</v>
      </c>
      <c r="C612" s="325">
        <f t="shared" si="276"/>
        <v>568.50758819648286</v>
      </c>
      <c r="D612" s="326">
        <f t="shared" si="277"/>
        <v>1.5690373344147803</v>
      </c>
      <c r="E612" s="326">
        <f t="shared" si="278"/>
        <v>1.0691288406156074</v>
      </c>
      <c r="F612" s="327">
        <f t="shared" si="279"/>
        <v>0.36157462566528104</v>
      </c>
      <c r="G612" s="326">
        <f t="shared" si="280"/>
        <v>1</v>
      </c>
      <c r="H612" s="327">
        <f t="shared" si="281"/>
        <v>0</v>
      </c>
      <c r="I612" s="325">
        <f t="shared" si="282"/>
        <v>1430404.0249366518</v>
      </c>
      <c r="J612" s="328">
        <f t="shared" si="283"/>
        <v>1.5707956276917183</v>
      </c>
      <c r="K612" s="336">
        <f t="shared" si="303"/>
        <v>114.20408144461695</v>
      </c>
      <c r="L612" s="337">
        <f t="shared" si="304"/>
        <v>1.5620399604158957</v>
      </c>
      <c r="M612" s="325">
        <f t="shared" si="284"/>
        <v>5.4174644624774482</v>
      </c>
      <c r="N612" s="337">
        <f t="shared" si="285"/>
        <v>1.3851434836537355</v>
      </c>
      <c r="O612" s="343">
        <f t="shared" si="286"/>
        <v>5.3931573150418828</v>
      </c>
      <c r="P612" s="691">
        <f t="shared" si="287"/>
        <v>1.384296924680849</v>
      </c>
      <c r="Q612" s="336">
        <f t="shared" si="302"/>
        <v>37.057497718828763</v>
      </c>
      <c r="R612" s="692">
        <f t="shared" si="288"/>
        <v>1.4943283838497727</v>
      </c>
      <c r="S612" s="329">
        <f t="shared" si="289"/>
        <v>19.922379727374935</v>
      </c>
      <c r="T612" s="330">
        <f t="shared" si="290"/>
        <v>2.8744755687718557</v>
      </c>
      <c r="U612" s="331">
        <f t="shared" si="291"/>
        <v>-80.584404084180392</v>
      </c>
      <c r="V612" s="332">
        <f t="shared" si="292"/>
        <v>-320.04671253975926</v>
      </c>
      <c r="W612" s="334">
        <f t="shared" si="293"/>
        <v>-140.04671253975926</v>
      </c>
      <c r="Y612" s="307">
        <f t="shared" si="294"/>
        <v>912010</v>
      </c>
      <c r="Z612" s="307">
        <f t="shared" si="295"/>
        <v>831762240100</v>
      </c>
      <c r="AB612" s="333">
        <f t="shared" si="296"/>
        <v>1.0757610100650796</v>
      </c>
      <c r="AC612" s="334">
        <f t="shared" si="297"/>
        <v>-79.864538506391142</v>
      </c>
      <c r="AE612" s="333">
        <f t="shared" si="298"/>
        <v>-52.878305228199238</v>
      </c>
      <c r="AF612" s="334">
        <f t="shared" si="299"/>
        <v>-233.87783580211894</v>
      </c>
      <c r="AH612">
        <f t="shared" si="300"/>
        <v>0</v>
      </c>
      <c r="AI612">
        <f t="shared" si="305"/>
        <v>0</v>
      </c>
    </row>
    <row r="613" spans="1:35" x14ac:dyDescent="0.25">
      <c r="A613" s="335">
        <v>1000000</v>
      </c>
      <c r="B613" s="352">
        <f t="shared" si="301"/>
        <v>1000</v>
      </c>
      <c r="C613" s="325">
        <f t="shared" si="276"/>
        <v>623.35658625680753</v>
      </c>
      <c r="D613" s="326">
        <f t="shared" si="277"/>
        <v>1.5691921078759552</v>
      </c>
      <c r="E613" s="326">
        <f t="shared" si="278"/>
        <v>1.0825747025917321</v>
      </c>
      <c r="F613" s="327">
        <f t="shared" si="279"/>
        <v>0.3931058742190221</v>
      </c>
      <c r="G613" s="326">
        <f t="shared" si="280"/>
        <v>1</v>
      </c>
      <c r="H613" s="327">
        <f t="shared" si="281"/>
        <v>0</v>
      </c>
      <c r="I613" s="325">
        <f t="shared" si="282"/>
        <v>1568408.2684801626</v>
      </c>
      <c r="J613" s="328">
        <f t="shared" si="283"/>
        <v>1.570795689205807</v>
      </c>
      <c r="K613" s="336">
        <f t="shared" si="303"/>
        <v>125.22159282894059</v>
      </c>
      <c r="L613" s="337">
        <f t="shared" si="304"/>
        <v>1.5628103987559554</v>
      </c>
      <c r="M613" s="325">
        <f t="shared" si="284"/>
        <v>5.9230872403394876</v>
      </c>
      <c r="N613" s="337">
        <f t="shared" si="285"/>
        <v>1.4011529308945929</v>
      </c>
      <c r="O613" s="343">
        <f t="shared" si="286"/>
        <v>5.8963578914950547</v>
      </c>
      <c r="P613" s="691">
        <f t="shared" si="287"/>
        <v>1.4003763891572458</v>
      </c>
      <c r="Q613" s="336">
        <f t="shared" si="302"/>
        <v>40.595014662057451</v>
      </c>
      <c r="R613" s="692">
        <f t="shared" si="288"/>
        <v>1.5076228703555021</v>
      </c>
      <c r="S613" s="329">
        <f t="shared" si="289"/>
        <v>24.007522390347848</v>
      </c>
      <c r="T613" s="330">
        <f t="shared" si="290"/>
        <v>2.8990515419641145</v>
      </c>
      <c r="U613" s="331">
        <f t="shared" si="291"/>
        <v>-83.688190288897488</v>
      </c>
      <c r="V613" s="332">
        <f t="shared" si="292"/>
        <v>-320.37063941739063</v>
      </c>
      <c r="W613" s="334">
        <f t="shared" si="293"/>
        <v>-140.37063941739063</v>
      </c>
      <c r="Y613" s="307">
        <f t="shared" si="294"/>
        <v>1000000</v>
      </c>
      <c r="Z613" s="307">
        <f t="shared" si="295"/>
        <v>1000000000000</v>
      </c>
      <c r="AB613" s="333">
        <f t="shared" si="296"/>
        <v>0.30066382474347209</v>
      </c>
      <c r="AC613" s="334">
        <f t="shared" si="297"/>
        <v>-80.737672925864516</v>
      </c>
      <c r="AE613" s="333">
        <f t="shared" si="298"/>
        <v>-55.189876955940598</v>
      </c>
      <c r="AF613" s="334">
        <f t="shared" si="299"/>
        <v>-233.48819574421546</v>
      </c>
      <c r="AH613">
        <f t="shared" si="300"/>
        <v>0</v>
      </c>
      <c r="AI613">
        <f t="shared" si="305"/>
        <v>0</v>
      </c>
    </row>
    <row r="614" spans="1:35" x14ac:dyDescent="0.25">
      <c r="A614" s="338"/>
      <c r="B614" s="338"/>
      <c r="C614" s="339"/>
      <c r="D614" s="339"/>
      <c r="E614" s="339"/>
      <c r="F614" s="339"/>
      <c r="G614" s="326"/>
      <c r="H614" s="327"/>
      <c r="I614" s="339"/>
      <c r="J614" s="339"/>
      <c r="K614" s="339"/>
      <c r="L614" s="339"/>
      <c r="M614" s="339"/>
      <c r="N614" s="339"/>
      <c r="O614" s="339"/>
      <c r="P614" s="339"/>
      <c r="Q614" s="339"/>
      <c r="R614" s="339"/>
      <c r="S614" s="339"/>
      <c r="T614" s="340"/>
      <c r="U614" s="415"/>
      <c r="V614" s="332"/>
      <c r="W614" s="341"/>
      <c r="AE614" s="333"/>
      <c r="AF614" s="334"/>
    </row>
    <row r="615" spans="1:35" x14ac:dyDescent="0.25">
      <c r="A615" s="338"/>
      <c r="B615" s="338"/>
      <c r="C615" s="339"/>
      <c r="D615" s="339"/>
      <c r="E615" s="339"/>
      <c r="F615" s="339"/>
      <c r="G615" s="326"/>
      <c r="H615" s="327"/>
      <c r="I615" s="339"/>
      <c r="J615" s="339"/>
      <c r="K615" s="339"/>
      <c r="L615" s="339"/>
      <c r="M615" s="339"/>
      <c r="N615" s="339"/>
      <c r="O615" s="339"/>
      <c r="P615" s="339"/>
      <c r="Q615" s="339"/>
      <c r="R615" s="339"/>
      <c r="S615" s="339"/>
      <c r="T615" s="340"/>
      <c r="U615" s="341"/>
      <c r="V615" s="332"/>
      <c r="W615" s="341"/>
      <c r="AE615" s="333"/>
      <c r="AF615" s="334"/>
    </row>
    <row r="616" spans="1:35" x14ac:dyDescent="0.25">
      <c r="A616" s="307" t="s">
        <v>349</v>
      </c>
      <c r="G616" s="326"/>
      <c r="H616" s="327"/>
      <c r="U616" s="331"/>
      <c r="V616" s="332"/>
      <c r="W616" s="341"/>
      <c r="AE616" s="333"/>
      <c r="AF616" s="334"/>
    </row>
    <row r="617" spans="1:35" x14ac:dyDescent="0.25">
      <c r="A617" s="342">
        <f>U4*1000</f>
        <v>15668.5</v>
      </c>
      <c r="B617" s="342"/>
      <c r="C617" s="343">
        <f t="shared" ref="C617:C626" si="306">SQRT(1+(A617/pole1)^2)</f>
        <v>9.8181091729664978</v>
      </c>
      <c r="D617" s="336">
        <f t="shared" ref="D617:D626" si="307">ATAN(A617/pole1)</f>
        <v>1.4687667917620038</v>
      </c>
      <c r="E617" s="336">
        <f t="shared" ref="E617:E626" si="308">SQRT(1+(A617/Zero1)^2)</f>
        <v>1.0000211090102744</v>
      </c>
      <c r="F617" s="337">
        <f t="shared" ref="F617:F626" si="309">ATAN(A617/Zero1)</f>
        <v>6.4974824287367403E-3</v>
      </c>
      <c r="G617" s="326">
        <f>IF(VIN_nom&gt;Vout, 1, SQRT(1+(A617/z_RHP)^2))</f>
        <v>1</v>
      </c>
      <c r="H617" s="327">
        <f>IF(VIN_nom&gt;Vout, 0, -ATAN(A617/z_RHP))</f>
        <v>0</v>
      </c>
      <c r="I617" s="343">
        <f t="shared" ref="I617:I626" si="310">SQRT(1+(A617/Pole2)^2)</f>
        <v>24574.604975022641</v>
      </c>
      <c r="J617" s="344">
        <f t="shared" ref="J617:J626" si="311">ATAN(A617/Pole2)</f>
        <v>1.5707556343808662</v>
      </c>
      <c r="K617" s="336">
        <f t="shared" ref="K617:K626" si="312">SQRT(1+(A617/Zero2)^2)</f>
        <v>2.2021203382627941</v>
      </c>
      <c r="L617" s="337">
        <f t="shared" ref="L617:L626" si="313">ATAN(A617/Zero2)</f>
        <v>1.0994257864668309</v>
      </c>
      <c r="M617" s="343">
        <f t="shared" ref="M617:M626" si="314">SQRT(1+(A617/pole4)^2)</f>
        <v>1.0041750005734054</v>
      </c>
      <c r="N617" s="344">
        <f>ATAN(A617/pole4)</f>
        <v>9.1219807178063259E-2</v>
      </c>
      <c r="O617" s="343">
        <f>IF(VOUT_setting=1,1,SQRT(1+(A617*zterm1)^2))</f>
        <v>1.0041363808408164</v>
      </c>
      <c r="P617" s="691">
        <f>IF(VOUT_setting=1,0,ATAN(((A617*zterm1))))</f>
        <v>9.0798380473506662E-2</v>
      </c>
      <c r="Q617" s="336">
        <f>IF(VOUT_setting=1,1,SQRT((1+Afbr-$Q$5*(A617)^2)^2+(A617*$Q$4)^2))</f>
        <v>4.2043726296731245</v>
      </c>
      <c r="R617" s="692">
        <f>IF(VOUT_setting=1,0,ATAN(A617*$Q$4/(1+Afbr-$Q$5*(A617)^2)))</f>
        <v>0.15156389355723063</v>
      </c>
      <c r="S617" s="343">
        <f>SQRT((1-(A617^2/(pole3^2)))^2+(A617/(Q*pole3))^2)</f>
        <v>0.9981300838199928</v>
      </c>
      <c r="T617" s="407">
        <f>ATAN((A617/(Q*pole3))/(1-A617^2/pole3^2))</f>
        <v>9.0636139311237776E-2</v>
      </c>
      <c r="U617" s="331">
        <f>20*LOG10(((E617*K617*G617*O617)/(C617*I617*S617*M617*Q617))*Adc)</f>
        <v>3.7283319826826977E-2</v>
      </c>
      <c r="V617" s="332">
        <f>((F617+L617+H617+P617)-(D617+J617+T617+N617+R617))*radconv</f>
        <v>-124.68825677563859</v>
      </c>
      <c r="W617" s="334">
        <f t="shared" ref="W617:W626" si="315">IF(V617&gt;0,V617,V617+180)</f>
        <v>55.311743224361408</v>
      </c>
      <c r="X617" s="307" t="s">
        <v>350</v>
      </c>
      <c r="AB617" s="333">
        <f>20*LOG10((K617/(I617*M617))*AEA)</f>
        <v>16.718126346455048</v>
      </c>
      <c r="AC617" s="334">
        <f>(L617-(J617+N617))*radconv</f>
        <v>-32.231721040147491</v>
      </c>
      <c r="AE617" s="333">
        <f>20*LOG10((E617*G617/(C617*S617))*Acs*Am)</f>
        <v>7.7985267580624216</v>
      </c>
      <c r="AF617" s="334">
        <f>(F617+H617-(D617+T617))*radconv</f>
        <v>-88.974928291868409</v>
      </c>
    </row>
    <row r="618" spans="1:35" x14ac:dyDescent="0.25">
      <c r="A618" s="342">
        <f>A617</f>
        <v>15668.5</v>
      </c>
      <c r="B618" s="342"/>
      <c r="C618" s="343"/>
      <c r="D618" s="336"/>
      <c r="E618" s="336"/>
      <c r="F618" s="337"/>
      <c r="G618" s="326"/>
      <c r="H618" s="327"/>
      <c r="I618" s="343"/>
      <c r="J618" s="344"/>
      <c r="K618" s="336"/>
      <c r="L618" s="337"/>
      <c r="M618" s="325"/>
      <c r="N618" s="328"/>
      <c r="O618" s="683"/>
      <c r="P618" s="683"/>
      <c r="Q618" s="683"/>
      <c r="R618" s="683"/>
      <c r="S618" s="343"/>
      <c r="T618" s="330"/>
      <c r="U618" s="331"/>
      <c r="V618" s="332">
        <v>-135</v>
      </c>
      <c r="W618" s="334"/>
      <c r="AB618" s="333"/>
      <c r="AC618" s="334"/>
      <c r="AE618" s="333"/>
      <c r="AF618" s="334"/>
    </row>
    <row r="619" spans="1:35" x14ac:dyDescent="0.25">
      <c r="A619" s="307">
        <f>A618</f>
        <v>15668.5</v>
      </c>
      <c r="B619" s="342"/>
      <c r="C619" s="343"/>
      <c r="D619" s="336"/>
      <c r="E619" s="336"/>
      <c r="F619" s="337"/>
      <c r="G619" s="326"/>
      <c r="H619" s="327"/>
      <c r="I619" s="343"/>
      <c r="J619" s="344"/>
      <c r="K619" s="336"/>
      <c r="L619" s="337"/>
      <c r="M619" s="325"/>
      <c r="N619" s="328"/>
      <c r="O619" s="683"/>
      <c r="P619" s="683"/>
      <c r="Q619" s="683"/>
      <c r="R619" s="683"/>
      <c r="S619" s="343"/>
      <c r="T619" s="330"/>
      <c r="U619" s="331"/>
      <c r="V619" s="332"/>
      <c r="W619" s="334"/>
      <c r="AB619" s="333"/>
      <c r="AC619" s="334"/>
      <c r="AE619" s="333"/>
      <c r="AF619" s="334"/>
    </row>
    <row r="620" spans="1:35" x14ac:dyDescent="0.25">
      <c r="A620" s="342">
        <v>1000000</v>
      </c>
      <c r="B620" s="342"/>
      <c r="C620" s="343"/>
      <c r="D620" s="336"/>
      <c r="E620" s="336"/>
      <c r="F620" s="337"/>
      <c r="G620" s="326"/>
      <c r="H620" s="327"/>
      <c r="I620" s="343"/>
      <c r="J620" s="344"/>
      <c r="K620" s="336"/>
      <c r="L620" s="337"/>
      <c r="M620" s="325"/>
      <c r="N620" s="328"/>
      <c r="O620" s="683"/>
      <c r="P620" s="683"/>
      <c r="Q620" s="683"/>
      <c r="R620" s="683"/>
      <c r="S620" s="343"/>
      <c r="T620" s="330"/>
      <c r="U620" s="331"/>
      <c r="V620" s="332">
        <f>V617</f>
        <v>-124.68825677563859</v>
      </c>
      <c r="W620" s="334"/>
      <c r="AB620" s="333"/>
      <c r="AC620" s="334"/>
      <c r="AE620" s="333"/>
      <c r="AF620" s="334"/>
    </row>
    <row r="621" spans="1:35" x14ac:dyDescent="0.25">
      <c r="A621" s="342"/>
      <c r="B621" s="342"/>
      <c r="C621" s="343"/>
      <c r="D621" s="336"/>
      <c r="E621" s="336"/>
      <c r="F621" s="337"/>
      <c r="G621" s="326"/>
      <c r="H621" s="327"/>
      <c r="I621" s="343"/>
      <c r="J621" s="344"/>
      <c r="K621" s="336"/>
      <c r="L621" s="337"/>
      <c r="M621" s="325"/>
      <c r="N621" s="328"/>
      <c r="O621" s="683"/>
      <c r="P621" s="683"/>
      <c r="Q621" s="683"/>
      <c r="R621" s="683"/>
      <c r="S621" s="343"/>
      <c r="T621" s="330"/>
      <c r="U621" s="331"/>
      <c r="V621" s="332"/>
      <c r="W621" s="334"/>
      <c r="AB621" s="333"/>
      <c r="AC621" s="334"/>
      <c r="AE621" s="333"/>
      <c r="AF621" s="334"/>
    </row>
    <row r="622" spans="1:35" x14ac:dyDescent="0.25">
      <c r="A622" s="416">
        <f>pole1</f>
        <v>1604.2202951050137</v>
      </c>
      <c r="B622" s="342"/>
      <c r="C622" s="343">
        <f t="shared" si="306"/>
        <v>1.4142135623730951</v>
      </c>
      <c r="D622" s="336">
        <f t="shared" si="307"/>
        <v>0.78539816339744828</v>
      </c>
      <c r="E622" s="336">
        <f t="shared" si="308"/>
        <v>1.0000002212817389</v>
      </c>
      <c r="F622" s="337">
        <f t="shared" si="309"/>
        <v>6.6525438468782467E-4</v>
      </c>
      <c r="G622" s="326">
        <f t="shared" ref="G622:G628" si="316">IF(VIN_nom&gt;Vout, 1, SQRT(1+(A622/z_RHP)^2))</f>
        <v>1</v>
      </c>
      <c r="H622" s="327">
        <f t="shared" ref="H622:H628" si="317">IF(VIN_nom&gt;Vout, 0, -ATAN(A622/z_RHP))</f>
        <v>0</v>
      </c>
      <c r="I622" s="343">
        <f t="shared" si="310"/>
        <v>2516.0725740282942</v>
      </c>
      <c r="J622" s="344">
        <f t="shared" si="311"/>
        <v>1.5703988819689207</v>
      </c>
      <c r="K622" s="336">
        <f t="shared" si="312"/>
        <v>1.0199761832725569</v>
      </c>
      <c r="L622" s="337">
        <f t="shared" si="313"/>
        <v>0.19823831659164118</v>
      </c>
      <c r="M622" s="325">
        <f t="shared" si="314"/>
        <v>1.0000438556780638</v>
      </c>
      <c r="N622" s="328">
        <f t="shared" ref="N622:N628" si="318">ATAN(A622/pole4)</f>
        <v>9.3652629815228969E-3</v>
      </c>
      <c r="O622" s="343">
        <f>IF(VOUT_setting=1,1,SQRT(1+(A622*zterm1)^2))</f>
        <v>1.0000434491743408</v>
      </c>
      <c r="P622" s="691">
        <f>IF(VOUT_setting=1,0,ATAN(((A622*zterm1))))</f>
        <v>9.3217596200313429E-3</v>
      </c>
      <c r="Q622" s="336">
        <f>IF(VOUT_setting=1,1,SQRT((1+Afbr-$Q$5*(A622)^2)^2+(A622*$Q$4)^2))</f>
        <v>4.1570696539698506</v>
      </c>
      <c r="R622" s="692">
        <f>IF(VOUT_setting=1,0,ATAN(A622*$Q$4/(1+Afbr-$Q$5*(A622)^2)))</f>
        <v>1.5635073065157563E-2</v>
      </c>
      <c r="S622" s="343">
        <f t="shared" ref="S622:S628" si="319">SQRT((1-(A622^2/(pole3^2)))^2+(A622/(Q*pole3))^2)</f>
        <v>0.99998023170524464</v>
      </c>
      <c r="T622" s="330">
        <f t="shared" ref="T622:T628" si="320">ATAN((A622/(Q*pole3))/(1-A622^2/pole3^2))</f>
        <v>9.2500723356841435E-3</v>
      </c>
      <c r="U622" s="331">
        <f t="shared" ref="U622:U628" si="321">20*LOG10(((E622*K622*G622*O622)/(C622*I622*S622*M622*Q622))*Adc)</f>
        <v>30.060129489290471</v>
      </c>
      <c r="V622" s="332">
        <f t="shared" ref="V622:V628" si="322">((F622+L622+H622+P622)-(D622+J622+T622+N622+R622))*radconv</f>
        <v>-125.00919944774739</v>
      </c>
      <c r="W622" s="334">
        <f t="shared" si="315"/>
        <v>54.990800552252608</v>
      </c>
      <c r="X622" s="307" t="s">
        <v>324</v>
      </c>
      <c r="AB622" s="333">
        <f>20*LOG10((K622/(I622*M622))*AEA)</f>
        <v>29.864180826705176</v>
      </c>
      <c r="AC622" s="334">
        <f>(L622-(J622+N622))*radconv</f>
        <v>-79.155599343722812</v>
      </c>
      <c r="AE622" s="333">
        <f t="shared" ref="AE622:AE628" si="323">20*LOG10((E622*G622/(C622*S622))*Acs*Am)</f>
        <v>24.61251713077273</v>
      </c>
      <c r="AF622" s="334">
        <f t="shared" ref="AF622:AF628" si="324">(F622+H622-(D622+T622))*radconv</f>
        <v>-45.49187388846228</v>
      </c>
    </row>
    <row r="623" spans="1:35" x14ac:dyDescent="0.25">
      <c r="A623" s="416">
        <f>Zero1</f>
        <v>2411438.5344508542</v>
      </c>
      <c r="B623" s="342"/>
      <c r="C623" s="343">
        <f t="shared" si="306"/>
        <v>1503.1844911925339</v>
      </c>
      <c r="D623" s="336">
        <f t="shared" si="307"/>
        <v>1.5701310724102089</v>
      </c>
      <c r="E623" s="336">
        <f t="shared" si="308"/>
        <v>1.4142135623730951</v>
      </c>
      <c r="F623" s="337">
        <f t="shared" si="309"/>
        <v>0.78539816339744828</v>
      </c>
      <c r="G623" s="326">
        <f t="shared" si="316"/>
        <v>1</v>
      </c>
      <c r="H623" s="327">
        <f t="shared" si="317"/>
        <v>0</v>
      </c>
      <c r="I623" s="343">
        <f t="shared" si="310"/>
        <v>3782120.136363769</v>
      </c>
      <c r="J623" s="344">
        <f t="shared" si="311"/>
        <v>1.5707960623929305</v>
      </c>
      <c r="K623" s="336">
        <f t="shared" si="312"/>
        <v>301.95620132837342</v>
      </c>
      <c r="L623" s="337">
        <f t="shared" si="313"/>
        <v>1.5674845821658903</v>
      </c>
      <c r="M623" s="325">
        <f t="shared" si="314"/>
        <v>14.113597948107687</v>
      </c>
      <c r="N623" s="328">
        <f t="shared" si="318"/>
        <v>1.4998832537219093</v>
      </c>
      <c r="O623" s="343">
        <f t="shared" ref="O623:O628" si="325">IF(VOUT_setting=1,1,SQRT(1+(A623*zterm1)^2))</f>
        <v>14.048363805790149</v>
      </c>
      <c r="P623" s="691">
        <f t="shared" ref="P623:P628" si="326">IF(VOUT_setting=1,0,ATAN(((A623*zterm1))))</f>
        <v>1.4995534090735474</v>
      </c>
      <c r="Q623" s="336">
        <f t="shared" ref="Q623:Q628" si="327">IF(VOUT_setting=1,1,SQRT((1+Afbr-$Q$5*(A623)^2)^2+(A623*$Q$4)^2))</f>
        <v>97.830713774293471</v>
      </c>
      <c r="R623" s="692">
        <f t="shared" ref="R623:R628" si="328">IF(VOUT_setting=1,0,ATAN(A623*$Q$4/(1+Afbr-$Q$5*(A623)^2)))</f>
        <v>-1.5185280882381462</v>
      </c>
      <c r="S623" s="343">
        <f t="shared" si="319"/>
        <v>141.02064318386698</v>
      </c>
      <c r="T623" s="330">
        <f t="shared" si="320"/>
        <v>-9.8756573862127883E-2</v>
      </c>
      <c r="U623" s="331">
        <f t="shared" si="321"/>
        <v>-112.03250325732617</v>
      </c>
      <c r="V623" s="332">
        <f t="shared" si="322"/>
        <v>47.49306918520449</v>
      </c>
      <c r="W623" s="334">
        <f t="shared" si="315"/>
        <v>47.49306918520449</v>
      </c>
      <c r="X623" s="307" t="s">
        <v>319</v>
      </c>
      <c r="AB623" s="333">
        <f>20*LOG10((K623/(I623*M623))*AEA)</f>
        <v>-7.2413577625582102</v>
      </c>
      <c r="AC623" s="334">
        <f>(L623-(J623+N623))*radconv</f>
        <v>-86.126714139979569</v>
      </c>
      <c r="AE623" s="333">
        <f t="shared" si="323"/>
        <v>-75.892956134828523</v>
      </c>
      <c r="AF623" s="334">
        <f t="shared" si="324"/>
        <v>-39.303548894893765</v>
      </c>
    </row>
    <row r="624" spans="1:35" x14ac:dyDescent="0.25">
      <c r="A624" s="416">
        <f>Pole2</f>
        <v>0.6375890895864984</v>
      </c>
      <c r="B624" s="342"/>
      <c r="C624" s="343">
        <f t="shared" si="306"/>
        <v>1.0000000789812</v>
      </c>
      <c r="D624" s="336">
        <f t="shared" si="307"/>
        <v>3.9744482597576299E-4</v>
      </c>
      <c r="E624" s="336">
        <f t="shared" si="308"/>
        <v>1.0000000000000351</v>
      </c>
      <c r="F624" s="337">
        <f t="shared" si="309"/>
        <v>2.6440196607859168E-7</v>
      </c>
      <c r="G624" s="326">
        <f t="shared" si="316"/>
        <v>1</v>
      </c>
      <c r="H624" s="327">
        <f t="shared" si="317"/>
        <v>0</v>
      </c>
      <c r="I624" s="343">
        <f t="shared" si="310"/>
        <v>1.4142135623730951</v>
      </c>
      <c r="J624" s="344">
        <f t="shared" si="311"/>
        <v>0.78539816339744828</v>
      </c>
      <c r="K624" s="336">
        <f t="shared" si="312"/>
        <v>1.0000000031870031</v>
      </c>
      <c r="L624" s="337">
        <f t="shared" si="313"/>
        <v>7.9837375314923184E-5</v>
      </c>
      <c r="M624" s="325">
        <f t="shared" si="314"/>
        <v>1.0000000000069278</v>
      </c>
      <c r="N624" s="328">
        <f t="shared" si="318"/>
        <v>3.7222843374075619E-6</v>
      </c>
      <c r="O624" s="343">
        <f t="shared" si="325"/>
        <v>1.0000000000068634</v>
      </c>
      <c r="P624" s="691">
        <f t="shared" si="326"/>
        <v>3.7049926410153258E-6</v>
      </c>
      <c r="Q624" s="336">
        <f t="shared" si="327"/>
        <v>4.1565656566452747</v>
      </c>
      <c r="R624" s="692">
        <f t="shared" si="328"/>
        <v>6.2145794931274224E-6</v>
      </c>
      <c r="S624" s="343">
        <f t="shared" si="319"/>
        <v>0.99999999999687705</v>
      </c>
      <c r="T624" s="330">
        <f t="shared" si="320"/>
        <v>3.6762684808206825E-6</v>
      </c>
      <c r="U624" s="331">
        <f t="shared" si="321"/>
        <v>97.903674518397125</v>
      </c>
      <c r="V624" s="332">
        <f t="shared" si="322"/>
        <v>-45.018750163375387</v>
      </c>
      <c r="W624" s="334">
        <f t="shared" si="315"/>
        <v>134.98124983662461</v>
      </c>
      <c r="X624" s="307" t="s">
        <v>327</v>
      </c>
      <c r="AA624" s="307">
        <f>Pole2</f>
        <v>0.6375890895864984</v>
      </c>
      <c r="AB624" s="333">
        <f>20*LOG10((K624/(I624*M624))*AEA)</f>
        <v>94.696924471612206</v>
      </c>
      <c r="AC624" s="334">
        <f>(L624-(J624+N624))*radconv</f>
        <v>-44.995638977944743</v>
      </c>
      <c r="AE624" s="333">
        <f t="shared" si="323"/>
        <v>27.622642772465703</v>
      </c>
      <c r="AF624" s="334">
        <f t="shared" si="324"/>
        <v>-2.2967396695523497E-2</v>
      </c>
    </row>
    <row r="625" spans="1:32" x14ac:dyDescent="0.25">
      <c r="A625" s="416">
        <f>Zero2</f>
        <v>7986.0978109165717</v>
      </c>
      <c r="B625" s="342"/>
      <c r="C625" s="343">
        <f t="shared" si="306"/>
        <v>5.0776253045014537</v>
      </c>
      <c r="D625" s="336">
        <f t="shared" si="307"/>
        <v>1.3725580102032555</v>
      </c>
      <c r="E625" s="336">
        <f t="shared" si="308"/>
        <v>1.0000054838513042</v>
      </c>
      <c r="F625" s="337">
        <f t="shared" si="309"/>
        <v>3.3117446290064144E-3</v>
      </c>
      <c r="G625" s="326">
        <f t="shared" si="316"/>
        <v>1</v>
      </c>
      <c r="H625" s="327">
        <f t="shared" si="317"/>
        <v>0</v>
      </c>
      <c r="I625" s="343">
        <f t="shared" si="310"/>
        <v>12525.46187944902</v>
      </c>
      <c r="J625" s="344">
        <f t="shared" si="311"/>
        <v>1.5707164894195818</v>
      </c>
      <c r="K625" s="336">
        <f t="shared" si="312"/>
        <v>1.4142135623730951</v>
      </c>
      <c r="L625" s="337">
        <f t="shared" si="313"/>
        <v>0.78539816339744828</v>
      </c>
      <c r="M625" s="325">
        <f t="shared" si="314"/>
        <v>1.0010862774705549</v>
      </c>
      <c r="N625" s="328">
        <f t="shared" si="318"/>
        <v>4.6589592162080931E-2</v>
      </c>
      <c r="O625" s="343">
        <f t="shared" si="325"/>
        <v>1.0010762138235054</v>
      </c>
      <c r="P625" s="691">
        <f t="shared" si="326"/>
        <v>4.6373473284937933E-2</v>
      </c>
      <c r="Q625" s="336">
        <f t="shared" si="327"/>
        <v>4.1690379069426697</v>
      </c>
      <c r="R625" s="692">
        <f t="shared" si="328"/>
        <v>7.7685724036380063E-2</v>
      </c>
      <c r="S625" s="343">
        <f t="shared" si="319"/>
        <v>0.9995111348960134</v>
      </c>
      <c r="T625" s="330">
        <f t="shared" si="320"/>
        <v>4.6085794204409003E-2</v>
      </c>
      <c r="U625" s="331">
        <f t="shared" si="321"/>
        <v>7.8333707075781582</v>
      </c>
      <c r="V625" s="332">
        <f t="shared" si="322"/>
        <v>-130.55142625463444</v>
      </c>
      <c r="W625" s="334">
        <f t="shared" si="315"/>
        <v>49.448573745365564</v>
      </c>
      <c r="X625" s="307" t="s">
        <v>322</v>
      </c>
      <c r="AA625" s="307">
        <f>Zero2</f>
        <v>7986.0978109165717</v>
      </c>
      <c r="AB625" s="333">
        <f>20*LOG10((K625/(I625*M625))*AEA)</f>
        <v>18.752219201024406</v>
      </c>
      <c r="AC625" s="334">
        <f>(L625-(J625+N625))*radconv</f>
        <v>-47.664812709935063</v>
      </c>
      <c r="AE625" s="333">
        <f t="shared" si="323"/>
        <v>13.513725364429499</v>
      </c>
      <c r="AF625" s="334">
        <f t="shared" si="324"/>
        <v>-81.092553727536384</v>
      </c>
    </row>
    <row r="626" spans="1:32" x14ac:dyDescent="0.25">
      <c r="A626" s="416">
        <f>pole3</f>
        <v>202840</v>
      </c>
      <c r="B626" s="342"/>
      <c r="C626" s="343">
        <f t="shared" si="306"/>
        <v>126.4454415928613</v>
      </c>
      <c r="D626" s="336">
        <f t="shared" si="307"/>
        <v>1.562887695120335</v>
      </c>
      <c r="E626" s="336">
        <f t="shared" si="308"/>
        <v>1.0035314953331251</v>
      </c>
      <c r="F626" s="337">
        <f t="shared" si="309"/>
        <v>8.3918218210302958E-2</v>
      </c>
      <c r="G626" s="326">
        <f t="shared" si="316"/>
        <v>1</v>
      </c>
      <c r="H626" s="327">
        <f t="shared" si="317"/>
        <v>0</v>
      </c>
      <c r="I626" s="343">
        <f t="shared" si="310"/>
        <v>318135.93318002322</v>
      </c>
      <c r="J626" s="344">
        <f t="shared" si="311"/>
        <v>1.5707931834844568</v>
      </c>
      <c r="K626" s="336">
        <f t="shared" si="312"/>
        <v>25.418816036939422</v>
      </c>
      <c r="L626" s="337">
        <f t="shared" si="313"/>
        <v>1.531445236252341</v>
      </c>
      <c r="M626" s="325">
        <f t="shared" si="314"/>
        <v>1.549939238537972</v>
      </c>
      <c r="N626" s="328">
        <f t="shared" si="318"/>
        <v>0.86952885914909628</v>
      </c>
      <c r="O626" s="343">
        <f t="shared" si="325"/>
        <v>1.5457403275212187</v>
      </c>
      <c r="P626" s="691">
        <f t="shared" si="326"/>
        <v>0.86723271315715567</v>
      </c>
      <c r="Q626" s="336">
        <f t="shared" si="327"/>
        <v>9.1798453734409975</v>
      </c>
      <c r="R626" s="692">
        <f t="shared" si="328"/>
        <v>1.1088967811863726</v>
      </c>
      <c r="S626" s="343">
        <f t="shared" si="319"/>
        <v>1.1695531037541294</v>
      </c>
      <c r="T626" s="330" t="e">
        <f t="shared" si="320"/>
        <v>#DIV/0!</v>
      </c>
      <c r="U626" s="331">
        <f t="shared" si="321"/>
        <v>-31.308592459925105</v>
      </c>
      <c r="V626" s="332" t="e">
        <f t="shared" si="322"/>
        <v>#DIV/0!</v>
      </c>
      <c r="W626" s="334" t="e">
        <f t="shared" si="315"/>
        <v>#DIV/0!</v>
      </c>
      <c r="X626" s="307" t="s">
        <v>320</v>
      </c>
      <c r="AB626" s="333">
        <f>20*LOG10((K626/(I626*M626))*AEA)</f>
        <v>11.951782798197426</v>
      </c>
      <c r="AC626" s="334">
        <f>(L626-(J626+N626))*radconv</f>
        <v>-52.074805162476487</v>
      </c>
      <c r="AE626" s="333">
        <f t="shared" si="323"/>
        <v>-15.745198864193044</v>
      </c>
      <c r="AF626" s="334" t="e">
        <f t="shared" si="324"/>
        <v>#DIV/0!</v>
      </c>
    </row>
    <row r="627" spans="1:32" ht="13" thickBot="1" x14ac:dyDescent="0.3">
      <c r="A627" s="393">
        <f>Fp2_u</f>
        <v>171289.73280628308</v>
      </c>
      <c r="C627" s="343">
        <f>SQRT(1+(A627/pole1)^2)</f>
        <v>106.77912837553733</v>
      </c>
      <c r="D627" s="336">
        <f>ATAN(A627/pole1)</f>
        <v>1.5614310638133737</v>
      </c>
      <c r="E627" s="336">
        <f>SQRT(1+(A627/Zero1)^2)</f>
        <v>1.0025196109828278</v>
      </c>
      <c r="F627" s="337">
        <f>ATAN(A627/Zero1)</f>
        <v>7.0913073072987193E-2</v>
      </c>
      <c r="G627" s="326">
        <f t="shared" si="316"/>
        <v>1</v>
      </c>
      <c r="H627" s="327">
        <f t="shared" si="317"/>
        <v>0</v>
      </c>
      <c r="I627" s="343">
        <f>SQRT(1+(A627/Pole2)^2)</f>
        <v>268652.23324093869</v>
      </c>
      <c r="J627" s="344">
        <f>ATAN(A627/Pole2)</f>
        <v>1.5707926045105591</v>
      </c>
      <c r="K627" s="336">
        <f>SQRT(1+(A627/Zero2)^2)</f>
        <v>21.471788230488439</v>
      </c>
      <c r="L627" s="337">
        <f>ATAN(A627/Zero2)</f>
        <v>1.5242067346328156</v>
      </c>
      <c r="M627" s="325">
        <f>SQRT(1+(A627/pole4)^2)</f>
        <v>1.4142135623730951</v>
      </c>
      <c r="N627" s="328">
        <f t="shared" si="318"/>
        <v>0.78539816339744828</v>
      </c>
      <c r="O627" s="343">
        <f t="shared" si="325"/>
        <v>1.410932554918038</v>
      </c>
      <c r="P627" s="691">
        <f t="shared" si="326"/>
        <v>0.78307003355912408</v>
      </c>
      <c r="Q627" s="336">
        <f t="shared" si="327"/>
        <v>8.0653009334163848</v>
      </c>
      <c r="R627" s="692">
        <f t="shared" si="328"/>
        <v>1.0361157497674431</v>
      </c>
      <c r="S627" s="343">
        <f t="shared" si="319"/>
        <v>1.0284625307724462</v>
      </c>
      <c r="T627" s="330">
        <f t="shared" si="320"/>
        <v>1.2880936384311765</v>
      </c>
      <c r="U627" s="331">
        <f t="shared" si="321"/>
        <v>-27.602002537943594</v>
      </c>
      <c r="V627" s="332">
        <f t="shared" si="322"/>
        <v>-221.370344801995</v>
      </c>
      <c r="W627" s="334">
        <f>IF(V627&gt;0,V627,V627+180)</f>
        <v>-41.370344801995003</v>
      </c>
      <c r="X627" s="307" t="s">
        <v>332</v>
      </c>
      <c r="AB627" s="345"/>
      <c r="AC627" s="346"/>
      <c r="AE627" s="333">
        <f t="shared" si="323"/>
        <v>-13.168995911900918</v>
      </c>
      <c r="AF627" s="334">
        <f t="shared" si="324"/>
        <v>-159.20271943941594</v>
      </c>
    </row>
    <row r="628" spans="1:32" x14ac:dyDescent="0.25">
      <c r="A628" s="393">
        <f>z_RHP</f>
        <v>0</v>
      </c>
      <c r="C628" s="343">
        <f>SQRT(1+(A628/pole1)^2)</f>
        <v>1</v>
      </c>
      <c r="D628" s="336">
        <f>ATAN(A628/pole1)</f>
        <v>0</v>
      </c>
      <c r="E628" s="336">
        <f>SQRT(1+(A628/Zero1)^2)</f>
        <v>1</v>
      </c>
      <c r="F628" s="337">
        <f>ATAN(A628/Zero1)</f>
        <v>0</v>
      </c>
      <c r="G628" s="326">
        <f t="shared" si="316"/>
        <v>1</v>
      </c>
      <c r="H628" s="327">
        <f t="shared" si="317"/>
        <v>0</v>
      </c>
      <c r="I628" s="343">
        <f>SQRT(1+(A628/Pole2)^2)</f>
        <v>1</v>
      </c>
      <c r="J628" s="344">
        <f>ATAN(A628/Pole2)</f>
        <v>0</v>
      </c>
      <c r="K628" s="336">
        <f>SQRT(1+(A628/Zero2)^2)</f>
        <v>1</v>
      </c>
      <c r="L628" s="337">
        <f>ATAN(A628/Zero2)</f>
        <v>0</v>
      </c>
      <c r="M628" s="325">
        <f>SQRT(1+(A628/pole4)^2)</f>
        <v>1</v>
      </c>
      <c r="N628" s="328">
        <f t="shared" si="318"/>
        <v>0</v>
      </c>
      <c r="O628" s="343">
        <f t="shared" si="325"/>
        <v>1</v>
      </c>
      <c r="P628" s="691">
        <f t="shared" si="326"/>
        <v>0</v>
      </c>
      <c r="Q628" s="336">
        <f t="shared" si="327"/>
        <v>4.1565656565656566</v>
      </c>
      <c r="R628" s="692">
        <f t="shared" si="328"/>
        <v>0</v>
      </c>
      <c r="S628" s="343">
        <f t="shared" si="319"/>
        <v>1</v>
      </c>
      <c r="T628" s="330">
        <f t="shared" si="320"/>
        <v>0</v>
      </c>
      <c r="U628" s="331">
        <f t="shared" si="321"/>
        <v>100.91397513351644</v>
      </c>
      <c r="V628" s="332">
        <f t="shared" si="322"/>
        <v>0</v>
      </c>
      <c r="W628" s="334">
        <f>IF(V628&gt;0,V628,V628+180)</f>
        <v>180</v>
      </c>
      <c r="X628" s="307" t="s">
        <v>426</v>
      </c>
      <c r="AB628" s="341"/>
      <c r="AC628" s="341"/>
      <c r="AE628" s="333">
        <f t="shared" si="323"/>
        <v>27.622643458460235</v>
      </c>
      <c r="AF628" s="334">
        <f t="shared" si="324"/>
        <v>0</v>
      </c>
    </row>
    <row r="629" spans="1:32" x14ac:dyDescent="0.25">
      <c r="A629" s="393">
        <f>Fp2_u</f>
        <v>171289.73280628308</v>
      </c>
      <c r="U629" s="331">
        <v>-25</v>
      </c>
    </row>
    <row r="631" spans="1:32" x14ac:dyDescent="0.25">
      <c r="D631" s="307" t="s">
        <v>351</v>
      </c>
      <c r="E631" s="307" t="s">
        <v>352</v>
      </c>
    </row>
    <row r="632" spans="1:32" x14ac:dyDescent="0.25">
      <c r="A632" s="307" t="s">
        <v>324</v>
      </c>
      <c r="B632" s="307" t="s">
        <v>423</v>
      </c>
      <c r="C632" s="347">
        <f>pole1</f>
        <v>1604.2202951050137</v>
      </c>
      <c r="D632" s="347">
        <f>U622</f>
        <v>30.060129489290471</v>
      </c>
      <c r="E632" s="347">
        <f>AE622</f>
        <v>24.61251713077273</v>
      </c>
    </row>
    <row r="633" spans="1:32" x14ac:dyDescent="0.25">
      <c r="A633" s="307" t="s">
        <v>319</v>
      </c>
      <c r="B633" s="307" t="s">
        <v>433</v>
      </c>
      <c r="C633" s="347">
        <f>Zero1</f>
        <v>2411438.5344508542</v>
      </c>
      <c r="D633" s="347">
        <f>U623</f>
        <v>-112.03250325732617</v>
      </c>
      <c r="E633" s="347">
        <f>AE623</f>
        <v>-75.892956134828523</v>
      </c>
    </row>
    <row r="634" spans="1:32" x14ac:dyDescent="0.25">
      <c r="A634" s="307" t="s">
        <v>327</v>
      </c>
      <c r="B634" s="307" t="s">
        <v>434</v>
      </c>
      <c r="C634" s="347">
        <f>Pole2</f>
        <v>0.6375890895864984</v>
      </c>
      <c r="D634" s="347">
        <f>U624</f>
        <v>97.903674518397125</v>
      </c>
      <c r="E634" s="347">
        <f>AE624</f>
        <v>27.622642772465703</v>
      </c>
    </row>
    <row r="635" spans="1:32" x14ac:dyDescent="0.25">
      <c r="A635" s="307" t="s">
        <v>322</v>
      </c>
      <c r="B635" s="307" t="s">
        <v>435</v>
      </c>
      <c r="C635" s="347">
        <f>Zero2</f>
        <v>7986.0978109165717</v>
      </c>
      <c r="D635" s="347">
        <f>U625</f>
        <v>7.8333707075781582</v>
      </c>
      <c r="E635" s="347">
        <f>AE625</f>
        <v>13.513725364429499</v>
      </c>
    </row>
    <row r="636" spans="1:32" x14ac:dyDescent="0.25">
      <c r="A636" s="307" t="s">
        <v>320</v>
      </c>
      <c r="B636" s="307" t="s">
        <v>432</v>
      </c>
      <c r="C636" s="307">
        <f>pole3</f>
        <v>202840</v>
      </c>
      <c r="D636" s="347">
        <f>U626</f>
        <v>-31.308592459925105</v>
      </c>
      <c r="E636" s="347">
        <f>AE626</f>
        <v>-15.745198864193044</v>
      </c>
    </row>
    <row r="637" spans="1:32" x14ac:dyDescent="0.25">
      <c r="C637" s="393"/>
      <c r="D637" s="347"/>
      <c r="E637" s="347"/>
    </row>
    <row r="639" spans="1:32" x14ac:dyDescent="0.25">
      <c r="A639" s="347">
        <f>U4*1000</f>
        <v>15668.5</v>
      </c>
    </row>
    <row r="640" spans="1:32" x14ac:dyDescent="0.25">
      <c r="A640" s="347">
        <f>U4*1000</f>
        <v>15668.5</v>
      </c>
    </row>
    <row r="687" spans="34:35" x14ac:dyDescent="0.25">
      <c r="AH687" t="s">
        <v>44</v>
      </c>
      <c r="AI687" s="4">
        <f>SUM(AI689:AI1306)</f>
        <v>0</v>
      </c>
    </row>
  </sheetData>
  <mergeCells count="24">
    <mergeCell ref="B10:B11"/>
    <mergeCell ref="A2:D2"/>
    <mergeCell ref="J2:L2"/>
    <mergeCell ref="A10:A12"/>
    <mergeCell ref="S10:T10"/>
    <mergeCell ref="T2:V2"/>
    <mergeCell ref="G11:H11"/>
    <mergeCell ref="E2:G2"/>
    <mergeCell ref="C10:H10"/>
    <mergeCell ref="I10:N10"/>
    <mergeCell ref="U10:W10"/>
    <mergeCell ref="O10:R10"/>
    <mergeCell ref="M2:O2"/>
    <mergeCell ref="P2:S2"/>
    <mergeCell ref="AB10:AC10"/>
    <mergeCell ref="AE10:AF10"/>
    <mergeCell ref="C11:D11"/>
    <mergeCell ref="E11:F11"/>
    <mergeCell ref="I11:J11"/>
    <mergeCell ref="K11:L11"/>
    <mergeCell ref="M11:N11"/>
    <mergeCell ref="S11:T11"/>
    <mergeCell ref="O11:P11"/>
    <mergeCell ref="Q11:R11"/>
  </mergeCells>
  <pageMargins left="0.75" right="0.75" top="1" bottom="1" header="0.5" footer="0.5"/>
  <pageSetup scale="48" orientation="portrait" horizontalDpi="300" verticalDpi="300" r:id="rId1"/>
  <headerFooter alignWithMargins="0"/>
  <colBreaks count="1" manualBreakCount="1">
    <brk id="23" max="1048575" man="1"/>
  </colBreaks>
  <ignoredErrors>
    <ignoredError sqref="F13 A628"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N9"/>
  <sheetViews>
    <sheetView topLeftCell="A7" zoomScaleNormal="100" workbookViewId="0">
      <selection activeCell="B19" sqref="B19"/>
    </sheetView>
  </sheetViews>
  <sheetFormatPr defaultRowHeight="12.5" x14ac:dyDescent="0.25"/>
  <cols>
    <col min="1" max="1" width="10.54296875" customWidth="1"/>
    <col min="2" max="2" width="129.36328125" customWidth="1"/>
  </cols>
  <sheetData>
    <row r="1" spans="1:14" x14ac:dyDescent="0.25">
      <c r="J1" s="113" t="s">
        <v>590</v>
      </c>
      <c r="N1" s="113" t="s">
        <v>592</v>
      </c>
    </row>
    <row r="2" spans="1:14" x14ac:dyDescent="0.25">
      <c r="A2" t="str">
        <f>CHOOSE(BODE_PLOT_TYPE, "BODE_PLOT_Ch1", "BODE_PLOT_Ch2")</f>
        <v>BODE_PLOT_Ch1</v>
      </c>
      <c r="J2" s="113" t="s">
        <v>591</v>
      </c>
      <c r="N2" s="113" t="s">
        <v>682</v>
      </c>
    </row>
    <row r="3" spans="1:14" x14ac:dyDescent="0.25">
      <c r="J3" s="113" t="s">
        <v>589</v>
      </c>
    </row>
    <row r="4" spans="1:14" x14ac:dyDescent="0.25">
      <c r="J4" s="113" t="s">
        <v>588</v>
      </c>
    </row>
    <row r="5" spans="1:14" ht="409.5" customHeight="1" x14ac:dyDescent="0.25">
      <c r="B5" s="521"/>
    </row>
    <row r="6" spans="1:14" ht="12" customHeight="1" x14ac:dyDescent="0.25">
      <c r="B6" s="521"/>
      <c r="F6">
        <f ca="1">INDIRECT(A2)</f>
        <v>0</v>
      </c>
    </row>
    <row r="7" spans="1:14" ht="34.5" customHeight="1" x14ac:dyDescent="0.25"/>
    <row r="8" spans="1:14" ht="409.5" customHeight="1" x14ac:dyDescent="0.25">
      <c r="B8" s="521"/>
    </row>
    <row r="9" spans="1:14" x14ac:dyDescent="0.25">
      <c r="B9" s="52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92D050"/>
  </sheetPr>
  <dimension ref="A1:BM209"/>
  <sheetViews>
    <sheetView zoomScaleNormal="100" workbookViewId="0">
      <pane ySplit="8" topLeftCell="A33" activePane="bottomLeft" state="frozen"/>
      <selection activeCell="F1" sqref="F1"/>
      <selection pane="bottomLeft" activeCell="B67" sqref="B67"/>
    </sheetView>
  </sheetViews>
  <sheetFormatPr defaultRowHeight="12.5" x14ac:dyDescent="0.25"/>
  <cols>
    <col min="1" max="1" width="19.6328125" customWidth="1"/>
    <col min="2" max="2" width="13.08984375" bestFit="1" customWidth="1"/>
    <col min="4" max="4" width="74.54296875" customWidth="1"/>
    <col min="6" max="6" width="9.08984375" customWidth="1"/>
    <col min="7" max="7" width="6.6328125" customWidth="1"/>
    <col min="8" max="8" width="9.08984375" style="530"/>
    <col min="9" max="10" width="9.6328125" customWidth="1"/>
    <col min="11" max="11" width="8.08984375" customWidth="1"/>
    <col min="12" max="12" width="7.453125" customWidth="1"/>
    <col min="13" max="13" width="10.6328125" style="348" customWidth="1"/>
    <col min="14" max="16" width="8.6328125" style="4" customWidth="1"/>
    <col min="17" max="17" width="12.08984375" style="4" customWidth="1"/>
    <col min="18" max="18" width="8" style="4" customWidth="1"/>
    <col min="19" max="19" width="9.453125" style="300" customWidth="1"/>
    <col min="20" max="20" width="8" customWidth="1"/>
    <col min="21" max="21" width="9.36328125" customWidth="1"/>
    <col min="22" max="22" width="8.6328125" style="4" customWidth="1"/>
    <col min="23" max="23" width="9.6328125" customWidth="1"/>
    <col min="24" max="24" width="10.6328125" customWidth="1"/>
    <col min="25" max="25" width="9.6328125" style="300" customWidth="1"/>
    <col min="26" max="26" width="10.54296875" customWidth="1"/>
    <col min="28" max="29" width="8.54296875" customWidth="1"/>
    <col min="30" max="30" width="11.6328125" customWidth="1"/>
    <col min="31" max="31" width="12.6328125" customWidth="1"/>
    <col min="32" max="32" width="8" customWidth="1"/>
    <col min="33" max="33" width="9.6328125" customWidth="1"/>
    <col min="34" max="35" width="8.6328125" customWidth="1"/>
    <col min="36" max="36" width="10.54296875" customWidth="1"/>
    <col min="37" max="37" width="10.36328125" customWidth="1"/>
    <col min="38" max="38" width="13.6328125" customWidth="1"/>
    <col min="39" max="39" width="12" style="300" customWidth="1"/>
    <col min="40" max="40" width="11.54296875" customWidth="1"/>
    <col min="41" max="41" width="9.36328125" customWidth="1"/>
    <col min="42" max="43" width="10.453125" customWidth="1"/>
    <col min="44" max="44" width="14.6328125" customWidth="1"/>
    <col min="46" max="46" width="8.453125" style="4" customWidth="1"/>
    <col min="47" max="47" width="7.36328125" customWidth="1"/>
    <col min="48" max="48" width="10.08984375" style="9" customWidth="1"/>
    <col min="49" max="49" width="12.453125" style="366" customWidth="1"/>
    <col min="50" max="50" width="11.453125" style="366" customWidth="1"/>
    <col min="51" max="51" width="3.36328125" customWidth="1"/>
    <col min="52" max="52" width="7.6328125" style="348" customWidth="1"/>
    <col min="53" max="53" width="9.08984375" style="300"/>
    <col min="54" max="54" width="10.36328125" style="300" customWidth="1"/>
    <col min="55" max="55" width="12.08984375" style="300" customWidth="1"/>
    <col min="56" max="56" width="8.6328125" style="300" customWidth="1"/>
    <col min="57" max="57" width="7.6328125" customWidth="1"/>
    <col min="61" max="61" width="28.453125" customWidth="1"/>
    <col min="64" max="64" width="12.453125" bestFit="1" customWidth="1"/>
  </cols>
  <sheetData>
    <row r="1" spans="1:65" ht="12.75" customHeight="1" x14ac:dyDescent="0.25">
      <c r="A1" s="884" t="s">
        <v>675</v>
      </c>
      <c r="B1" s="884"/>
      <c r="C1" s="884"/>
      <c r="D1" s="884"/>
    </row>
    <row r="2" spans="1:65" ht="12.75" customHeight="1" x14ac:dyDescent="0.25">
      <c r="A2" s="884"/>
      <c r="B2" s="884"/>
      <c r="C2" s="884"/>
      <c r="D2" s="884"/>
      <c r="H2" s="535">
        <f>AV19</f>
        <v>0.64537779464315415</v>
      </c>
      <c r="I2" s="113" t="s">
        <v>580</v>
      </c>
      <c r="J2" s="113"/>
      <c r="AK2" s="113"/>
    </row>
    <row r="3" spans="1:65" ht="12.75" customHeight="1" x14ac:dyDescent="0.25">
      <c r="A3" s="884"/>
      <c r="B3" s="884"/>
      <c r="C3" s="884"/>
      <c r="D3" s="884"/>
      <c r="H3" s="535">
        <f>AV59</f>
        <v>0.87783219801713863</v>
      </c>
      <c r="I3" s="113" t="s">
        <v>582</v>
      </c>
      <c r="J3" s="113"/>
      <c r="AK3" s="113"/>
      <c r="AP3">
        <f>IF(MODE=1, (Qg_Q1+Qg_Q2)*Fsw*Vin, (Qg_Q1+Qg_Q2+Qg_Q3+Qg_Q4)*Fsw*Vin)</f>
        <v>0.10709952</v>
      </c>
    </row>
    <row r="4" spans="1:65" ht="12.75" customHeight="1" x14ac:dyDescent="0.25">
      <c r="A4" s="884"/>
      <c r="B4" s="884"/>
      <c r="C4" s="884"/>
      <c r="D4" s="884"/>
      <c r="H4" s="535">
        <f>AV109</f>
        <v>0.91732777706265622</v>
      </c>
      <c r="I4" s="113" t="s">
        <v>581</v>
      </c>
      <c r="J4" s="113"/>
      <c r="AK4" s="113"/>
      <c r="AO4" s="113" t="s">
        <v>710</v>
      </c>
      <c r="AP4">
        <f>(Qg_Q1+Qg_Q2)*Fsw*1000</f>
        <v>16.2272</v>
      </c>
      <c r="AQ4" s="113" t="s">
        <v>64</v>
      </c>
      <c r="AR4">
        <f>AP4*5/1000</f>
        <v>8.1136E-2</v>
      </c>
    </row>
    <row r="5" spans="1:65" ht="13" x14ac:dyDescent="0.3">
      <c r="A5" s="10"/>
      <c r="B5" s="11"/>
      <c r="C5" s="6"/>
      <c r="D5" s="6"/>
    </row>
    <row r="6" spans="1:65" ht="13.5" customHeight="1" thickBot="1" x14ac:dyDescent="0.3">
      <c r="A6" s="885" t="s">
        <v>458</v>
      </c>
      <c r="B6" s="885"/>
      <c r="C6" s="885"/>
      <c r="D6" s="885"/>
    </row>
    <row r="7" spans="1:65" ht="13.5" thickBot="1" x14ac:dyDescent="0.35">
      <c r="A7" s="885"/>
      <c r="B7" s="885"/>
      <c r="C7" s="885"/>
      <c r="D7" s="885"/>
      <c r="G7" s="877" t="s">
        <v>574</v>
      </c>
      <c r="H7" s="878"/>
      <c r="I7" s="878"/>
      <c r="J7" s="878"/>
      <c r="K7" s="878"/>
      <c r="L7" s="878"/>
      <c r="M7" s="878"/>
      <c r="N7" s="879"/>
      <c r="O7" s="591"/>
      <c r="P7" s="591"/>
      <c r="Q7" s="591"/>
      <c r="R7" s="877" t="s">
        <v>469</v>
      </c>
      <c r="S7" s="878"/>
      <c r="T7" s="878"/>
      <c r="U7" s="879"/>
      <c r="V7" s="886" t="s">
        <v>25</v>
      </c>
      <c r="W7" s="887"/>
      <c r="X7" s="888"/>
      <c r="Y7" s="877" t="s">
        <v>57</v>
      </c>
      <c r="Z7" s="878"/>
      <c r="AA7" s="879"/>
      <c r="AB7" s="877" t="s">
        <v>571</v>
      </c>
      <c r="AC7" s="878"/>
      <c r="AD7" s="878"/>
      <c r="AE7" s="878"/>
      <c r="AF7" s="878"/>
      <c r="AG7" s="879"/>
      <c r="AH7" s="877" t="s">
        <v>572</v>
      </c>
      <c r="AI7" s="878"/>
      <c r="AJ7" s="878"/>
      <c r="AK7" s="879"/>
      <c r="AL7" s="453" t="s">
        <v>198</v>
      </c>
      <c r="AM7" s="455" t="s">
        <v>445</v>
      </c>
      <c r="AN7" s="454" t="s">
        <v>487</v>
      </c>
      <c r="AO7" s="880" t="s">
        <v>476</v>
      </c>
      <c r="AP7" s="881"/>
      <c r="AQ7" s="881"/>
      <c r="AR7" s="882"/>
      <c r="AS7" s="883"/>
      <c r="AT7" s="877" t="s">
        <v>484</v>
      </c>
      <c r="AU7" s="878"/>
      <c r="AV7" s="878"/>
      <c r="AW7" s="878"/>
      <c r="AX7" s="878"/>
      <c r="AY7" s="527"/>
      <c r="AZ7" s="876" t="s">
        <v>485</v>
      </c>
      <c r="BA7" s="876"/>
      <c r="BB7" s="876"/>
      <c r="BC7" s="876"/>
      <c r="BD7" s="876"/>
      <c r="BE7" s="876"/>
    </row>
    <row r="8" spans="1:65" ht="65.5" thickBot="1" x14ac:dyDescent="0.65">
      <c r="A8" s="569" t="s">
        <v>108</v>
      </c>
      <c r="B8" s="13"/>
      <c r="C8" s="13"/>
      <c r="D8" s="6"/>
      <c r="G8" s="438" t="s">
        <v>53</v>
      </c>
      <c r="H8" s="522" t="s">
        <v>3</v>
      </c>
      <c r="I8" s="522" t="s">
        <v>573</v>
      </c>
      <c r="J8" s="522" t="s">
        <v>5</v>
      </c>
      <c r="K8" s="439" t="s">
        <v>679</v>
      </c>
      <c r="L8" s="439" t="s">
        <v>294</v>
      </c>
      <c r="M8" s="450" t="s">
        <v>575</v>
      </c>
      <c r="N8" s="524" t="s">
        <v>470</v>
      </c>
      <c r="O8" s="592" t="s">
        <v>723</v>
      </c>
      <c r="P8" s="592" t="s">
        <v>724</v>
      </c>
      <c r="Q8" s="592" t="s">
        <v>725</v>
      </c>
      <c r="R8" s="523" t="s">
        <v>570</v>
      </c>
      <c r="S8" s="452" t="s">
        <v>87</v>
      </c>
      <c r="T8" s="439" t="s">
        <v>569</v>
      </c>
      <c r="U8" s="440" t="s">
        <v>505</v>
      </c>
      <c r="V8" s="523" t="s">
        <v>472</v>
      </c>
      <c r="W8" s="441" t="s">
        <v>471</v>
      </c>
      <c r="X8" s="440" t="s">
        <v>504</v>
      </c>
      <c r="Y8" s="451" t="s">
        <v>473</v>
      </c>
      <c r="Z8" s="439" t="s">
        <v>474</v>
      </c>
      <c r="AA8" s="440" t="s">
        <v>502</v>
      </c>
      <c r="AB8" s="438" t="s">
        <v>84</v>
      </c>
      <c r="AC8" s="439" t="s">
        <v>475</v>
      </c>
      <c r="AD8" s="439" t="s">
        <v>721</v>
      </c>
      <c r="AE8" s="593" t="s">
        <v>722</v>
      </c>
      <c r="AF8" s="442" t="s">
        <v>199</v>
      </c>
      <c r="AG8" s="440" t="s">
        <v>567</v>
      </c>
      <c r="AH8" s="438" t="s">
        <v>84</v>
      </c>
      <c r="AI8" s="439" t="s">
        <v>475</v>
      </c>
      <c r="AJ8" s="439" t="s">
        <v>478</v>
      </c>
      <c r="AK8" s="443" t="s">
        <v>568</v>
      </c>
      <c r="AL8" s="440" t="s">
        <v>478</v>
      </c>
      <c r="AM8" s="456" t="s">
        <v>93</v>
      </c>
      <c r="AN8" s="457" t="s">
        <v>486</v>
      </c>
      <c r="AO8" s="444" t="s">
        <v>479</v>
      </c>
      <c r="AP8" s="445" t="s">
        <v>135</v>
      </c>
      <c r="AQ8" s="446" t="s">
        <v>201</v>
      </c>
      <c r="AR8" s="445" t="s">
        <v>711</v>
      </c>
      <c r="AS8" s="447" t="s">
        <v>477</v>
      </c>
      <c r="AT8" s="448" t="s">
        <v>54</v>
      </c>
      <c r="AU8" s="439" t="s">
        <v>284</v>
      </c>
      <c r="AV8" s="449" t="s">
        <v>481</v>
      </c>
      <c r="AW8" s="533" t="str">
        <f>IF(Vin&gt;Vout, "Buck ''CONTROL'' MOSFET Temp Rise", "Boost ''CONTROL'' MOSFET Temp Rise")</f>
        <v>Buck ''CONTROL'' MOSFET Temp Rise</v>
      </c>
      <c r="AX8" s="533" t="str">
        <f>IF(Vin&gt;Vout, "Buck ''SYNC'' MOSFET Temp Rise", "Boost ''SYNC'' MOSFET Temp Rise")</f>
        <v>Buck ''SYNC'' MOSFET Temp Rise</v>
      </c>
      <c r="AZ8" s="528" t="s">
        <v>480</v>
      </c>
      <c r="BA8" s="529" t="s">
        <v>503</v>
      </c>
      <c r="BB8" s="529" t="s">
        <v>576</v>
      </c>
      <c r="BC8" s="529" t="s">
        <v>673</v>
      </c>
      <c r="BD8" s="529" t="s">
        <v>674</v>
      </c>
      <c r="BE8" s="529" t="s">
        <v>551</v>
      </c>
      <c r="BF8" s="529"/>
    </row>
    <row r="9" spans="1:65" ht="13" x14ac:dyDescent="0.3">
      <c r="A9" s="14" t="s">
        <v>55</v>
      </c>
      <c r="B9" s="15" t="s">
        <v>111</v>
      </c>
      <c r="C9" s="16" t="s">
        <v>76</v>
      </c>
      <c r="D9" s="17" t="s">
        <v>107</v>
      </c>
      <c r="G9">
        <v>0</v>
      </c>
      <c r="H9" s="531">
        <f t="shared" ref="H9:H40" si="0">Vin</f>
        <v>6.6</v>
      </c>
      <c r="I9" s="4">
        <f t="shared" ref="I9:I40" si="1">MODE</f>
        <v>1</v>
      </c>
      <c r="J9">
        <v>0</v>
      </c>
      <c r="K9" s="348">
        <f t="shared" ref="K9:K40" si="2">Iout*G9/100/Number_of_Phases</f>
        <v>0</v>
      </c>
      <c r="L9" s="4">
        <f t="shared" ref="L9:L40" si="3">Vout*K9/(Vin*Efficiency)</f>
        <v>0</v>
      </c>
      <c r="M9" s="348">
        <f t="shared" ref="M9:M40" si="4">(Vout+(Rdson2+Rs+Rdcr)*K9)/(Vin+(Rs+Rdson2-Rdson1)*K9)</f>
        <v>0.5</v>
      </c>
      <c r="N9" s="4">
        <f t="shared" ref="N9:N40" si="5">(Vin-(Rdson1+Rdcr)*K9-Vout)*M9/(Fsw*Lf)</f>
        <v>0.59812428225086123</v>
      </c>
      <c r="O9" s="4">
        <f>K9+N9/2</f>
        <v>0.29906214112543061</v>
      </c>
      <c r="P9" s="4">
        <f>K9-N9/2</f>
        <v>-0.29906214112543061</v>
      </c>
      <c r="Q9" s="4">
        <f t="shared" ref="Q9:Q40" si="6">IF(MIN(Vin, -P9/(Coss_Q1+Coss_Q2)*0.00000002)&lt;0, 0, MIN(Vin, -P9/(Coss_Q1+Coss_Q2)*0.00000002))</f>
        <v>6.6</v>
      </c>
      <c r="R9" s="4">
        <f>SQRT(K9^2+(N9^2)/12)</f>
        <v>0.17266360768319322</v>
      </c>
      <c r="S9" s="348">
        <f t="shared" ref="S9:S40" si="7">R9^2*Rdcr</f>
        <v>1.2223215781452019E-4</v>
      </c>
      <c r="T9" s="348">
        <f t="shared" ref="T9:T40" si="8">Core_Loss_Ch1</f>
        <v>0.2</v>
      </c>
      <c r="U9" s="348">
        <f t="shared" ref="U9:U40" si="9">(T9+S9*(1+Ltc*(Ta-25)))/(1-S9*Ltc*ThetaCa)</f>
        <v>0.20012418908673157</v>
      </c>
      <c r="V9" s="4">
        <f>N9/SQRT(12)</f>
        <v>0.17266360768319322</v>
      </c>
      <c r="W9" s="348">
        <f t="shared" ref="W9:W73" si="10">RCoutEsr*V9^2</f>
        <v>2.9812721418175661E-5</v>
      </c>
      <c r="X9" s="348">
        <f>W9</f>
        <v>2.9812721418175661E-5</v>
      </c>
      <c r="Y9" s="4">
        <f>SQRT(M9*(1-M9))*SQRT(K9^2+(N9^2)/12)</f>
        <v>8.633180384159661E-2</v>
      </c>
      <c r="Z9" s="348">
        <f t="shared" ref="Z9:Z73" si="11">RCinEsr*Y9^2</f>
        <v>2.2359541063631745E-5</v>
      </c>
      <c r="AA9" s="525">
        <f>Z9</f>
        <v>2.2359541063631745E-5</v>
      </c>
      <c r="AB9" s="348">
        <f>SQRT(M9)*SQRT(K9^2+(N9^2)/12)</f>
        <v>0.12209160785691961</v>
      </c>
      <c r="AC9" s="348">
        <f t="shared" ref="AC9:AC40" si="12">Rdson1*AB9^2</f>
        <v>1.1925088567270267E-4</v>
      </c>
      <c r="AD9" s="348">
        <f t="shared" ref="AD9:AD40" si="13">(Vin*K9/2)*Fsw*(Tr_buck+Tf_buck)</f>
        <v>0</v>
      </c>
      <c r="AE9" s="348">
        <f t="shared" ref="AE9:AE40" si="14">(0.5*Coss_Q1*(Vin-Q9)^2-0.5*Coss_Q2*(Vin-Q9)^2+(Qoss_Q2*(Vin-Q9)/Vin)*Vin)*Fsw</f>
        <v>0</v>
      </c>
      <c r="AF9" s="348">
        <f t="shared" ref="AF9:AF40" si="15">IF(K9&gt;N9/2,0,ABS(K9-N9/2)*Vsd_Q1*Deadtime*Fsw)</f>
        <v>1.3588235294117645E-3</v>
      </c>
      <c r="AG9" s="348">
        <f t="shared" ref="AG9:AG40" si="16">(AF9+AE9+AD9+AC9*(1+RdsonTopTc*Ta-RdsonTopTc*25))/(1-AC9*RdsonTopTc*ThetaJA_Q1)</f>
        <v>1.4781131936721106E-3</v>
      </c>
      <c r="AH9" s="348">
        <f t="shared" ref="AH9:AH40" si="17">SQRT((1-M9))*SQRT(K9^2+(N9^2)/12)</f>
        <v>0.12209160785691961</v>
      </c>
      <c r="AI9" s="348">
        <f t="shared" ref="AI9:AI40" si="18">Rdson2*AH9^2</f>
        <v>8.1984983899983086E-5</v>
      </c>
      <c r="AJ9" s="348">
        <f t="shared" ref="AJ9:AJ40" si="19">IF(K9&lt;N9/2,Deadtime*Fsw*IF(VfdSky_Q2&gt;0,0,Vsd_Q2)*(K9+N9/2),2*Deadtime*Fsw*IF(VfdSky_Q2&gt;0,0,Vsd_Q2)*K9)</f>
        <v>1.3588235294117643E-3</v>
      </c>
      <c r="AK9" s="348">
        <f t="shared" ref="AK9:AK40" si="20">(AJ9+AI9*(1+RdsonBotTc*Ta-RdsonBotTc*25))/(1-AI9*RdsonBotTc*ThetaJA_Q2)</f>
        <v>1.4408345012062917E-3</v>
      </c>
      <c r="AL9" s="348">
        <f t="shared" ref="AL9:AL40" si="21">2*Deadtime*Fsw*IF(VfdSky_Q2&gt;0,VfdSky_Q2,Vsd_Q2)*K9</f>
        <v>0</v>
      </c>
      <c r="AM9" s="348">
        <f t="shared" ref="AM9:AM40" si="22">IF(QrrSky_Q2&gt;0,QrrSky_Q2,Qrr_Q2*K9/(Iout/Number_of_Phases))*Fsw*Vin</f>
        <v>0</v>
      </c>
      <c r="AN9" s="348">
        <f t="shared" ref="AN9:AN40" si="23">Rs*R9^2</f>
        <v>7.4531803545439161E-4</v>
      </c>
      <c r="AO9" s="348">
        <f t="shared" ref="AO9:AO40" si="24">Iq*Vin</f>
        <v>1.452E-5</v>
      </c>
      <c r="AP9" s="348">
        <f t="shared" ref="AP9:AP40" si="25">IF(Ext_VCC=1,  (Qg_Q1+Qg_Q2)*Fsw*VCC, (Qg_Q1+Qg_Q2)*Fsw*Vin)</f>
        <v>0.10709952</v>
      </c>
      <c r="AQ9" s="348">
        <f t="shared" ref="AQ9:AQ72" si="26">(Vin-VCC)*Fsw*(Qg_Q1+Qg_Q2)+(RdsonDRT+RdsonDRT2)*Fsw*Qg_Q1*VCC/(RdsonDRT+2*Rgate1+RdsonDRT2)+(RdsonDRB+RdsonDRB2)*Fsw*Qg_Q2*VCC/(RdsonDRB+2*Rgate2+RdsonDRB2)</f>
        <v>4.9827049411764704E-2</v>
      </c>
      <c r="AR9" s="348">
        <f t="shared" ref="AR9:AR40" si="27">(Qg_Q1+Qg_Q2)*Fsw*(Vin-VCC)</f>
        <v>2.5963519999999997E-2</v>
      </c>
      <c r="AS9" s="348">
        <f t="shared" ref="AS9:AS40" si="28">SUM(AO9:AP9)</f>
        <v>0.10711404000000001</v>
      </c>
      <c r="AT9" s="348">
        <f t="shared" ref="AT9:AT40" si="29" xml:space="preserve"> SUM(U9,X9,AA9,AG9,AK9,AL9,AM9,AS9,AN9)</f>
        <v>0.31095466707954622</v>
      </c>
      <c r="AU9">
        <f t="shared" ref="AU9:AU40" si="30">Vout*K9</f>
        <v>0</v>
      </c>
      <c r="AV9" s="526">
        <f>AU9/(AU9+AT9)</f>
        <v>0</v>
      </c>
      <c r="AW9" s="534">
        <f t="shared" ref="AW9:AW40" si="31">ThetaJA_Q1*BC9</f>
        <v>8.1296225651966078E-2</v>
      </c>
      <c r="AX9" s="534">
        <f t="shared" ref="AX9:AX40" si="32">ThetaJA_Q2*BD9</f>
        <v>7.9245897566346049E-2</v>
      </c>
      <c r="AZ9" s="4">
        <f>AV9*100</f>
        <v>0</v>
      </c>
      <c r="BA9" s="348">
        <f t="shared" ref="BA9:BA40" si="33">U9</f>
        <v>0.20012418908673157</v>
      </c>
      <c r="BB9" s="348">
        <f t="shared" ref="BB9:BB40" si="34">AG9+AK9+AM9</f>
        <v>2.9189476948784021E-3</v>
      </c>
      <c r="BC9" s="348">
        <f t="shared" ref="BC9:BC40" si="35">AG9+AM9*0.66</f>
        <v>1.4781131936721106E-3</v>
      </c>
      <c r="BD9" s="348">
        <f t="shared" ref="BD9:BD40" si="36">AK9+AM9*0.33</f>
        <v>1.4408345012062917E-3</v>
      </c>
      <c r="BE9" s="348">
        <f t="shared" ref="BE9:BE40" si="37">AN9</f>
        <v>7.4531803545439161E-4</v>
      </c>
      <c r="BJ9" s="18"/>
      <c r="BK9" s="18"/>
      <c r="BL9" s="18"/>
      <c r="BM9" s="19"/>
    </row>
    <row r="10" spans="1:65" ht="13" x14ac:dyDescent="0.3">
      <c r="A10" s="479"/>
      <c r="B10" s="24"/>
      <c r="C10" s="16"/>
      <c r="D10" s="17"/>
      <c r="G10">
        <v>1</v>
      </c>
      <c r="H10" s="531">
        <f t="shared" si="0"/>
        <v>6.6</v>
      </c>
      <c r="I10" s="4">
        <f t="shared" si="1"/>
        <v>1</v>
      </c>
      <c r="J10" s="348">
        <f t="shared" ref="J10:J41" si="38">Iout*G10/100</f>
        <v>1.7500000000000002E-2</v>
      </c>
      <c r="K10" s="348">
        <f t="shared" si="2"/>
        <v>1.7500000000000002E-2</v>
      </c>
      <c r="L10" s="4">
        <f t="shared" si="3"/>
        <v>9.7222222222222241E-3</v>
      </c>
      <c r="M10" s="348">
        <f t="shared" si="4"/>
        <v>0.5000619091853421</v>
      </c>
      <c r="N10" s="4">
        <f t="shared" si="5"/>
        <v>0.59815995663140709</v>
      </c>
      <c r="O10" s="4">
        <f t="shared" ref="O10:O73" si="39">K10+N10/2</f>
        <v>0.31657997831570356</v>
      </c>
      <c r="P10" s="4">
        <f t="shared" ref="P10:P73" si="40">K10-N10/2</f>
        <v>-0.28157997831570353</v>
      </c>
      <c r="Q10" s="4">
        <f t="shared" si="6"/>
        <v>6.6</v>
      </c>
      <c r="R10" s="4">
        <f t="shared" ref="R10:R73" si="41">SQRT(K10^2+(N10^2)/12)</f>
        <v>0.17355842765413007</v>
      </c>
      <c r="S10" s="348">
        <f t="shared" si="7"/>
        <v>1.2350236402007298E-4</v>
      </c>
      <c r="T10" s="348">
        <f t="shared" si="8"/>
        <v>0.2</v>
      </c>
      <c r="U10" s="348">
        <f t="shared" si="9"/>
        <v>0.20012547964160698</v>
      </c>
      <c r="V10" s="4">
        <f t="shared" ref="V10:V73" si="42">N10/SQRT(12)</f>
        <v>0.1726739059897989</v>
      </c>
      <c r="W10" s="348">
        <f t="shared" si="10"/>
        <v>2.9816277809773907E-5</v>
      </c>
      <c r="X10" s="348">
        <f t="shared" ref="X10:X73" si="43">W10</f>
        <v>2.9816277809773907E-5</v>
      </c>
      <c r="Y10" s="4">
        <f t="shared" ref="Y10:Y73" si="44">SQRT(M10*(1-M10))*SQRT(K10^2+(N10^2)/12)</f>
        <v>8.677921316185945E-2</v>
      </c>
      <c r="Z10" s="348">
        <f t="shared" si="11"/>
        <v>2.2591895510974322E-5</v>
      </c>
      <c r="AA10" s="525">
        <f t="shared" ref="AA10:AA73" si="45">Z10</f>
        <v>2.2591895510974322E-5</v>
      </c>
      <c r="AB10" s="348">
        <f t="shared" ref="AB10:AB73" si="46">SQRT(M10)*SQRT(K10^2+(N10^2)/12)</f>
        <v>0.12273193865511983</v>
      </c>
      <c r="AC10" s="348">
        <f t="shared" si="12"/>
        <v>1.2050503012835279E-4</v>
      </c>
      <c r="AD10" s="348">
        <f t="shared" si="13"/>
        <v>9.2269535623460604E-5</v>
      </c>
      <c r="AE10" s="348">
        <f t="shared" si="14"/>
        <v>0</v>
      </c>
      <c r="AF10" s="348">
        <f t="shared" si="15"/>
        <v>1.2793912947548836E-3</v>
      </c>
      <c r="AG10" s="348">
        <f t="shared" si="16"/>
        <v>1.4922054205237117E-3</v>
      </c>
      <c r="AH10" s="348">
        <f t="shared" si="17"/>
        <v>0.12271674312712916</v>
      </c>
      <c r="AI10" s="348">
        <f t="shared" si="18"/>
        <v>8.2826694740513907E-5</v>
      </c>
      <c r="AJ10" s="348">
        <f t="shared" si="19"/>
        <v>1.4384178547548836E-3</v>
      </c>
      <c r="AK10" s="348">
        <f t="shared" si="20"/>
        <v>1.5212722699252596E-3</v>
      </c>
      <c r="AL10" s="348">
        <f t="shared" si="21"/>
        <v>1.5902656E-4</v>
      </c>
      <c r="AM10" s="348">
        <f t="shared" si="22"/>
        <v>2.7310377599999995E-4</v>
      </c>
      <c r="AN10" s="348">
        <f t="shared" si="23"/>
        <v>7.530631952443476E-4</v>
      </c>
      <c r="AO10" s="348">
        <f t="shared" si="24"/>
        <v>1.452E-5</v>
      </c>
      <c r="AP10" s="348">
        <f t="shared" si="25"/>
        <v>0.10709952</v>
      </c>
      <c r="AQ10" s="348">
        <f t="shared" si="26"/>
        <v>4.9827049411764704E-2</v>
      </c>
      <c r="AR10" s="348">
        <f t="shared" si="27"/>
        <v>2.5963519999999997E-2</v>
      </c>
      <c r="AS10" s="348">
        <f t="shared" si="28"/>
        <v>0.10711404000000001</v>
      </c>
      <c r="AT10" s="348">
        <f t="shared" si="29"/>
        <v>0.31149059903662113</v>
      </c>
      <c r="AU10">
        <f t="shared" si="30"/>
        <v>5.7750000000000003E-2</v>
      </c>
      <c r="AV10" s="526">
        <f t="shared" ref="AV10:AV73" si="47">AU10/(AU10+AT10)</f>
        <v>0.15640208620253154</v>
      </c>
      <c r="AW10" s="534">
        <f t="shared" si="31"/>
        <v>9.1984965197604129E-2</v>
      </c>
      <c r="AX10" s="534">
        <f t="shared" si="32"/>
        <v>8.8626808380289274E-2</v>
      </c>
      <c r="AY10" s="9"/>
      <c r="AZ10" s="4">
        <f t="shared" ref="AZ10:AZ73" si="48">AV10*100</f>
        <v>15.640208620253155</v>
      </c>
      <c r="BA10" s="348">
        <f t="shared" si="33"/>
        <v>0.20012547964160698</v>
      </c>
      <c r="BB10" s="348">
        <f t="shared" si="34"/>
        <v>3.2865814664489708E-3</v>
      </c>
      <c r="BC10" s="348">
        <f t="shared" si="35"/>
        <v>1.6724539126837116E-3</v>
      </c>
      <c r="BD10" s="348">
        <f t="shared" si="36"/>
        <v>1.6113965160052595E-3</v>
      </c>
      <c r="BE10" s="348">
        <f t="shared" si="37"/>
        <v>7.530631952443476E-4</v>
      </c>
      <c r="BJ10" s="18"/>
      <c r="BK10" s="18"/>
      <c r="BL10" s="18"/>
      <c r="BM10" s="19"/>
    </row>
    <row r="11" spans="1:65" x14ac:dyDescent="0.25">
      <c r="A11" s="20" t="s">
        <v>3</v>
      </c>
      <c r="B11" s="5">
        <f>Vin</f>
        <v>6.6</v>
      </c>
      <c r="C11" s="427" t="s">
        <v>0</v>
      </c>
      <c r="D11" s="21" t="s">
        <v>3</v>
      </c>
      <c r="G11">
        <v>2</v>
      </c>
      <c r="H11" s="531">
        <f t="shared" si="0"/>
        <v>6.6</v>
      </c>
      <c r="I11" s="4">
        <f t="shared" si="1"/>
        <v>1</v>
      </c>
      <c r="J11" s="348">
        <f t="shared" si="38"/>
        <v>3.5000000000000003E-2</v>
      </c>
      <c r="K11" s="348">
        <f t="shared" si="2"/>
        <v>3.5000000000000003E-2</v>
      </c>
      <c r="L11" s="4">
        <f t="shared" si="3"/>
        <v>1.9444444444444448E-2</v>
      </c>
      <c r="M11" s="348">
        <f t="shared" si="4"/>
        <v>0.50012381098467418</v>
      </c>
      <c r="N11" s="4">
        <f t="shared" si="5"/>
        <v>0.59819561267337351</v>
      </c>
      <c r="O11" s="4">
        <f t="shared" si="39"/>
        <v>0.33409780633668673</v>
      </c>
      <c r="P11" s="4">
        <f t="shared" si="40"/>
        <v>-0.26409780633668678</v>
      </c>
      <c r="Q11" s="4">
        <f t="shared" si="6"/>
        <v>6.6</v>
      </c>
      <c r="R11" s="4">
        <f t="shared" si="41"/>
        <v>0.17619543860480438</v>
      </c>
      <c r="S11" s="348">
        <f t="shared" si="7"/>
        <v>1.2728381359907148E-4</v>
      </c>
      <c r="T11" s="348">
        <f t="shared" si="8"/>
        <v>0.2</v>
      </c>
      <c r="U11" s="348">
        <f t="shared" si="9"/>
        <v>0.20012932167146111</v>
      </c>
      <c r="V11" s="4">
        <f t="shared" si="42"/>
        <v>0.17268419900251267</v>
      </c>
      <c r="W11" s="348">
        <f t="shared" si="10"/>
        <v>2.9819832585139396E-5</v>
      </c>
      <c r="X11" s="348">
        <f t="shared" si="43"/>
        <v>2.9819832585139396E-5</v>
      </c>
      <c r="Y11" s="4">
        <f t="shared" si="44"/>
        <v>8.8097716601474099E-2</v>
      </c>
      <c r="Z11" s="348">
        <f t="shared" si="11"/>
        <v>2.3283623011180935E-5</v>
      </c>
      <c r="AA11" s="525">
        <f t="shared" si="45"/>
        <v>2.3283623011180935E-5</v>
      </c>
      <c r="AB11" s="348">
        <f t="shared" si="46"/>
        <v>0.12460441398225469</v>
      </c>
      <c r="AC11" s="348">
        <f t="shared" si="12"/>
        <v>1.2421007987088885E-4</v>
      </c>
      <c r="AD11" s="348">
        <f t="shared" si="13"/>
        <v>1.8453907124692121E-4</v>
      </c>
      <c r="AE11" s="348">
        <f t="shared" si="14"/>
        <v>0</v>
      </c>
      <c r="AF11" s="348">
        <f t="shared" si="15"/>
        <v>1.1999590184362714E-3</v>
      </c>
      <c r="AG11" s="348">
        <f t="shared" si="16"/>
        <v>1.5087493979683913E-3</v>
      </c>
      <c r="AH11" s="348">
        <f t="shared" si="17"/>
        <v>0.1245735630110911</v>
      </c>
      <c r="AI11" s="348">
        <f t="shared" si="18"/>
        <v>8.5352149307030558E-5</v>
      </c>
      <c r="AJ11" s="348">
        <f t="shared" si="19"/>
        <v>1.5180121384362711E-3</v>
      </c>
      <c r="AK11" s="348">
        <f t="shared" si="20"/>
        <v>1.603394395438026E-3</v>
      </c>
      <c r="AL11" s="348">
        <f t="shared" si="21"/>
        <v>3.1805312000000001E-4</v>
      </c>
      <c r="AM11" s="348">
        <f t="shared" si="22"/>
        <v>5.4620755199999991E-4</v>
      </c>
      <c r="AN11" s="348">
        <f t="shared" si="23"/>
        <v>7.7612081462848483E-4</v>
      </c>
      <c r="AO11" s="348">
        <f t="shared" si="24"/>
        <v>1.452E-5</v>
      </c>
      <c r="AP11" s="348">
        <f t="shared" si="25"/>
        <v>0.10709952</v>
      </c>
      <c r="AQ11" s="348">
        <f t="shared" si="26"/>
        <v>4.9827049411764704E-2</v>
      </c>
      <c r="AR11" s="348">
        <f t="shared" si="27"/>
        <v>2.5963519999999997E-2</v>
      </c>
      <c r="AS11" s="348">
        <f t="shared" si="28"/>
        <v>0.10711404000000001</v>
      </c>
      <c r="AT11" s="348">
        <f t="shared" si="29"/>
        <v>0.31204899040709227</v>
      </c>
      <c r="AU11">
        <f t="shared" si="30"/>
        <v>0.11550000000000001</v>
      </c>
      <c r="AV11" s="526">
        <f t="shared" si="47"/>
        <v>0.27014448072962649</v>
      </c>
      <c r="AW11" s="534">
        <f t="shared" si="31"/>
        <v>0.10280855102586152</v>
      </c>
      <c r="AX11" s="534">
        <f t="shared" si="32"/>
        <v>9.8100358817891434E-2</v>
      </c>
      <c r="AY11" s="9"/>
      <c r="AZ11" s="4">
        <f t="shared" si="48"/>
        <v>27.014448072962651</v>
      </c>
      <c r="BA11" s="348">
        <f t="shared" si="33"/>
        <v>0.20012932167146111</v>
      </c>
      <c r="BB11" s="348">
        <f t="shared" si="34"/>
        <v>3.6583513454064172E-3</v>
      </c>
      <c r="BC11" s="348">
        <f t="shared" si="35"/>
        <v>1.8692463822883912E-3</v>
      </c>
      <c r="BD11" s="348">
        <f t="shared" si="36"/>
        <v>1.7836428875980261E-3</v>
      </c>
      <c r="BE11" s="348">
        <f t="shared" si="37"/>
        <v>7.7612081462848483E-4</v>
      </c>
      <c r="BJ11" s="18"/>
      <c r="BK11" s="18"/>
      <c r="BL11" s="18"/>
      <c r="BM11" s="19"/>
    </row>
    <row r="12" spans="1:65" x14ac:dyDescent="0.25">
      <c r="A12" s="22" t="s">
        <v>4</v>
      </c>
      <c r="B12" s="5">
        <f>Vout</f>
        <v>3.3</v>
      </c>
      <c r="C12" s="427" t="s">
        <v>0</v>
      </c>
      <c r="D12" s="21" t="s">
        <v>4</v>
      </c>
      <c r="G12">
        <v>3</v>
      </c>
      <c r="H12" s="531">
        <f t="shared" si="0"/>
        <v>6.6</v>
      </c>
      <c r="I12" s="4">
        <f t="shared" si="1"/>
        <v>1</v>
      </c>
      <c r="J12" s="348">
        <f t="shared" si="38"/>
        <v>5.2499999999999998E-2</v>
      </c>
      <c r="K12" s="348">
        <f t="shared" si="2"/>
        <v>5.2499999999999998E-2</v>
      </c>
      <c r="L12" s="4">
        <f t="shared" si="3"/>
        <v>2.9166666666666667E-2</v>
      </c>
      <c r="M12" s="348">
        <f t="shared" si="4"/>
        <v>0.50018570539931773</v>
      </c>
      <c r="N12" s="4">
        <f t="shared" si="5"/>
        <v>0.5982312503800421</v>
      </c>
      <c r="O12" s="4">
        <f t="shared" si="39"/>
        <v>0.35161562519002104</v>
      </c>
      <c r="P12" s="4">
        <f t="shared" si="40"/>
        <v>-0.24661562519002106</v>
      </c>
      <c r="Q12" s="4">
        <f t="shared" si="6"/>
        <v>6.6</v>
      </c>
      <c r="R12" s="4">
        <f t="shared" si="41"/>
        <v>0.18049829845256821</v>
      </c>
      <c r="S12" s="348">
        <f t="shared" si="7"/>
        <v>1.3357650655151677E-4</v>
      </c>
      <c r="T12" s="348">
        <f t="shared" si="8"/>
        <v>0.2</v>
      </c>
      <c r="U12" s="348">
        <f t="shared" si="9"/>
        <v>0.20013571518092513</v>
      </c>
      <c r="V12" s="4">
        <f t="shared" si="42"/>
        <v>0.17269448672228188</v>
      </c>
      <c r="W12" s="348">
        <f t="shared" si="10"/>
        <v>2.9823385744272396E-5</v>
      </c>
      <c r="X12" s="348">
        <f t="shared" si="43"/>
        <v>2.9823385744272396E-5</v>
      </c>
      <c r="Y12" s="4">
        <f t="shared" si="44"/>
        <v>9.0249143001530169E-2</v>
      </c>
      <c r="Z12" s="348">
        <f t="shared" si="11"/>
        <v>2.4434723437531926E-5</v>
      </c>
      <c r="AA12" s="525">
        <f t="shared" si="45"/>
        <v>2.4434723437531926E-5</v>
      </c>
      <c r="AB12" s="348">
        <f t="shared" si="46"/>
        <v>0.12765527049989636</v>
      </c>
      <c r="AC12" s="348">
        <f t="shared" si="12"/>
        <v>1.3036694469121369E-4</v>
      </c>
      <c r="AD12" s="348">
        <f t="shared" si="13"/>
        <v>2.7680860687038182E-4</v>
      </c>
      <c r="AE12" s="348">
        <f t="shared" si="14"/>
        <v>0</v>
      </c>
      <c r="AF12" s="348">
        <f t="shared" si="15"/>
        <v>1.1205267004633828E-3</v>
      </c>
      <c r="AG12" s="348">
        <f t="shared" si="16"/>
        <v>1.5277460688941766E-3</v>
      </c>
      <c r="AH12" s="348">
        <f t="shared" si="17"/>
        <v>0.12760786675542649</v>
      </c>
      <c r="AI12" s="348">
        <f t="shared" si="18"/>
        <v>8.9560722118288725E-5</v>
      </c>
      <c r="AJ12" s="348">
        <f t="shared" si="19"/>
        <v>1.5976063804633825E-3</v>
      </c>
      <c r="AK12" s="348">
        <f t="shared" si="20"/>
        <v>1.6872003460955693E-3</v>
      </c>
      <c r="AL12" s="348">
        <f t="shared" si="21"/>
        <v>4.7707967999999993E-4</v>
      </c>
      <c r="AM12" s="348">
        <f t="shared" si="22"/>
        <v>8.1931132799999986E-4</v>
      </c>
      <c r="AN12" s="348">
        <f t="shared" si="23"/>
        <v>8.1449089360680982E-4</v>
      </c>
      <c r="AO12" s="348">
        <f t="shared" si="24"/>
        <v>1.452E-5</v>
      </c>
      <c r="AP12" s="348">
        <f t="shared" si="25"/>
        <v>0.10709952</v>
      </c>
      <c r="AQ12" s="348">
        <f t="shared" si="26"/>
        <v>4.9827049411764704E-2</v>
      </c>
      <c r="AR12" s="348">
        <f t="shared" si="27"/>
        <v>2.5963519999999997E-2</v>
      </c>
      <c r="AS12" s="348">
        <f t="shared" si="28"/>
        <v>0.10711404000000001</v>
      </c>
      <c r="AT12" s="348">
        <f t="shared" si="29"/>
        <v>0.31262984160670348</v>
      </c>
      <c r="AU12">
        <f t="shared" si="30"/>
        <v>0.17324999999999999</v>
      </c>
      <c r="AV12" s="526">
        <f t="shared" si="47"/>
        <v>0.35656963957816873</v>
      </c>
      <c r="AW12" s="534">
        <f t="shared" si="31"/>
        <v>0.11376703499557971</v>
      </c>
      <c r="AX12" s="534">
        <f t="shared" si="32"/>
        <v>0.1076665196384563</v>
      </c>
      <c r="AY12" s="9"/>
      <c r="AZ12" s="4">
        <f t="shared" si="48"/>
        <v>35.65696395781687</v>
      </c>
      <c r="BA12" s="348">
        <f t="shared" si="33"/>
        <v>0.20013571518092513</v>
      </c>
      <c r="BB12" s="348">
        <f t="shared" si="34"/>
        <v>4.0342577429897455E-3</v>
      </c>
      <c r="BC12" s="348">
        <f t="shared" si="35"/>
        <v>2.0684915453741764E-3</v>
      </c>
      <c r="BD12" s="348">
        <f t="shared" si="36"/>
        <v>1.9575730843355691E-3</v>
      </c>
      <c r="BE12" s="348">
        <f t="shared" si="37"/>
        <v>8.1449089360680982E-4</v>
      </c>
      <c r="BJ12" s="18"/>
      <c r="BK12" s="18"/>
      <c r="BL12" s="18"/>
      <c r="BM12" s="19"/>
    </row>
    <row r="13" spans="1:65" x14ac:dyDescent="0.25">
      <c r="A13" s="22" t="s">
        <v>6</v>
      </c>
      <c r="B13" s="5">
        <f>Fsw/1000</f>
        <v>405.68</v>
      </c>
      <c r="C13" s="427" t="s">
        <v>2</v>
      </c>
      <c r="D13" s="21" t="s">
        <v>94</v>
      </c>
      <c r="G13">
        <v>4</v>
      </c>
      <c r="H13" s="531">
        <f t="shared" si="0"/>
        <v>6.6</v>
      </c>
      <c r="I13" s="4">
        <f t="shared" si="1"/>
        <v>1</v>
      </c>
      <c r="J13" s="348">
        <f t="shared" si="38"/>
        <v>7.0000000000000007E-2</v>
      </c>
      <c r="K13" s="348">
        <f t="shared" si="2"/>
        <v>7.0000000000000007E-2</v>
      </c>
      <c r="L13" s="4">
        <f t="shared" si="3"/>
        <v>3.8888888888888896E-2</v>
      </c>
      <c r="M13" s="348">
        <f t="shared" si="4"/>
        <v>0.50024759243059425</v>
      </c>
      <c r="N13" s="4">
        <f t="shared" si="5"/>
        <v>0.59826686975469356</v>
      </c>
      <c r="O13" s="4">
        <f t="shared" si="39"/>
        <v>0.36913343487734679</v>
      </c>
      <c r="P13" s="4">
        <f t="shared" si="40"/>
        <v>-0.22913343487734678</v>
      </c>
      <c r="Q13" s="4">
        <f t="shared" si="6"/>
        <v>6.6</v>
      </c>
      <c r="R13" s="4">
        <f t="shared" si="41"/>
        <v>0.18635164954239949</v>
      </c>
      <c r="S13" s="348">
        <f t="shared" si="7"/>
        <v>1.4238044287741045E-4</v>
      </c>
      <c r="T13" s="348">
        <f t="shared" si="8"/>
        <v>0.2</v>
      </c>
      <c r="U13" s="348">
        <f t="shared" si="9"/>
        <v>0.20014466017770585</v>
      </c>
      <c r="V13" s="4">
        <f t="shared" si="42"/>
        <v>0.17270476915005356</v>
      </c>
      <c r="W13" s="348">
        <f t="shared" si="10"/>
        <v>2.9826937287173295E-5</v>
      </c>
      <c r="X13" s="348">
        <f t="shared" si="43"/>
        <v>2.9826937287173295E-5</v>
      </c>
      <c r="Y13" s="4">
        <f t="shared" si="44"/>
        <v>9.3175813347468051E-2</v>
      </c>
      <c r="Z13" s="348">
        <f t="shared" si="11"/>
        <v>2.6045196578886614E-5</v>
      </c>
      <c r="AA13" s="525">
        <f t="shared" si="45"/>
        <v>2.6045196578886614E-5</v>
      </c>
      <c r="AB13" s="348">
        <f t="shared" si="46"/>
        <v>0.13180313642093902</v>
      </c>
      <c r="AC13" s="348">
        <f t="shared" si="12"/>
        <v>1.3897653416317329E-4</v>
      </c>
      <c r="AD13" s="348">
        <f t="shared" si="13"/>
        <v>3.6907814249384241E-4</v>
      </c>
      <c r="AE13" s="348">
        <f t="shared" si="14"/>
        <v>0</v>
      </c>
      <c r="AF13" s="348">
        <f t="shared" si="15"/>
        <v>1.0410943408436708E-3</v>
      </c>
      <c r="AG13" s="348">
        <f t="shared" si="16"/>
        <v>1.5491963839284052E-3</v>
      </c>
      <c r="AH13" s="348">
        <f t="shared" si="17"/>
        <v>0.13173788565472203</v>
      </c>
      <c r="AI13" s="348">
        <f t="shared" si="18"/>
        <v>9.545178784227138E-5</v>
      </c>
      <c r="AJ13" s="348">
        <f t="shared" si="19"/>
        <v>1.6772005808436707E-3</v>
      </c>
      <c r="AK13" s="348">
        <f t="shared" si="20"/>
        <v>1.7726895940919721E-3</v>
      </c>
      <c r="AL13" s="348">
        <f t="shared" si="21"/>
        <v>6.3610624000000001E-4</v>
      </c>
      <c r="AM13" s="348">
        <f t="shared" si="22"/>
        <v>1.0924151039999998E-3</v>
      </c>
      <c r="AN13" s="348">
        <f t="shared" si="23"/>
        <v>8.6817343217933211E-4</v>
      </c>
      <c r="AO13" s="348">
        <f t="shared" si="24"/>
        <v>1.452E-5</v>
      </c>
      <c r="AP13" s="348">
        <f t="shared" si="25"/>
        <v>0.10709952</v>
      </c>
      <c r="AQ13" s="348">
        <f t="shared" si="26"/>
        <v>4.9827049411764704E-2</v>
      </c>
      <c r="AR13" s="348">
        <f t="shared" si="27"/>
        <v>2.5963519999999997E-2</v>
      </c>
      <c r="AS13" s="348">
        <f t="shared" si="28"/>
        <v>0.10711404000000001</v>
      </c>
      <c r="AT13" s="348">
        <f t="shared" si="29"/>
        <v>0.3132331530657716</v>
      </c>
      <c r="AU13">
        <f t="shared" si="30"/>
        <v>0.23100000000000001</v>
      </c>
      <c r="AV13" s="526">
        <f t="shared" si="47"/>
        <v>0.42445043764557877</v>
      </c>
      <c r="AW13" s="534">
        <f t="shared" si="31"/>
        <v>0.12486046939126227</v>
      </c>
      <c r="AX13" s="534">
        <f t="shared" si="32"/>
        <v>0.11732526181265845</v>
      </c>
      <c r="AY13" s="9"/>
      <c r="AZ13" s="4">
        <f t="shared" si="48"/>
        <v>42.44504376455788</v>
      </c>
      <c r="BA13" s="348">
        <f t="shared" si="33"/>
        <v>0.20014466017770585</v>
      </c>
      <c r="BB13" s="348">
        <f t="shared" si="34"/>
        <v>4.4143010820203773E-3</v>
      </c>
      <c r="BC13" s="348">
        <f t="shared" si="35"/>
        <v>2.2701903525684051E-3</v>
      </c>
      <c r="BD13" s="348">
        <f t="shared" si="36"/>
        <v>2.133186578411972E-3</v>
      </c>
      <c r="BE13" s="348">
        <f t="shared" si="37"/>
        <v>8.6817343217933211E-4</v>
      </c>
      <c r="BJ13" s="18"/>
      <c r="BK13" s="18"/>
      <c r="BL13" s="18"/>
      <c r="BM13" s="19"/>
    </row>
    <row r="14" spans="1:65" x14ac:dyDescent="0.25">
      <c r="A14" s="22" t="s">
        <v>5</v>
      </c>
      <c r="B14" s="5">
        <f>Iout</f>
        <v>1.75</v>
      </c>
      <c r="C14" s="427" t="s">
        <v>1</v>
      </c>
      <c r="D14" s="21" t="s">
        <v>95</v>
      </c>
      <c r="G14">
        <v>5</v>
      </c>
      <c r="H14" s="531">
        <f t="shared" si="0"/>
        <v>6.6</v>
      </c>
      <c r="I14" s="4">
        <f t="shared" si="1"/>
        <v>1</v>
      </c>
      <c r="J14" s="348">
        <f t="shared" si="38"/>
        <v>8.7499999999999994E-2</v>
      </c>
      <c r="K14" s="348">
        <f t="shared" si="2"/>
        <v>8.7499999999999994E-2</v>
      </c>
      <c r="L14" s="4">
        <f t="shared" si="3"/>
        <v>4.8611111111111105E-2</v>
      </c>
      <c r="M14" s="348">
        <f t="shared" si="4"/>
        <v>0.50030947207982468</v>
      </c>
      <c r="N14" s="4">
        <f t="shared" si="5"/>
        <v>0.59830247080060805</v>
      </c>
      <c r="O14" s="4">
        <f t="shared" si="39"/>
        <v>0.38665123540030399</v>
      </c>
      <c r="P14" s="4">
        <f t="shared" si="40"/>
        <v>-0.21165123540030403</v>
      </c>
      <c r="Q14" s="4">
        <f t="shared" si="6"/>
        <v>6.6</v>
      </c>
      <c r="R14" s="4">
        <f t="shared" si="41"/>
        <v>0.19361491991538954</v>
      </c>
      <c r="S14" s="348">
        <f t="shared" si="7"/>
        <v>1.5369562257675507E-4</v>
      </c>
      <c r="T14" s="348">
        <f t="shared" si="8"/>
        <v>0.2</v>
      </c>
      <c r="U14" s="348">
        <f t="shared" si="9"/>
        <v>0.20015615667258574</v>
      </c>
      <c r="V14" s="4">
        <f t="shared" si="42"/>
        <v>0.17271504628677464</v>
      </c>
      <c r="W14" s="348">
        <f t="shared" si="10"/>
        <v>2.9830487213842706E-5</v>
      </c>
      <c r="X14" s="348">
        <f t="shared" si="43"/>
        <v>2.9830487213842706E-5</v>
      </c>
      <c r="Y14" s="4">
        <f t="shared" si="44"/>
        <v>9.6807441414617418E-2</v>
      </c>
      <c r="Z14" s="348">
        <f t="shared" si="11"/>
        <v>2.8115042139733751E-5</v>
      </c>
      <c r="AA14" s="525">
        <f t="shared" si="45"/>
        <v>2.8115042139733751E-5</v>
      </c>
      <c r="AB14" s="348">
        <f t="shared" si="46"/>
        <v>0.13694878497253182</v>
      </c>
      <c r="AC14" s="348">
        <f t="shared" si="12"/>
        <v>1.5003975764362208E-4</v>
      </c>
      <c r="AD14" s="348">
        <f t="shared" si="13"/>
        <v>4.6134767811730295E-4</v>
      </c>
      <c r="AE14" s="348">
        <f t="shared" si="14"/>
        <v>0</v>
      </c>
      <c r="AF14" s="348">
        <f t="shared" si="15"/>
        <v>9.6166193958458781E-4</v>
      </c>
      <c r="AG14" s="348">
        <f t="shared" si="16"/>
        <v>1.5731013014478768E-3</v>
      </c>
      <c r="AH14" s="348">
        <f t="shared" si="17"/>
        <v>0.13686404753765666</v>
      </c>
      <c r="AI14" s="348">
        <f t="shared" si="18"/>
        <v>1.0302472129614467E-4</v>
      </c>
      <c r="AJ14" s="348">
        <f t="shared" si="19"/>
        <v>1.7567947395845875E-3</v>
      </c>
      <c r="AK14" s="348">
        <f t="shared" si="20"/>
        <v>1.8598616154601403E-3</v>
      </c>
      <c r="AL14" s="348">
        <f t="shared" si="21"/>
        <v>7.9513279999999988E-4</v>
      </c>
      <c r="AM14" s="348">
        <f t="shared" si="22"/>
        <v>1.3655188799999995E-3</v>
      </c>
      <c r="AN14" s="348">
        <f t="shared" si="23"/>
        <v>9.3716843034606775E-4</v>
      </c>
      <c r="AO14" s="348">
        <f t="shared" si="24"/>
        <v>1.452E-5</v>
      </c>
      <c r="AP14" s="348">
        <f t="shared" si="25"/>
        <v>0.10709952</v>
      </c>
      <c r="AQ14" s="348">
        <f t="shared" si="26"/>
        <v>4.9827049411764704E-2</v>
      </c>
      <c r="AR14" s="348">
        <f t="shared" si="27"/>
        <v>2.5963519999999997E-2</v>
      </c>
      <c r="AS14" s="348">
        <f t="shared" si="28"/>
        <v>0.10711404000000001</v>
      </c>
      <c r="AT14" s="348">
        <f t="shared" si="29"/>
        <v>0.3138589252291934</v>
      </c>
      <c r="AU14">
        <f t="shared" si="30"/>
        <v>0.28874999999999995</v>
      </c>
      <c r="AV14" s="526">
        <f t="shared" si="47"/>
        <v>0.47916648411766921</v>
      </c>
      <c r="AW14" s="534">
        <f t="shared" si="31"/>
        <v>0.13608890692363321</v>
      </c>
      <c r="AX14" s="534">
        <f t="shared" si="32"/>
        <v>0.1270765565223077</v>
      </c>
      <c r="AY14" s="9"/>
      <c r="AZ14" s="4">
        <f t="shared" si="48"/>
        <v>47.916648411766921</v>
      </c>
      <c r="BA14" s="348">
        <f t="shared" si="33"/>
        <v>0.20015615667258574</v>
      </c>
      <c r="BB14" s="348">
        <f t="shared" si="34"/>
        <v>4.7984817969080164E-3</v>
      </c>
      <c r="BC14" s="348">
        <f t="shared" si="35"/>
        <v>2.4743437622478763E-3</v>
      </c>
      <c r="BD14" s="348">
        <f t="shared" si="36"/>
        <v>2.3104828458601402E-3</v>
      </c>
      <c r="BE14" s="348">
        <f t="shared" si="37"/>
        <v>9.3716843034606775E-4</v>
      </c>
      <c r="BJ14" s="18"/>
      <c r="BK14" s="18"/>
      <c r="BL14" s="18"/>
      <c r="BM14" s="19"/>
    </row>
    <row r="15" spans="1:65" x14ac:dyDescent="0.25">
      <c r="A15" s="23" t="s">
        <v>83</v>
      </c>
      <c r="B15" s="5">
        <f>Ta</f>
        <v>25</v>
      </c>
      <c r="C15" s="427" t="s">
        <v>449</v>
      </c>
      <c r="D15" s="21" t="s">
        <v>96</v>
      </c>
      <c r="G15">
        <v>6</v>
      </c>
      <c r="H15" s="531">
        <f t="shared" si="0"/>
        <v>6.6</v>
      </c>
      <c r="I15" s="4">
        <f t="shared" si="1"/>
        <v>1</v>
      </c>
      <c r="J15" s="348">
        <f t="shared" si="38"/>
        <v>0.105</v>
      </c>
      <c r="K15" s="348">
        <f t="shared" si="2"/>
        <v>0.105</v>
      </c>
      <c r="L15" s="4">
        <f t="shared" si="3"/>
        <v>5.8333333333333334E-2</v>
      </c>
      <c r="M15" s="348">
        <f t="shared" si="4"/>
        <v>0.50037134434832986</v>
      </c>
      <c r="N15" s="4">
        <f t="shared" si="5"/>
        <v>0.59833805352106462</v>
      </c>
      <c r="O15" s="4">
        <f t="shared" si="39"/>
        <v>0.40416902676053229</v>
      </c>
      <c r="P15" s="4">
        <f t="shared" si="40"/>
        <v>-0.19416902676053233</v>
      </c>
      <c r="Q15" s="4">
        <f t="shared" si="6"/>
        <v>6.6</v>
      </c>
      <c r="R15" s="4">
        <f t="shared" si="41"/>
        <v>0.20213618064137198</v>
      </c>
      <c r="S15" s="348">
        <f t="shared" si="7"/>
        <v>1.6752204564955358E-4</v>
      </c>
      <c r="T15" s="348">
        <f t="shared" si="8"/>
        <v>0.2</v>
      </c>
      <c r="U15" s="348">
        <f t="shared" si="9"/>
        <v>0.20017020467942284</v>
      </c>
      <c r="V15" s="4">
        <f t="shared" si="42"/>
        <v>0.1727253181333917</v>
      </c>
      <c r="W15" s="348">
        <f t="shared" si="10"/>
        <v>2.9834035524281375E-5</v>
      </c>
      <c r="X15" s="348">
        <f t="shared" si="43"/>
        <v>2.9834035524281375E-5</v>
      </c>
      <c r="Y15" s="4">
        <f t="shared" si="44"/>
        <v>0.10106806244678504</v>
      </c>
      <c r="Z15" s="348">
        <f t="shared" si="11"/>
        <v>3.0644259740241725E-5</v>
      </c>
      <c r="AA15" s="525">
        <f t="shared" si="45"/>
        <v>3.0644259740241725E-5</v>
      </c>
      <c r="AB15" s="348">
        <f t="shared" si="46"/>
        <v>0.14298493114332303</v>
      </c>
      <c r="AC15" s="348">
        <f t="shared" si="12"/>
        <v>1.6355752427248664E-4</v>
      </c>
      <c r="AD15" s="348">
        <f t="shared" si="13"/>
        <v>5.5361721374076365E-4</v>
      </c>
      <c r="AE15" s="348">
        <f t="shared" si="14"/>
        <v>0</v>
      </c>
      <c r="AF15" s="348">
        <f t="shared" si="15"/>
        <v>8.8222949669358296E-4</v>
      </c>
      <c r="AG15" s="348">
        <f t="shared" si="16"/>
        <v>1.5994617875890655E-3</v>
      </c>
      <c r="AH15" s="348">
        <f t="shared" si="17"/>
        <v>0.14287877725617801</v>
      </c>
      <c r="AI15" s="348">
        <f t="shared" si="18"/>
        <v>1.1227889744621292E-4</v>
      </c>
      <c r="AJ15" s="348">
        <f t="shared" si="19"/>
        <v>1.8363888566935824E-3</v>
      </c>
      <c r="AK15" s="348">
        <f t="shared" si="20"/>
        <v>1.9487158900675413E-3</v>
      </c>
      <c r="AL15" s="348">
        <f t="shared" si="21"/>
        <v>9.5415935999999986E-4</v>
      </c>
      <c r="AM15" s="348">
        <f t="shared" si="22"/>
        <v>1.6386226559999997E-3</v>
      </c>
      <c r="AN15" s="348">
        <f t="shared" si="23"/>
        <v>1.0214758881070341E-3</v>
      </c>
      <c r="AO15" s="348">
        <f t="shared" si="24"/>
        <v>1.452E-5</v>
      </c>
      <c r="AP15" s="348">
        <f t="shared" si="25"/>
        <v>0.10709952</v>
      </c>
      <c r="AQ15" s="348">
        <f t="shared" si="26"/>
        <v>4.9827049411764704E-2</v>
      </c>
      <c r="AR15" s="348">
        <f t="shared" si="27"/>
        <v>2.5963519999999997E-2</v>
      </c>
      <c r="AS15" s="348">
        <f t="shared" si="28"/>
        <v>0.10711404000000001</v>
      </c>
      <c r="AT15" s="348">
        <f t="shared" si="29"/>
        <v>0.31450715855645106</v>
      </c>
      <c r="AU15">
        <f t="shared" si="30"/>
        <v>0.34649999999999997</v>
      </c>
      <c r="AV15" s="526">
        <f t="shared" si="47"/>
        <v>0.52420007183690487</v>
      </c>
      <c r="AW15" s="534">
        <f t="shared" si="31"/>
        <v>0.14745240073019858</v>
      </c>
      <c r="AX15" s="534">
        <f t="shared" si="32"/>
        <v>0.13692037516011477</v>
      </c>
      <c r="AY15" s="9"/>
      <c r="AZ15" s="4">
        <f t="shared" si="48"/>
        <v>52.420007183690487</v>
      </c>
      <c r="BA15" s="348">
        <f t="shared" si="33"/>
        <v>0.20017020467942284</v>
      </c>
      <c r="BB15" s="348">
        <f t="shared" si="34"/>
        <v>5.1868003336566059E-3</v>
      </c>
      <c r="BC15" s="348">
        <f t="shared" si="35"/>
        <v>2.6809527405490651E-3</v>
      </c>
      <c r="BD15" s="348">
        <f t="shared" si="36"/>
        <v>2.4894613665475411E-3</v>
      </c>
      <c r="BE15" s="348">
        <f t="shared" si="37"/>
        <v>1.0214758881070341E-3</v>
      </c>
      <c r="BJ15" s="18"/>
      <c r="BK15" s="18"/>
      <c r="BL15" s="18"/>
      <c r="BM15" s="19"/>
    </row>
    <row r="16" spans="1:65" x14ac:dyDescent="0.25">
      <c r="A16" s="435" t="s">
        <v>460</v>
      </c>
      <c r="B16" s="5">
        <f>VCC</f>
        <v>5</v>
      </c>
      <c r="C16" s="427" t="s">
        <v>0</v>
      </c>
      <c r="D16" s="427" t="s">
        <v>459</v>
      </c>
      <c r="G16">
        <v>7</v>
      </c>
      <c r="H16" s="531">
        <f t="shared" si="0"/>
        <v>6.6</v>
      </c>
      <c r="I16" s="4">
        <f t="shared" si="1"/>
        <v>1</v>
      </c>
      <c r="J16" s="348">
        <f t="shared" si="38"/>
        <v>0.1225</v>
      </c>
      <c r="K16" s="348">
        <f t="shared" si="2"/>
        <v>0.1225</v>
      </c>
      <c r="L16" s="4">
        <f t="shared" si="3"/>
        <v>6.8055555555555564E-2</v>
      </c>
      <c r="M16" s="348">
        <f t="shared" si="4"/>
        <v>0.50043320923743018</v>
      </c>
      <c r="N16" s="4">
        <f t="shared" si="5"/>
        <v>0.59837361791934218</v>
      </c>
      <c r="O16" s="4">
        <f t="shared" si="39"/>
        <v>0.42168680895967109</v>
      </c>
      <c r="P16" s="4">
        <f t="shared" si="40"/>
        <v>-0.17668680895967109</v>
      </c>
      <c r="Q16" s="4">
        <f t="shared" si="6"/>
        <v>6.6</v>
      </c>
      <c r="R16" s="4">
        <f t="shared" si="41"/>
        <v>0.21176362345428981</v>
      </c>
      <c r="S16" s="348">
        <f t="shared" si="7"/>
        <v>1.8385971209580995E-4</v>
      </c>
      <c r="T16" s="348">
        <f t="shared" si="8"/>
        <v>0.2</v>
      </c>
      <c r="U16" s="348">
        <f t="shared" si="9"/>
        <v>0.20018680421515089</v>
      </c>
      <c r="V16" s="4">
        <f t="shared" si="42"/>
        <v>0.17273558469085126</v>
      </c>
      <c r="W16" s="348">
        <f t="shared" si="10"/>
        <v>2.9837582218490249E-5</v>
      </c>
      <c r="X16" s="348">
        <f t="shared" si="43"/>
        <v>2.9837582218490249E-5</v>
      </c>
      <c r="Y16" s="4">
        <f t="shared" si="44"/>
        <v>0.1058817719854067</v>
      </c>
      <c r="Z16" s="348">
        <f t="shared" si="11"/>
        <v>3.3632848916308966E-5</v>
      </c>
      <c r="AA16" s="525">
        <f t="shared" si="45"/>
        <v>3.3632848916308966E-5</v>
      </c>
      <c r="AB16" s="348">
        <f t="shared" si="46"/>
        <v>0.14980434864049821</v>
      </c>
      <c r="AC16" s="348">
        <f t="shared" si="12"/>
        <v>1.7953074297283152E-4</v>
      </c>
      <c r="AD16" s="348">
        <f t="shared" si="13"/>
        <v>6.4588674936422413E-4</v>
      </c>
      <c r="AE16" s="348">
        <f t="shared" si="14"/>
        <v>0</v>
      </c>
      <c r="AF16" s="348">
        <f t="shared" si="15"/>
        <v>8.0279701217810483E-4</v>
      </c>
      <c r="AG16" s="348">
        <f t="shared" si="16"/>
        <v>1.6282788162584032E-3</v>
      </c>
      <c r="AH16" s="348">
        <f t="shared" si="17"/>
        <v>0.14967461156417378</v>
      </c>
      <c r="AI16" s="348">
        <f t="shared" si="18"/>
        <v>1.2321369140787467E-4</v>
      </c>
      <c r="AJ16" s="348">
        <f t="shared" si="19"/>
        <v>1.9159829321781048E-3</v>
      </c>
      <c r="AK16" s="348">
        <f t="shared" si="20"/>
        <v>2.039251901611971E-3</v>
      </c>
      <c r="AL16" s="348">
        <f t="shared" si="21"/>
        <v>1.1131859199999998E-3</v>
      </c>
      <c r="AM16" s="348">
        <f t="shared" si="22"/>
        <v>1.9117264319999997E-3</v>
      </c>
      <c r="AN16" s="348">
        <f t="shared" si="23"/>
        <v>1.121095805462256E-3</v>
      </c>
      <c r="AO16" s="348">
        <f t="shared" si="24"/>
        <v>1.452E-5</v>
      </c>
      <c r="AP16" s="348">
        <f t="shared" si="25"/>
        <v>0.10709952</v>
      </c>
      <c r="AQ16" s="348">
        <f t="shared" si="26"/>
        <v>4.9827049411764704E-2</v>
      </c>
      <c r="AR16" s="348">
        <f t="shared" si="27"/>
        <v>2.5963519999999997E-2</v>
      </c>
      <c r="AS16" s="348">
        <f t="shared" si="28"/>
        <v>0.10711404000000001</v>
      </c>
      <c r="AT16" s="348">
        <f t="shared" si="29"/>
        <v>0.31517785352161837</v>
      </c>
      <c r="AU16">
        <f t="shared" si="30"/>
        <v>0.40425</v>
      </c>
      <c r="AV16" s="526">
        <f t="shared" si="47"/>
        <v>0.56190484983474798</v>
      </c>
      <c r="AW16" s="534">
        <f t="shared" si="31"/>
        <v>0.15895100437581217</v>
      </c>
      <c r="AX16" s="534">
        <f t="shared" si="32"/>
        <v>0.14685668932945842</v>
      </c>
      <c r="AY16" s="9"/>
      <c r="AZ16" s="4">
        <f t="shared" si="48"/>
        <v>56.190484983474796</v>
      </c>
      <c r="BA16" s="348">
        <f t="shared" si="33"/>
        <v>0.20018680421515089</v>
      </c>
      <c r="BB16" s="348">
        <f t="shared" si="34"/>
        <v>5.5792571498703737E-3</v>
      </c>
      <c r="BC16" s="348">
        <f t="shared" si="35"/>
        <v>2.8900182613784031E-3</v>
      </c>
      <c r="BD16" s="348">
        <f t="shared" si="36"/>
        <v>2.6701216241719712E-3</v>
      </c>
      <c r="BE16" s="348">
        <f t="shared" si="37"/>
        <v>1.121095805462256E-3</v>
      </c>
      <c r="BJ16" s="18"/>
      <c r="BK16" s="18"/>
      <c r="BL16" s="18"/>
      <c r="BM16" s="19"/>
    </row>
    <row r="17" spans="1:65" ht="13" x14ac:dyDescent="0.3">
      <c r="A17" s="24" t="s">
        <v>58</v>
      </c>
      <c r="B17" s="16" t="s">
        <v>111</v>
      </c>
      <c r="C17" s="24" t="s">
        <v>76</v>
      </c>
      <c r="D17" s="17" t="s">
        <v>107</v>
      </c>
      <c r="G17">
        <v>8</v>
      </c>
      <c r="H17" s="531">
        <f t="shared" si="0"/>
        <v>6.6</v>
      </c>
      <c r="I17" s="4">
        <f t="shared" si="1"/>
        <v>1</v>
      </c>
      <c r="J17" s="348">
        <f t="shared" si="38"/>
        <v>0.14000000000000001</v>
      </c>
      <c r="K17" s="348">
        <f t="shared" si="2"/>
        <v>0.14000000000000001</v>
      </c>
      <c r="L17" s="4">
        <f t="shared" si="3"/>
        <v>7.7777777777777793E-2</v>
      </c>
      <c r="M17" s="348">
        <f t="shared" si="4"/>
        <v>0.50049506674844579</v>
      </c>
      <c r="N17" s="4">
        <f t="shared" si="5"/>
        <v>0.59840916399871791</v>
      </c>
      <c r="O17" s="4">
        <f t="shared" si="39"/>
        <v>0.43920458199935897</v>
      </c>
      <c r="P17" s="4">
        <f t="shared" si="40"/>
        <v>-0.15920458199935894</v>
      </c>
      <c r="Q17" s="4">
        <f t="shared" si="6"/>
        <v>6.6</v>
      </c>
      <c r="R17" s="4">
        <f t="shared" si="41"/>
        <v>0.22235360868776197</v>
      </c>
      <c r="S17" s="348">
        <f t="shared" si="7"/>
        <v>2.027086219155285E-4</v>
      </c>
      <c r="T17" s="348">
        <f t="shared" si="8"/>
        <v>0.2</v>
      </c>
      <c r="U17" s="348">
        <f t="shared" si="9"/>
        <v>0.20020595529977939</v>
      </c>
      <c r="V17" s="4">
        <f t="shared" si="42"/>
        <v>0.17274584596009937</v>
      </c>
      <c r="W17" s="348">
        <f t="shared" si="10"/>
        <v>2.9841127296470383E-5</v>
      </c>
      <c r="X17" s="348">
        <f t="shared" si="43"/>
        <v>2.9841127296470383E-5</v>
      </c>
      <c r="Y17" s="4">
        <f t="shared" si="44"/>
        <v>0.11117674984698032</v>
      </c>
      <c r="Z17" s="348">
        <f t="shared" si="11"/>
        <v>3.7080809119614121E-5</v>
      </c>
      <c r="AA17" s="525">
        <f t="shared" si="45"/>
        <v>3.7080809119614121E-5</v>
      </c>
      <c r="AB17" s="348">
        <f t="shared" si="46"/>
        <v>0.15730556349463723</v>
      </c>
      <c r="AC17" s="348">
        <f t="shared" si="12"/>
        <v>1.9796032245092277E-4</v>
      </c>
      <c r="AD17" s="348">
        <f t="shared" si="13"/>
        <v>7.3815628498768483E-4</v>
      </c>
      <c r="AE17" s="348">
        <f t="shared" si="14"/>
        <v>0</v>
      </c>
      <c r="AF17" s="348">
        <f t="shared" si="15"/>
        <v>7.2336448604559938E-4</v>
      </c>
      <c r="AG17" s="348">
        <f t="shared" si="16"/>
        <v>1.6595533691426245E-3</v>
      </c>
      <c r="AH17" s="348">
        <f t="shared" si="17"/>
        <v>0.15714988701906543</v>
      </c>
      <c r="AI17" s="348">
        <f t="shared" si="18"/>
        <v>1.3582847844557765E-4</v>
      </c>
      <c r="AJ17" s="348">
        <f t="shared" si="19"/>
        <v>1.9955769660455992E-3</v>
      </c>
      <c r="AK17" s="348">
        <f t="shared" si="20"/>
        <v>2.1314691376173363E-3</v>
      </c>
      <c r="AL17" s="348">
        <f t="shared" si="21"/>
        <v>1.27221248E-3</v>
      </c>
      <c r="AM17" s="348">
        <f t="shared" si="22"/>
        <v>2.1848302079999996E-3</v>
      </c>
      <c r="AN17" s="348">
        <f t="shared" si="23"/>
        <v>1.2360281824117594E-3</v>
      </c>
      <c r="AO17" s="348">
        <f t="shared" si="24"/>
        <v>1.452E-5</v>
      </c>
      <c r="AP17" s="348">
        <f t="shared" si="25"/>
        <v>0.10709952</v>
      </c>
      <c r="AQ17" s="348">
        <f t="shared" si="26"/>
        <v>4.9827049411764704E-2</v>
      </c>
      <c r="AR17" s="348">
        <f t="shared" si="27"/>
        <v>2.5963519999999997E-2</v>
      </c>
      <c r="AS17" s="348">
        <f t="shared" si="28"/>
        <v>0.10711404000000001</v>
      </c>
      <c r="AT17" s="348">
        <f t="shared" si="29"/>
        <v>0.3158710106133672</v>
      </c>
      <c r="AU17">
        <f t="shared" si="30"/>
        <v>0.46200000000000002</v>
      </c>
      <c r="AV17" s="526">
        <f t="shared" si="47"/>
        <v>0.59392880528572922</v>
      </c>
      <c r="AW17" s="534">
        <f t="shared" si="31"/>
        <v>0.17058477185324433</v>
      </c>
      <c r="AX17" s="534">
        <f t="shared" si="32"/>
        <v>0.1568854708441535</v>
      </c>
      <c r="AY17" s="9"/>
      <c r="AZ17" s="4">
        <f t="shared" si="48"/>
        <v>59.392880528572924</v>
      </c>
      <c r="BA17" s="348">
        <f t="shared" si="33"/>
        <v>0.20020595529977939</v>
      </c>
      <c r="BB17" s="348">
        <f t="shared" si="34"/>
        <v>5.9758527147599607E-3</v>
      </c>
      <c r="BC17" s="348">
        <f t="shared" si="35"/>
        <v>3.1015413064226244E-3</v>
      </c>
      <c r="BD17" s="348">
        <f t="shared" si="36"/>
        <v>2.8524631062573362E-3</v>
      </c>
      <c r="BE17" s="348">
        <f t="shared" si="37"/>
        <v>1.2360281824117594E-3</v>
      </c>
      <c r="BJ17" s="18"/>
      <c r="BK17" s="18"/>
      <c r="BL17" s="18"/>
      <c r="BM17" s="19"/>
    </row>
    <row r="18" spans="1:65" x14ac:dyDescent="0.25">
      <c r="A18" s="35" t="s">
        <v>56</v>
      </c>
      <c r="B18" s="38">
        <f>Lf*1000000</f>
        <v>6.8</v>
      </c>
      <c r="C18" s="428" t="s">
        <v>10</v>
      </c>
      <c r="D18" s="427" t="s">
        <v>452</v>
      </c>
      <c r="G18">
        <v>9</v>
      </c>
      <c r="H18" s="531">
        <f t="shared" si="0"/>
        <v>6.6</v>
      </c>
      <c r="I18" s="4">
        <f t="shared" si="1"/>
        <v>1</v>
      </c>
      <c r="J18" s="348">
        <f t="shared" si="38"/>
        <v>0.1575</v>
      </c>
      <c r="K18" s="348">
        <f t="shared" si="2"/>
        <v>0.1575</v>
      </c>
      <c r="L18" s="4">
        <f t="shared" si="3"/>
        <v>8.7499999999999994E-2</v>
      </c>
      <c r="M18" s="348">
        <f t="shared" si="4"/>
        <v>0.50055691688269655</v>
      </c>
      <c r="N18" s="4">
        <f t="shared" si="5"/>
        <v>0.59844469176246895</v>
      </c>
      <c r="O18" s="4">
        <f t="shared" si="39"/>
        <v>0.4567223458812345</v>
      </c>
      <c r="P18" s="4">
        <f t="shared" si="40"/>
        <v>-0.14172234588123447</v>
      </c>
      <c r="Q18" s="4">
        <f t="shared" si="6"/>
        <v>6.6</v>
      </c>
      <c r="R18" s="4">
        <f t="shared" si="41"/>
        <v>0.2337753638821316</v>
      </c>
      <c r="S18" s="348">
        <f t="shared" si="7"/>
        <v>2.2406877510871442E-4</v>
      </c>
      <c r="T18" s="348">
        <f t="shared" si="8"/>
        <v>0.2</v>
      </c>
      <c r="U18" s="348">
        <f t="shared" si="9"/>
        <v>0.20022765795639363</v>
      </c>
      <c r="V18" s="4">
        <f t="shared" si="42"/>
        <v>0.17275610194208205</v>
      </c>
      <c r="W18" s="348">
        <f t="shared" si="10"/>
        <v>2.9844670758223044E-5</v>
      </c>
      <c r="X18" s="348">
        <f t="shared" si="43"/>
        <v>2.9844670758223044E-5</v>
      </c>
      <c r="Y18" s="4">
        <f t="shared" si="44"/>
        <v>0.11688760943411472</v>
      </c>
      <c r="Z18" s="348">
        <f t="shared" si="11"/>
        <v>4.0988139717666433E-5</v>
      </c>
      <c r="AA18" s="525">
        <f t="shared" si="45"/>
        <v>4.0988139717666433E-5</v>
      </c>
      <c r="AB18" s="348">
        <f t="shared" si="46"/>
        <v>0.16539618012377638</v>
      </c>
      <c r="AC18" s="348">
        <f t="shared" si="12"/>
        <v>2.1884717119629346E-4</v>
      </c>
      <c r="AD18" s="348">
        <f t="shared" si="13"/>
        <v>8.3042582061114531E-4</v>
      </c>
      <c r="AE18" s="348">
        <f t="shared" si="14"/>
        <v>0</v>
      </c>
      <c r="AF18" s="348">
        <f t="shared" si="15"/>
        <v>6.4393191830351107E-4</v>
      </c>
      <c r="AG18" s="348">
        <f t="shared" si="16"/>
        <v>1.693286435719176E-3</v>
      </c>
      <c r="AH18" s="348">
        <f t="shared" si="17"/>
        <v>0.16521205875687875</v>
      </c>
      <c r="AI18" s="348">
        <f t="shared" si="18"/>
        <v>1.5012263397277495E-4</v>
      </c>
      <c r="AJ18" s="348">
        <f t="shared" si="19"/>
        <v>2.0751709583035111E-3</v>
      </c>
      <c r="AK18" s="348">
        <f t="shared" si="20"/>
        <v>2.2253670894294706E-3</v>
      </c>
      <c r="AL18" s="348">
        <f t="shared" si="21"/>
        <v>1.4312390399999998E-3</v>
      </c>
      <c r="AM18" s="348">
        <f t="shared" si="22"/>
        <v>2.4579339839999994E-3</v>
      </c>
      <c r="AN18" s="348">
        <f t="shared" si="23"/>
        <v>1.3662730189555761E-3</v>
      </c>
      <c r="AO18" s="348">
        <f t="shared" si="24"/>
        <v>1.452E-5</v>
      </c>
      <c r="AP18" s="348">
        <f t="shared" si="25"/>
        <v>0.10709952</v>
      </c>
      <c r="AQ18" s="348">
        <f t="shared" si="26"/>
        <v>4.9827049411764704E-2</v>
      </c>
      <c r="AR18" s="348">
        <f t="shared" si="27"/>
        <v>2.5963519999999997E-2</v>
      </c>
      <c r="AS18" s="348">
        <f t="shared" si="28"/>
        <v>0.10711404000000001</v>
      </c>
      <c r="AT18" s="348">
        <f t="shared" si="29"/>
        <v>0.31658663033497375</v>
      </c>
      <c r="AU18">
        <f t="shared" si="30"/>
        <v>0.51974999999999993</v>
      </c>
      <c r="AV18" s="526">
        <f t="shared" si="47"/>
        <v>0.62146028423007982</v>
      </c>
      <c r="AW18" s="534">
        <f t="shared" si="31"/>
        <v>0.18235375758375466</v>
      </c>
      <c r="AX18" s="534">
        <f t="shared" si="32"/>
        <v>0.16700669172822089</v>
      </c>
      <c r="AY18" s="9"/>
      <c r="AZ18" s="4">
        <f t="shared" si="48"/>
        <v>62.146028423007984</v>
      </c>
      <c r="BA18" s="348">
        <f t="shared" si="33"/>
        <v>0.20022765795639363</v>
      </c>
      <c r="BB18" s="348">
        <f t="shared" si="34"/>
        <v>6.3765875091486455E-3</v>
      </c>
      <c r="BC18" s="348">
        <f t="shared" si="35"/>
        <v>3.3155228651591756E-3</v>
      </c>
      <c r="BD18" s="348">
        <f t="shared" si="36"/>
        <v>3.0364853041494706E-3</v>
      </c>
      <c r="BE18" s="348">
        <f t="shared" si="37"/>
        <v>1.3662730189555761E-3</v>
      </c>
      <c r="BK18" s="18"/>
      <c r="BL18" s="19"/>
    </row>
    <row r="19" spans="1:65" x14ac:dyDescent="0.25">
      <c r="A19" s="35" t="s">
        <v>11</v>
      </c>
      <c r="B19" s="39">
        <f>Rdcr*1000</f>
        <v>4.0999999999999996</v>
      </c>
      <c r="C19" s="429" t="s">
        <v>450</v>
      </c>
      <c r="D19" s="427" t="s">
        <v>453</v>
      </c>
      <c r="G19">
        <v>10</v>
      </c>
      <c r="H19" s="531">
        <f t="shared" si="0"/>
        <v>6.6</v>
      </c>
      <c r="I19" s="4">
        <f t="shared" si="1"/>
        <v>1</v>
      </c>
      <c r="J19" s="348">
        <f t="shared" si="38"/>
        <v>0.17499999999999999</v>
      </c>
      <c r="K19" s="348">
        <f t="shared" si="2"/>
        <v>0.17499999999999999</v>
      </c>
      <c r="L19" s="4">
        <f t="shared" si="3"/>
        <v>9.722222222222221E-2</v>
      </c>
      <c r="M19" s="348">
        <f t="shared" si="4"/>
        <v>0.50061875964150171</v>
      </c>
      <c r="N19" s="4">
        <f t="shared" si="5"/>
        <v>0.59848020121387135</v>
      </c>
      <c r="O19" s="4">
        <f t="shared" si="39"/>
        <v>0.47424010060693567</v>
      </c>
      <c r="P19" s="4">
        <f t="shared" si="40"/>
        <v>-0.12424010060693569</v>
      </c>
      <c r="Q19" s="4">
        <f t="shared" si="6"/>
        <v>6.6</v>
      </c>
      <c r="R19" s="4">
        <f t="shared" si="41"/>
        <v>0.24591301836980828</v>
      </c>
      <c r="S19" s="348">
        <f t="shared" si="7"/>
        <v>2.4794017167537361E-4</v>
      </c>
      <c r="T19" s="348">
        <f t="shared" si="8"/>
        <v>0.2</v>
      </c>
      <c r="U19" s="348">
        <f t="shared" si="9"/>
        <v>0.20025191221115474</v>
      </c>
      <c r="V19" s="4">
        <f t="shared" si="42"/>
        <v>0.17276635263774501</v>
      </c>
      <c r="W19" s="348">
        <f t="shared" si="10"/>
        <v>2.9848212603749661E-5</v>
      </c>
      <c r="X19" s="348">
        <f t="shared" si="43"/>
        <v>2.9848212603749661E-5</v>
      </c>
      <c r="Y19" s="4">
        <f t="shared" si="44"/>
        <v>0.12295641503375067</v>
      </c>
      <c r="Z19" s="348">
        <f t="shared" si="11"/>
        <v>4.5354839993855844E-5</v>
      </c>
      <c r="AA19" s="525">
        <f t="shared" si="45"/>
        <v>4.5354839993855844E-5</v>
      </c>
      <c r="AB19" s="348">
        <f t="shared" si="46"/>
        <v>0.17399432371553386</v>
      </c>
      <c r="AC19" s="348">
        <f t="shared" si="12"/>
        <v>2.4219219748180791E-4</v>
      </c>
      <c r="AD19" s="348">
        <f t="shared" si="13"/>
        <v>9.226953562346059E-4</v>
      </c>
      <c r="AE19" s="348">
        <f t="shared" si="14"/>
        <v>0</v>
      </c>
      <c r="AF19" s="348">
        <f t="shared" si="15"/>
        <v>5.6449930895928263E-4</v>
      </c>
      <c r="AG19" s="348">
        <f t="shared" si="16"/>
        <v>1.7294790132666952E-3</v>
      </c>
      <c r="AH19" s="348">
        <f t="shared" si="17"/>
        <v>0.17377913545222765</v>
      </c>
      <c r="AI19" s="348">
        <f t="shared" si="18"/>
        <v>1.6609553355188025E-4</v>
      </c>
      <c r="AJ19" s="348">
        <f t="shared" si="19"/>
        <v>2.1547649089592824E-3</v>
      </c>
      <c r="AK19" s="348">
        <f t="shared" si="20"/>
        <v>2.3209452522119649E-3</v>
      </c>
      <c r="AL19" s="348">
        <f t="shared" si="21"/>
        <v>1.5902655999999998E-3</v>
      </c>
      <c r="AM19" s="348">
        <f t="shared" si="22"/>
        <v>2.7310377599999991E-3</v>
      </c>
      <c r="AN19" s="348">
        <f t="shared" si="23"/>
        <v>1.5118303150937417E-3</v>
      </c>
      <c r="AO19" s="348">
        <f t="shared" si="24"/>
        <v>1.452E-5</v>
      </c>
      <c r="AP19" s="348">
        <f t="shared" si="25"/>
        <v>0.10709952</v>
      </c>
      <c r="AQ19" s="348">
        <f t="shared" si="26"/>
        <v>4.9827049411764704E-2</v>
      </c>
      <c r="AR19" s="348">
        <f t="shared" si="27"/>
        <v>2.5963519999999997E-2</v>
      </c>
      <c r="AS19" s="348">
        <f t="shared" si="28"/>
        <v>0.10711404000000001</v>
      </c>
      <c r="AT19" s="348">
        <f t="shared" si="29"/>
        <v>0.3173247132043247</v>
      </c>
      <c r="AU19">
        <f t="shared" si="30"/>
        <v>0.5774999999999999</v>
      </c>
      <c r="AV19" s="526">
        <f t="shared" si="47"/>
        <v>0.64537779464315415</v>
      </c>
      <c r="AW19" s="534">
        <f t="shared" si="31"/>
        <v>0.19425801641766818</v>
      </c>
      <c r="AX19" s="534">
        <f t="shared" si="32"/>
        <v>0.17722032421565806</v>
      </c>
      <c r="AY19" s="9"/>
      <c r="AZ19" s="4">
        <f t="shared" si="48"/>
        <v>64.53777946431542</v>
      </c>
      <c r="BA19" s="348">
        <f t="shared" si="33"/>
        <v>0.20025191221115474</v>
      </c>
      <c r="BB19" s="348">
        <f t="shared" si="34"/>
        <v>6.7814620254786594E-3</v>
      </c>
      <c r="BC19" s="348">
        <f t="shared" si="35"/>
        <v>3.5319639348666944E-3</v>
      </c>
      <c r="BD19" s="348">
        <f t="shared" si="36"/>
        <v>3.2221877130119646E-3</v>
      </c>
      <c r="BE19" s="348">
        <f t="shared" si="37"/>
        <v>1.5118303150937417E-3</v>
      </c>
      <c r="BK19" s="18"/>
      <c r="BL19" s="19"/>
    </row>
    <row r="20" spans="1:65" x14ac:dyDescent="0.25">
      <c r="A20" s="35" t="s">
        <v>82</v>
      </c>
      <c r="B20" s="39">
        <f>Ltc*1000000</f>
        <v>4000</v>
      </c>
      <c r="C20" s="428" t="s">
        <v>81</v>
      </c>
      <c r="D20" s="21" t="s">
        <v>97</v>
      </c>
      <c r="G20">
        <v>11</v>
      </c>
      <c r="H20" s="531">
        <f t="shared" si="0"/>
        <v>6.6</v>
      </c>
      <c r="I20" s="4">
        <f t="shared" si="1"/>
        <v>1</v>
      </c>
      <c r="J20" s="348">
        <f t="shared" si="38"/>
        <v>0.1925</v>
      </c>
      <c r="K20" s="348">
        <f t="shared" si="2"/>
        <v>0.1925</v>
      </c>
      <c r="L20" s="4">
        <f t="shared" si="3"/>
        <v>0.10694444444444445</v>
      </c>
      <c r="M20" s="348">
        <f t="shared" si="4"/>
        <v>0.50068059502618079</v>
      </c>
      <c r="N20" s="4">
        <f t="shared" si="5"/>
        <v>0.59851569235620061</v>
      </c>
      <c r="O20" s="4">
        <f t="shared" si="39"/>
        <v>0.49175784617810031</v>
      </c>
      <c r="P20" s="4">
        <f t="shared" si="40"/>
        <v>-0.1067578461781003</v>
      </c>
      <c r="Q20" s="4">
        <f t="shared" si="6"/>
        <v>6.6</v>
      </c>
      <c r="R20" s="4">
        <f t="shared" si="41"/>
        <v>0.25866581303498892</v>
      </c>
      <c r="S20" s="348">
        <f t="shared" si="7"/>
        <v>2.743228116155125E-4</v>
      </c>
      <c r="T20" s="348">
        <f t="shared" si="8"/>
        <v>0.2</v>
      </c>
      <c r="U20" s="348">
        <f t="shared" si="9"/>
        <v>0.20027871809329986</v>
      </c>
      <c r="V20" s="4">
        <f t="shared" si="42"/>
        <v>0.17277659804803383</v>
      </c>
      <c r="W20" s="348">
        <f t="shared" si="10"/>
        <v>2.9851752833051848E-5</v>
      </c>
      <c r="X20" s="348">
        <f t="shared" si="43"/>
        <v>2.9851752833051848E-5</v>
      </c>
      <c r="Y20" s="4">
        <f t="shared" si="44"/>
        <v>0.12933278670095386</v>
      </c>
      <c r="Z20" s="348">
        <f t="shared" si="11"/>
        <v>5.0180909147503284E-5</v>
      </c>
      <c r="AA20" s="525">
        <f t="shared" si="45"/>
        <v>5.0180909147503284E-5</v>
      </c>
      <c r="AB20" s="348">
        <f t="shared" si="46"/>
        <v>0.18302879191664298</v>
      </c>
      <c r="AC20" s="348">
        <f t="shared" si="12"/>
        <v>2.6799630936372637E-4</v>
      </c>
      <c r="AD20" s="348">
        <f t="shared" si="13"/>
        <v>1.0149648918580667E-3</v>
      </c>
      <c r="AE20" s="348">
        <f t="shared" si="14"/>
        <v>0</v>
      </c>
      <c r="AF20" s="348">
        <f t="shared" si="15"/>
        <v>4.8506665802035547E-4</v>
      </c>
      <c r="AG20" s="348">
        <f t="shared" si="16"/>
        <v>1.7681321068755526E-3</v>
      </c>
      <c r="AH20" s="348">
        <f t="shared" si="17"/>
        <v>0.18277982427660353</v>
      </c>
      <c r="AI20" s="348">
        <f t="shared" si="18"/>
        <v>1.8374655289422334E-4</v>
      </c>
      <c r="AJ20" s="348">
        <f t="shared" si="19"/>
        <v>2.2343588180203551E-3</v>
      </c>
      <c r="AK20" s="348">
        <f t="shared" si="20"/>
        <v>2.4182031249420279E-3</v>
      </c>
      <c r="AL20" s="348">
        <f t="shared" si="21"/>
        <v>1.7492921599999997E-3</v>
      </c>
      <c r="AM20" s="348">
        <f t="shared" si="22"/>
        <v>3.0041415359999997E-3</v>
      </c>
      <c r="AN20" s="348">
        <f t="shared" si="23"/>
        <v>1.6727000708262963E-3</v>
      </c>
      <c r="AO20" s="348">
        <f t="shared" si="24"/>
        <v>1.452E-5</v>
      </c>
      <c r="AP20" s="348">
        <f t="shared" si="25"/>
        <v>0.10709952</v>
      </c>
      <c r="AQ20" s="348">
        <f t="shared" si="26"/>
        <v>4.9827049411764704E-2</v>
      </c>
      <c r="AR20" s="348">
        <f t="shared" si="27"/>
        <v>2.5963519999999997E-2</v>
      </c>
      <c r="AS20" s="348">
        <f t="shared" si="28"/>
        <v>0.10711404000000001</v>
      </c>
      <c r="AT20" s="348">
        <f t="shared" si="29"/>
        <v>0.31808525975392432</v>
      </c>
      <c r="AU20">
        <f t="shared" si="30"/>
        <v>0.63524999999999998</v>
      </c>
      <c r="AV20" s="526">
        <f t="shared" si="47"/>
        <v>0.66634480734927526</v>
      </c>
      <c r="AW20" s="534">
        <f t="shared" si="31"/>
        <v>0.20629760363495539</v>
      </c>
      <c r="AX20" s="534">
        <f t="shared" si="32"/>
        <v>0.18752634075021152</v>
      </c>
      <c r="AY20" s="9"/>
      <c r="AZ20" s="4">
        <f t="shared" si="48"/>
        <v>66.634480734927521</v>
      </c>
      <c r="BA20" s="348">
        <f t="shared" si="33"/>
        <v>0.20027871809329986</v>
      </c>
      <c r="BB20" s="348">
        <f t="shared" si="34"/>
        <v>7.1904767678175798E-3</v>
      </c>
      <c r="BC20" s="348">
        <f t="shared" si="35"/>
        <v>3.7508655206355524E-3</v>
      </c>
      <c r="BD20" s="348">
        <f t="shared" si="36"/>
        <v>3.4095698318220278E-3</v>
      </c>
      <c r="BE20" s="348">
        <f t="shared" si="37"/>
        <v>1.6727000708262963E-3</v>
      </c>
      <c r="BK20" s="18"/>
      <c r="BL20" s="19"/>
    </row>
    <row r="21" spans="1:65" x14ac:dyDescent="0.25">
      <c r="A21" s="25" t="s">
        <v>129</v>
      </c>
      <c r="B21" s="39">
        <f>ThetaCa</f>
        <v>20</v>
      </c>
      <c r="C21" s="428" t="s">
        <v>202</v>
      </c>
      <c r="D21" s="26" t="s">
        <v>130</v>
      </c>
      <c r="G21">
        <v>12</v>
      </c>
      <c r="H21" s="531">
        <f t="shared" si="0"/>
        <v>6.6</v>
      </c>
      <c r="I21" s="4">
        <f t="shared" si="1"/>
        <v>1</v>
      </c>
      <c r="J21" s="348">
        <f t="shared" si="38"/>
        <v>0.21</v>
      </c>
      <c r="K21" s="348">
        <f t="shared" si="2"/>
        <v>0.21</v>
      </c>
      <c r="L21" s="4">
        <f t="shared" si="3"/>
        <v>0.11666666666666667</v>
      </c>
      <c r="M21" s="348">
        <f t="shared" si="4"/>
        <v>0.50074242303805228</v>
      </c>
      <c r="N21" s="4">
        <f t="shared" si="5"/>
        <v>0.5985511651927311</v>
      </c>
      <c r="O21" s="4">
        <f t="shared" si="39"/>
        <v>0.50927558259636552</v>
      </c>
      <c r="P21" s="4">
        <f t="shared" si="40"/>
        <v>-8.927558259636556E-2</v>
      </c>
      <c r="Q21" s="4">
        <f t="shared" si="6"/>
        <v>6.6</v>
      </c>
      <c r="R21" s="4">
        <f t="shared" si="41"/>
        <v>0.27194722180256103</v>
      </c>
      <c r="S21" s="348">
        <f t="shared" si="7"/>
        <v>3.0321669492913841E-4</v>
      </c>
      <c r="T21" s="348">
        <f t="shared" si="8"/>
        <v>0.2</v>
      </c>
      <c r="U21" s="348">
        <f t="shared" si="9"/>
        <v>0.20030807563514208</v>
      </c>
      <c r="V21" s="4">
        <f t="shared" si="42"/>
        <v>0.17278683817389373</v>
      </c>
      <c r="W21" s="348">
        <f t="shared" si="10"/>
        <v>2.9855291446131339E-5</v>
      </c>
      <c r="X21" s="348">
        <f t="shared" si="43"/>
        <v>2.9855291446131339E-5</v>
      </c>
      <c r="Y21" s="4">
        <f t="shared" si="44"/>
        <v>0.13597346100607366</v>
      </c>
      <c r="Z21" s="348">
        <f t="shared" si="11"/>
        <v>5.5466346293910702E-5</v>
      </c>
      <c r="AA21" s="525">
        <f t="shared" si="45"/>
        <v>5.5466346293910702E-5</v>
      </c>
      <c r="AB21" s="348">
        <f t="shared" si="46"/>
        <v>0.19243843648092016</v>
      </c>
      <c r="AC21" s="348">
        <f t="shared" si="12"/>
        <v>2.9626041468176913E-4</v>
      </c>
      <c r="AD21" s="348">
        <f t="shared" si="13"/>
        <v>1.1072344274815273E-3</v>
      </c>
      <c r="AE21" s="348">
        <f t="shared" si="14"/>
        <v>0</v>
      </c>
      <c r="AF21" s="348">
        <f t="shared" si="15"/>
        <v>4.0563396549416809E-4</v>
      </c>
      <c r="AG21" s="348">
        <f t="shared" si="16"/>
        <v>1.8092467294584576E-3</v>
      </c>
      <c r="AH21" s="348">
        <f t="shared" si="17"/>
        <v>0.19215290685001407</v>
      </c>
      <c r="AI21" s="348">
        <f t="shared" si="18"/>
        <v>2.0307506786000602E-4</v>
      </c>
      <c r="AJ21" s="348">
        <f t="shared" si="19"/>
        <v>2.3139526854941677E-3</v>
      </c>
      <c r="AK21" s="348">
        <f t="shared" si="20"/>
        <v>2.5171402104063626E-3</v>
      </c>
      <c r="AL21" s="348">
        <f t="shared" si="21"/>
        <v>1.9083187199999997E-3</v>
      </c>
      <c r="AM21" s="348">
        <f t="shared" si="22"/>
        <v>3.2772453119999994E-3</v>
      </c>
      <c r="AN21" s="348">
        <f t="shared" si="23"/>
        <v>1.8488822861532834E-3</v>
      </c>
      <c r="AO21" s="348">
        <f t="shared" si="24"/>
        <v>1.452E-5</v>
      </c>
      <c r="AP21" s="348">
        <f t="shared" si="25"/>
        <v>0.10709952</v>
      </c>
      <c r="AQ21" s="348">
        <f t="shared" si="26"/>
        <v>4.9827049411764704E-2</v>
      </c>
      <c r="AR21" s="348">
        <f t="shared" si="27"/>
        <v>2.5963519999999997E-2</v>
      </c>
      <c r="AS21" s="348">
        <f t="shared" si="28"/>
        <v>0.10711404000000001</v>
      </c>
      <c r="AT21" s="348">
        <f t="shared" si="29"/>
        <v>0.31886827053090022</v>
      </c>
      <c r="AU21">
        <f t="shared" si="30"/>
        <v>0.69299999999999995</v>
      </c>
      <c r="AV21" s="526">
        <f t="shared" si="47"/>
        <v>0.68487175671236478</v>
      </c>
      <c r="AW21" s="534">
        <f t="shared" si="31"/>
        <v>0.21847257494581518</v>
      </c>
      <c r="AX21" s="534">
        <f t="shared" si="32"/>
        <v>0.19792471398514994</v>
      </c>
      <c r="AY21" s="9"/>
      <c r="AZ21" s="4">
        <f t="shared" si="48"/>
        <v>68.487175671236471</v>
      </c>
      <c r="BA21" s="348">
        <f t="shared" si="33"/>
        <v>0.20030807563514208</v>
      </c>
      <c r="BB21" s="348">
        <f t="shared" si="34"/>
        <v>7.6036322518648197E-3</v>
      </c>
      <c r="BC21" s="348">
        <f t="shared" si="35"/>
        <v>3.9722286353784577E-3</v>
      </c>
      <c r="BD21" s="348">
        <f t="shared" si="36"/>
        <v>3.5986311633663627E-3</v>
      </c>
      <c r="BE21" s="348">
        <f t="shared" si="37"/>
        <v>1.8488822861532834E-3</v>
      </c>
      <c r="BK21" s="18"/>
      <c r="BL21" s="19"/>
    </row>
    <row r="22" spans="1:65" x14ac:dyDescent="0.25">
      <c r="A22" s="36" t="s">
        <v>57</v>
      </c>
      <c r="B22" s="39">
        <f>Cin*1000000</f>
        <v>4.7</v>
      </c>
      <c r="C22" s="430" t="s">
        <v>451</v>
      </c>
      <c r="D22" s="427" t="s">
        <v>468</v>
      </c>
      <c r="G22">
        <v>13</v>
      </c>
      <c r="H22" s="531">
        <f t="shared" si="0"/>
        <v>6.6</v>
      </c>
      <c r="I22" s="4">
        <f t="shared" si="1"/>
        <v>1</v>
      </c>
      <c r="J22" s="348">
        <f t="shared" si="38"/>
        <v>0.22750000000000001</v>
      </c>
      <c r="K22" s="348">
        <f t="shared" si="2"/>
        <v>0.22750000000000001</v>
      </c>
      <c r="L22" s="4">
        <f t="shared" si="3"/>
        <v>0.12638888888888891</v>
      </c>
      <c r="M22" s="348">
        <f t="shared" si="4"/>
        <v>0.5008042436784349</v>
      </c>
      <c r="N22" s="4">
        <f t="shared" si="5"/>
        <v>0.59858661972673666</v>
      </c>
      <c r="O22" s="4">
        <f t="shared" si="39"/>
        <v>0.52679330986336836</v>
      </c>
      <c r="P22" s="4">
        <f t="shared" si="40"/>
        <v>-7.1793309863368321E-2</v>
      </c>
      <c r="Q22" s="4">
        <f t="shared" si="6"/>
        <v>6.6</v>
      </c>
      <c r="R22" s="4">
        <f t="shared" si="41"/>
        <v>0.28568352847686207</v>
      </c>
      <c r="S22" s="348">
        <f t="shared" si="7"/>
        <v>3.3462182161625919E-4</v>
      </c>
      <c r="T22" s="348">
        <f t="shared" si="8"/>
        <v>0.2</v>
      </c>
      <c r="U22" s="348">
        <f t="shared" si="9"/>
        <v>0.20033998487207072</v>
      </c>
      <c r="V22" s="4">
        <f t="shared" si="42"/>
        <v>0.17279707301626979</v>
      </c>
      <c r="W22" s="348">
        <f t="shared" si="10"/>
        <v>2.9858828442990072E-5</v>
      </c>
      <c r="X22" s="348">
        <f t="shared" si="43"/>
        <v>2.9858828442990072E-5</v>
      </c>
      <c r="Y22" s="4">
        <f t="shared" si="44"/>
        <v>0.14284157945595002</v>
      </c>
      <c r="Z22" s="348">
        <f t="shared" si="11"/>
        <v>6.1211150464411459E-5</v>
      </c>
      <c r="AA22" s="525">
        <f t="shared" si="45"/>
        <v>6.1211150464411459E-5</v>
      </c>
      <c r="AB22" s="348">
        <f t="shared" si="46"/>
        <v>0.20217115924977475</v>
      </c>
      <c r="AC22" s="348">
        <f t="shared" si="12"/>
        <v>3.2698542105918227E-4</v>
      </c>
      <c r="AD22" s="348">
        <f t="shared" si="13"/>
        <v>1.1995039631049879E-3</v>
      </c>
      <c r="AE22" s="348">
        <f t="shared" si="14"/>
        <v>0</v>
      </c>
      <c r="AF22" s="348">
        <f t="shared" si="15"/>
        <v>3.2620123138815818E-4</v>
      </c>
      <c r="AG22" s="348">
        <f t="shared" si="16"/>
        <v>1.8528239017611347E-3</v>
      </c>
      <c r="AH22" s="348">
        <f t="shared" si="17"/>
        <v>0.20184623060783743</v>
      </c>
      <c r="AI22" s="348">
        <f t="shared" si="18"/>
        <v>2.240804544582576E-4</v>
      </c>
      <c r="AJ22" s="348">
        <f t="shared" si="19"/>
        <v>2.3935465113881578E-3</v>
      </c>
      <c r="AK22" s="348">
        <f t="shared" si="20"/>
        <v>2.617756015197076E-3</v>
      </c>
      <c r="AL22" s="348">
        <f t="shared" si="21"/>
        <v>2.0673452799999997E-3</v>
      </c>
      <c r="AM22" s="348">
        <f t="shared" si="22"/>
        <v>3.5503490879999996E-3</v>
      </c>
      <c r="AN22" s="348">
        <f t="shared" si="23"/>
        <v>2.0403769610747515E-3</v>
      </c>
      <c r="AO22" s="348">
        <f t="shared" si="24"/>
        <v>1.452E-5</v>
      </c>
      <c r="AP22" s="348">
        <f t="shared" si="25"/>
        <v>0.10709952</v>
      </c>
      <c r="AQ22" s="348">
        <f t="shared" si="26"/>
        <v>4.9827049411764704E-2</v>
      </c>
      <c r="AR22" s="348">
        <f t="shared" si="27"/>
        <v>2.5963519999999997E-2</v>
      </c>
      <c r="AS22" s="348">
        <f t="shared" si="28"/>
        <v>0.10711404000000001</v>
      </c>
      <c r="AT22" s="348">
        <f t="shared" si="29"/>
        <v>0.3196737460970111</v>
      </c>
      <c r="AU22">
        <f t="shared" si="30"/>
        <v>0.75075000000000003</v>
      </c>
      <c r="AV22" s="526">
        <f t="shared" si="47"/>
        <v>0.70135775924010613</v>
      </c>
      <c r="AW22" s="534">
        <f t="shared" si="31"/>
        <v>0.23078298649126242</v>
      </c>
      <c r="AX22" s="534">
        <f t="shared" si="32"/>
        <v>0.20841541678303915</v>
      </c>
      <c r="AY22" s="9"/>
      <c r="AZ22" s="4">
        <f t="shared" si="48"/>
        <v>70.135775924010616</v>
      </c>
      <c r="BA22" s="348">
        <f t="shared" si="33"/>
        <v>0.20033998487207072</v>
      </c>
      <c r="BB22" s="348">
        <f t="shared" si="34"/>
        <v>8.0209290049582105E-3</v>
      </c>
      <c r="BC22" s="348">
        <f t="shared" si="35"/>
        <v>4.1960542998411348E-3</v>
      </c>
      <c r="BD22" s="348">
        <f t="shared" si="36"/>
        <v>3.7893712142370757E-3</v>
      </c>
      <c r="BE22" s="348">
        <f t="shared" si="37"/>
        <v>2.0403769610747515E-3</v>
      </c>
      <c r="BK22" s="18"/>
      <c r="BL22" s="19"/>
    </row>
    <row r="23" spans="1:65" x14ac:dyDescent="0.25">
      <c r="A23" s="36" t="s">
        <v>86</v>
      </c>
      <c r="B23" s="39">
        <f>RCinEsr*1000</f>
        <v>3</v>
      </c>
      <c r="C23" s="429" t="s">
        <v>450</v>
      </c>
      <c r="D23" s="427" t="s">
        <v>464</v>
      </c>
      <c r="G23">
        <v>14</v>
      </c>
      <c r="H23" s="531">
        <f t="shared" si="0"/>
        <v>6.6</v>
      </c>
      <c r="I23" s="4">
        <f t="shared" si="1"/>
        <v>1</v>
      </c>
      <c r="J23" s="348">
        <f t="shared" si="38"/>
        <v>0.245</v>
      </c>
      <c r="K23" s="348">
        <f t="shared" si="2"/>
        <v>0.245</v>
      </c>
      <c r="L23" s="4">
        <f t="shared" si="3"/>
        <v>0.13611111111111113</v>
      </c>
      <c r="M23" s="348">
        <f t="shared" si="4"/>
        <v>0.50086605694864705</v>
      </c>
      <c r="N23" s="4">
        <f t="shared" si="5"/>
        <v>0.59862205596149054</v>
      </c>
      <c r="O23" s="4">
        <f t="shared" si="39"/>
        <v>0.54431102798074527</v>
      </c>
      <c r="P23" s="4">
        <f t="shared" si="40"/>
        <v>-5.4311027980745274E-2</v>
      </c>
      <c r="Q23" s="4">
        <f t="shared" si="6"/>
        <v>6.6</v>
      </c>
      <c r="R23" s="4">
        <f t="shared" si="41"/>
        <v>0.29981221426691435</v>
      </c>
      <c r="S23" s="348">
        <f t="shared" si="7"/>
        <v>3.6853819167688364E-4</v>
      </c>
      <c r="T23" s="348">
        <f t="shared" si="8"/>
        <v>0.2</v>
      </c>
      <c r="U23" s="348">
        <f t="shared" si="9"/>
        <v>0.20037444584255121</v>
      </c>
      <c r="V23" s="4">
        <f t="shared" si="42"/>
        <v>0.17280730257610691</v>
      </c>
      <c r="W23" s="348">
        <f t="shared" si="10"/>
        <v>2.9862363823630168E-5</v>
      </c>
      <c r="X23" s="348">
        <f t="shared" si="43"/>
        <v>2.9862363823630168E-5</v>
      </c>
      <c r="Y23" s="4">
        <f t="shared" si="44"/>
        <v>0.14990588225774656</v>
      </c>
      <c r="Z23" s="348">
        <f t="shared" si="11"/>
        <v>6.7415320606420133E-5</v>
      </c>
      <c r="AA23" s="525">
        <f t="shared" si="45"/>
        <v>6.7415320606420133E-5</v>
      </c>
      <c r="AB23" s="348">
        <f t="shared" si="46"/>
        <v>0.21218277377735004</v>
      </c>
      <c r="AC23" s="348">
        <f t="shared" si="12"/>
        <v>3.6017223590280084E-4</v>
      </c>
      <c r="AD23" s="348">
        <f t="shared" si="13"/>
        <v>1.2917734987284483E-3</v>
      </c>
      <c r="AE23" s="348">
        <f t="shared" si="14"/>
        <v>0</v>
      </c>
      <c r="AF23" s="348">
        <f t="shared" si="15"/>
        <v>2.4676845570976188E-4</v>
      </c>
      <c r="AG23" s="348">
        <f t="shared" si="16"/>
        <v>1.8988646523730656E-3</v>
      </c>
      <c r="AH23" s="348">
        <f t="shared" si="17"/>
        <v>0.21181556679285887</v>
      </c>
      <c r="AI23" s="348">
        <f t="shared" si="18"/>
        <v>2.4676208884679031E-4</v>
      </c>
      <c r="AJ23" s="348">
        <f t="shared" si="19"/>
        <v>2.4731402957097618E-3</v>
      </c>
      <c r="AK23" s="348">
        <f t="shared" si="20"/>
        <v>2.7200500497075995E-3</v>
      </c>
      <c r="AL23" s="348">
        <f t="shared" si="21"/>
        <v>2.2263718399999997E-3</v>
      </c>
      <c r="AM23" s="348">
        <f t="shared" si="22"/>
        <v>3.8234528639999993E-3</v>
      </c>
      <c r="AN23" s="348">
        <f t="shared" si="23"/>
        <v>2.2471840955907542E-3</v>
      </c>
      <c r="AO23" s="348">
        <f t="shared" si="24"/>
        <v>1.452E-5</v>
      </c>
      <c r="AP23" s="348">
        <f t="shared" si="25"/>
        <v>0.10709952</v>
      </c>
      <c r="AQ23" s="348">
        <f t="shared" si="26"/>
        <v>4.9827049411764704E-2</v>
      </c>
      <c r="AR23" s="348">
        <f t="shared" si="27"/>
        <v>2.5963519999999997E-2</v>
      </c>
      <c r="AS23" s="348">
        <f t="shared" si="28"/>
        <v>0.10711404000000001</v>
      </c>
      <c r="AT23" s="348">
        <f t="shared" si="29"/>
        <v>0.32050168702865267</v>
      </c>
      <c r="AU23">
        <f t="shared" si="30"/>
        <v>0.8085</v>
      </c>
      <c r="AV23" s="526">
        <f t="shared" si="47"/>
        <v>0.71611939051024742</v>
      </c>
      <c r="AW23" s="534">
        <f t="shared" si="31"/>
        <v>0.2432288948437186</v>
      </c>
      <c r="AX23" s="534">
        <f t="shared" si="32"/>
        <v>0.21899842221551796</v>
      </c>
      <c r="AY23" s="9"/>
      <c r="AZ23" s="4">
        <f t="shared" si="48"/>
        <v>71.611939051024748</v>
      </c>
      <c r="BA23" s="348">
        <f t="shared" si="33"/>
        <v>0.20037444584255121</v>
      </c>
      <c r="BB23" s="348">
        <f t="shared" si="34"/>
        <v>8.4423675660806642E-3</v>
      </c>
      <c r="BC23" s="348">
        <f t="shared" si="35"/>
        <v>4.4223435426130652E-3</v>
      </c>
      <c r="BD23" s="348">
        <f t="shared" si="36"/>
        <v>3.9817894948275994E-3</v>
      </c>
      <c r="BE23" s="348">
        <f t="shared" si="37"/>
        <v>2.2471840955907542E-3</v>
      </c>
      <c r="BK23" s="18"/>
      <c r="BL23" s="19"/>
    </row>
    <row r="24" spans="1:65" x14ac:dyDescent="0.25">
      <c r="A24" s="35" t="s">
        <v>25</v>
      </c>
      <c r="B24" s="39">
        <f>Cout*1000000</f>
        <v>66</v>
      </c>
      <c r="C24" s="428" t="s">
        <v>451</v>
      </c>
      <c r="D24" s="427" t="s">
        <v>467</v>
      </c>
      <c r="G24">
        <v>15</v>
      </c>
      <c r="H24" s="531">
        <f t="shared" si="0"/>
        <v>6.6</v>
      </c>
      <c r="I24" s="4">
        <f t="shared" si="1"/>
        <v>1</v>
      </c>
      <c r="J24" s="348">
        <f t="shared" si="38"/>
        <v>0.26250000000000001</v>
      </c>
      <c r="K24" s="348">
        <f t="shared" si="2"/>
        <v>0.26250000000000001</v>
      </c>
      <c r="L24" s="4">
        <f t="shared" si="3"/>
        <v>0.14583333333333334</v>
      </c>
      <c r="M24" s="348">
        <f t="shared" si="4"/>
        <v>0.50092786285000634</v>
      </c>
      <c r="N24" s="4">
        <f t="shared" si="5"/>
        <v>0.59865747390026458</v>
      </c>
      <c r="O24" s="4">
        <f t="shared" si="39"/>
        <v>0.56182873695013225</v>
      </c>
      <c r="P24" s="4">
        <f t="shared" si="40"/>
        <v>-3.6828736950132279E-2</v>
      </c>
      <c r="Q24" s="4">
        <f t="shared" si="6"/>
        <v>6.6</v>
      </c>
      <c r="R24" s="4">
        <f t="shared" si="41"/>
        <v>0.3142803646237764</v>
      </c>
      <c r="S24" s="348">
        <f t="shared" si="7"/>
        <v>4.0496580511102074E-4</v>
      </c>
      <c r="T24" s="348">
        <f t="shared" si="8"/>
        <v>0.2</v>
      </c>
      <c r="U24" s="348">
        <f t="shared" si="9"/>
        <v>0.20041145858812548</v>
      </c>
      <c r="V24" s="4">
        <f t="shared" si="42"/>
        <v>0.17281752685434956</v>
      </c>
      <c r="W24" s="348">
        <f t="shared" si="10"/>
        <v>2.9865897588053833E-5</v>
      </c>
      <c r="X24" s="348">
        <f t="shared" si="43"/>
        <v>2.9865897588053833E-5</v>
      </c>
      <c r="Y24" s="4">
        <f t="shared" si="44"/>
        <v>0.15713991173842801</v>
      </c>
      <c r="Z24" s="348">
        <f t="shared" si="11"/>
        <v>7.4078855583482823E-5</v>
      </c>
      <c r="AA24" s="525">
        <f t="shared" si="45"/>
        <v>7.4078855583482823E-5</v>
      </c>
      <c r="AB24" s="348">
        <f t="shared" si="46"/>
        <v>0.22243588020009097</v>
      </c>
      <c r="AC24" s="348">
        <f t="shared" si="12"/>
        <v>3.958217664031138E-4</v>
      </c>
      <c r="AD24" s="348">
        <f t="shared" si="13"/>
        <v>1.3840430343519091E-3</v>
      </c>
      <c r="AE24" s="348">
        <f t="shared" si="14"/>
        <v>0</v>
      </c>
      <c r="AF24" s="348">
        <f t="shared" si="15"/>
        <v>1.6733563846641224E-4</v>
      </c>
      <c r="AG24" s="348">
        <f t="shared" si="16"/>
        <v>1.9473700177382927E-3</v>
      </c>
      <c r="AH24" s="348">
        <f t="shared" si="17"/>
        <v>0.22202348251404538</v>
      </c>
      <c r="AI24" s="348">
        <f t="shared" si="18"/>
        <v>2.7111934733215539E-4</v>
      </c>
      <c r="AJ24" s="348">
        <f t="shared" si="19"/>
        <v>2.5527340384664116E-3</v>
      </c>
      <c r="AK24" s="348">
        <f t="shared" si="20"/>
        <v>2.8240218281286437E-3</v>
      </c>
      <c r="AL24" s="348">
        <f t="shared" si="21"/>
        <v>2.3853983999999996E-3</v>
      </c>
      <c r="AM24" s="348">
        <f t="shared" si="22"/>
        <v>4.0965566399999995E-3</v>
      </c>
      <c r="AN24" s="348">
        <f t="shared" si="23"/>
        <v>2.4693036897013463E-3</v>
      </c>
      <c r="AO24" s="348">
        <f t="shared" si="24"/>
        <v>1.452E-5</v>
      </c>
      <c r="AP24" s="348">
        <f t="shared" si="25"/>
        <v>0.10709952</v>
      </c>
      <c r="AQ24" s="348">
        <f t="shared" si="26"/>
        <v>4.9827049411764704E-2</v>
      </c>
      <c r="AR24" s="348">
        <f t="shared" si="27"/>
        <v>2.5963519999999997E-2</v>
      </c>
      <c r="AS24" s="348">
        <f t="shared" si="28"/>
        <v>0.10711404000000001</v>
      </c>
      <c r="AT24" s="348">
        <f t="shared" si="29"/>
        <v>0.32135209391686526</v>
      </c>
      <c r="AU24">
        <f t="shared" si="30"/>
        <v>0.86624999999999996</v>
      </c>
      <c r="AV24" s="526">
        <f t="shared" si="47"/>
        <v>0.72941097395929599</v>
      </c>
      <c r="AW24" s="534">
        <f t="shared" si="31"/>
        <v>0.25581035700760607</v>
      </c>
      <c r="AX24" s="534">
        <f t="shared" si="32"/>
        <v>0.22967370356307537</v>
      </c>
      <c r="AY24" s="9"/>
      <c r="AZ24" s="4">
        <f t="shared" si="48"/>
        <v>72.941097395929603</v>
      </c>
      <c r="BA24" s="348">
        <f t="shared" si="33"/>
        <v>0.20041145858812548</v>
      </c>
      <c r="BB24" s="348">
        <f t="shared" si="34"/>
        <v>8.8679484858669357E-3</v>
      </c>
      <c r="BC24" s="348">
        <f t="shared" si="35"/>
        <v>4.6510974001382922E-3</v>
      </c>
      <c r="BD24" s="348">
        <f t="shared" si="36"/>
        <v>4.1758855193286433E-3</v>
      </c>
      <c r="BE24" s="348">
        <f t="shared" si="37"/>
        <v>2.4693036897013463E-3</v>
      </c>
      <c r="BK24" s="18"/>
      <c r="BL24" s="19"/>
    </row>
    <row r="25" spans="1:65" x14ac:dyDescent="0.25">
      <c r="A25" s="35" t="s">
        <v>85</v>
      </c>
      <c r="B25" s="40">
        <f>Cout_ESR*1000</f>
        <v>1</v>
      </c>
      <c r="C25" s="429" t="s">
        <v>450</v>
      </c>
      <c r="D25" s="427" t="s">
        <v>466</v>
      </c>
      <c r="G25">
        <v>16</v>
      </c>
      <c r="H25" s="531">
        <f t="shared" si="0"/>
        <v>6.6</v>
      </c>
      <c r="I25" s="4">
        <f t="shared" si="1"/>
        <v>1</v>
      </c>
      <c r="J25" s="348">
        <f t="shared" si="38"/>
        <v>0.28000000000000003</v>
      </c>
      <c r="K25" s="348">
        <f t="shared" si="2"/>
        <v>0.28000000000000003</v>
      </c>
      <c r="L25" s="4">
        <f t="shared" si="3"/>
        <v>0.15555555555555559</v>
      </c>
      <c r="M25" s="348">
        <f t="shared" si="4"/>
        <v>0.50098966138383061</v>
      </c>
      <c r="N25" s="4">
        <f t="shared" si="5"/>
        <v>0.5986928735463305</v>
      </c>
      <c r="O25" s="4">
        <f t="shared" si="39"/>
        <v>0.57934643677316533</v>
      </c>
      <c r="P25" s="4">
        <f t="shared" si="40"/>
        <v>-1.9346436773165221E-2</v>
      </c>
      <c r="Q25" s="4">
        <f t="shared" si="6"/>
        <v>6.6</v>
      </c>
      <c r="R25" s="4">
        <f t="shared" si="41"/>
        <v>0.32904320344943089</v>
      </c>
      <c r="S25" s="348">
        <f t="shared" si="7"/>
        <v>4.4390466191868058E-4</v>
      </c>
      <c r="T25" s="348">
        <f t="shared" si="8"/>
        <v>0.2</v>
      </c>
      <c r="U25" s="348">
        <f t="shared" si="9"/>
        <v>0.20045102315341182</v>
      </c>
      <c r="V25" s="4">
        <f t="shared" si="42"/>
        <v>0.17282774585194224</v>
      </c>
      <c r="W25" s="348">
        <f t="shared" si="10"/>
        <v>2.986942973626354E-5</v>
      </c>
      <c r="X25" s="348">
        <f t="shared" si="43"/>
        <v>2.986942973626354E-5</v>
      </c>
      <c r="Y25" s="4">
        <f t="shared" si="44"/>
        <v>0.16452127944972866</v>
      </c>
      <c r="Z25" s="348">
        <f t="shared" si="11"/>
        <v>8.1201754175327126E-5</v>
      </c>
      <c r="AA25" s="525">
        <f t="shared" si="45"/>
        <v>8.1201754175327126E-5</v>
      </c>
      <c r="AB25" s="348">
        <f t="shared" si="46"/>
        <v>0.23289882984203916</v>
      </c>
      <c r="AC25" s="348">
        <f t="shared" si="12"/>
        <v>4.3393491953432891E-4</v>
      </c>
      <c r="AD25" s="348">
        <f t="shared" si="13"/>
        <v>1.4763125699753697E-3</v>
      </c>
      <c r="AE25" s="348">
        <f t="shared" si="14"/>
        <v>0</v>
      </c>
      <c r="AF25" s="348">
        <f t="shared" si="15"/>
        <v>8.7902779665541858E-5</v>
      </c>
      <c r="AG25" s="348">
        <f t="shared" si="16"/>
        <v>1.9983410421662942E-3</v>
      </c>
      <c r="AH25" s="348">
        <f t="shared" si="17"/>
        <v>0.23243830319995118</v>
      </c>
      <c r="AI25" s="348">
        <f t="shared" si="18"/>
        <v>2.9715160636959836E-4</v>
      </c>
      <c r="AJ25" s="348">
        <f t="shared" si="19"/>
        <v>2.6323277396655422E-3</v>
      </c>
      <c r="AK25" s="348">
        <f t="shared" si="20"/>
        <v>2.929670868444173E-3</v>
      </c>
      <c r="AL25" s="348">
        <f t="shared" si="21"/>
        <v>2.5444249600000001E-3</v>
      </c>
      <c r="AM25" s="348">
        <f t="shared" si="22"/>
        <v>4.3696604159999992E-3</v>
      </c>
      <c r="AN25" s="348">
        <f t="shared" si="23"/>
        <v>2.7067357434065894E-3</v>
      </c>
      <c r="AO25" s="348">
        <f t="shared" si="24"/>
        <v>1.452E-5</v>
      </c>
      <c r="AP25" s="348">
        <f t="shared" si="25"/>
        <v>0.10709952</v>
      </c>
      <c r="AQ25" s="348">
        <f t="shared" si="26"/>
        <v>4.9827049411764704E-2</v>
      </c>
      <c r="AR25" s="348">
        <f t="shared" si="27"/>
        <v>2.5963519999999997E-2</v>
      </c>
      <c r="AS25" s="348">
        <f t="shared" si="28"/>
        <v>0.10711404000000001</v>
      </c>
      <c r="AT25" s="348">
        <f t="shared" si="29"/>
        <v>0.32222496736734046</v>
      </c>
      <c r="AU25">
        <f t="shared" si="30"/>
        <v>0.92400000000000004</v>
      </c>
      <c r="AV25" s="526">
        <f t="shared" si="47"/>
        <v>0.74143916563632728</v>
      </c>
      <c r="AW25" s="534">
        <f t="shared" si="31"/>
        <v>0.26852743041994614</v>
      </c>
      <c r="AX25" s="534">
        <f t="shared" si="32"/>
        <v>0.2404412343148295</v>
      </c>
      <c r="AY25" s="9"/>
      <c r="AZ25" s="4">
        <f t="shared" si="48"/>
        <v>74.143916563632729</v>
      </c>
      <c r="BA25" s="348">
        <f t="shared" si="33"/>
        <v>0.20045102315341182</v>
      </c>
      <c r="BB25" s="348">
        <f t="shared" si="34"/>
        <v>9.297672326610466E-3</v>
      </c>
      <c r="BC25" s="348">
        <f t="shared" si="35"/>
        <v>4.8823169167262932E-3</v>
      </c>
      <c r="BD25" s="348">
        <f t="shared" si="36"/>
        <v>4.3716588057241728E-3</v>
      </c>
      <c r="BE25" s="348">
        <f t="shared" si="37"/>
        <v>2.7067357434065894E-3</v>
      </c>
    </row>
    <row r="26" spans="1:65" ht="13" x14ac:dyDescent="0.3">
      <c r="A26" s="24" t="s">
        <v>112</v>
      </c>
      <c r="B26" s="37" t="s">
        <v>111</v>
      </c>
      <c r="C26" s="24" t="s">
        <v>76</v>
      </c>
      <c r="D26" s="17" t="s">
        <v>107</v>
      </c>
      <c r="G26">
        <v>17</v>
      </c>
      <c r="H26" s="531">
        <f t="shared" si="0"/>
        <v>6.6</v>
      </c>
      <c r="I26" s="4">
        <f t="shared" si="1"/>
        <v>1</v>
      </c>
      <c r="J26" s="348">
        <f t="shared" si="38"/>
        <v>0.29749999999999999</v>
      </c>
      <c r="K26" s="348">
        <f t="shared" si="2"/>
        <v>0.29749999999999999</v>
      </c>
      <c r="L26" s="4">
        <f t="shared" si="3"/>
        <v>0.16527777777777777</v>
      </c>
      <c r="M26" s="348">
        <f t="shared" si="4"/>
        <v>0.5010514525514369</v>
      </c>
      <c r="N26" s="4">
        <f t="shared" si="5"/>
        <v>0.59872825490295867</v>
      </c>
      <c r="O26" s="4">
        <f t="shared" si="39"/>
        <v>0.59686412745147932</v>
      </c>
      <c r="P26" s="4">
        <f t="shared" si="40"/>
        <v>-1.8641274514793471E-3</v>
      </c>
      <c r="Q26" s="4">
        <f t="shared" si="6"/>
        <v>6.6</v>
      </c>
      <c r="R26" s="4">
        <f t="shared" si="41"/>
        <v>0.34406279989016808</v>
      </c>
      <c r="S26" s="348">
        <f t="shared" si="7"/>
        <v>4.8535476209987351E-4</v>
      </c>
      <c r="T26" s="348">
        <f t="shared" si="8"/>
        <v>0.2</v>
      </c>
      <c r="U26" s="348">
        <f t="shared" si="9"/>
        <v>0.20049313958610521</v>
      </c>
      <c r="V26" s="4">
        <f t="shared" si="42"/>
        <v>0.17283795956982903</v>
      </c>
      <c r="W26" s="348">
        <f t="shared" si="10"/>
        <v>2.9872960268261854E-5</v>
      </c>
      <c r="X26" s="348">
        <f t="shared" si="43"/>
        <v>2.9872960268261854E-5</v>
      </c>
      <c r="Y26" s="4">
        <f t="shared" si="44"/>
        <v>0.17203101956518596</v>
      </c>
      <c r="Z26" s="348">
        <f t="shared" si="11"/>
        <v>8.8784015077912181E-5</v>
      </c>
      <c r="AA26" s="525">
        <f t="shared" si="45"/>
        <v>8.8784015077912181E-5</v>
      </c>
      <c r="AB26" s="348">
        <f t="shared" si="46"/>
        <v>0.24354481159902497</v>
      </c>
      <c r="AC26" s="348">
        <f t="shared" si="12"/>
        <v>4.7451260205443654E-4</v>
      </c>
      <c r="AD26" s="348">
        <f t="shared" si="13"/>
        <v>1.56858210559883E-3</v>
      </c>
      <c r="AE26" s="348">
        <f t="shared" si="14"/>
        <v>0</v>
      </c>
      <c r="AF26" s="348">
        <f t="shared" si="15"/>
        <v>8.4698793145807852E-6</v>
      </c>
      <c r="AG26" s="348">
        <f t="shared" si="16"/>
        <v>2.0517787778429244E-3</v>
      </c>
      <c r="AH26" s="348">
        <f t="shared" si="17"/>
        <v>0.2430331973444313</v>
      </c>
      <c r="AI26" s="348">
        <f t="shared" si="18"/>
        <v>3.2485824256301506E-4</v>
      </c>
      <c r="AJ26" s="348">
        <f t="shared" si="19"/>
        <v>2.7119213993145805E-3</v>
      </c>
      <c r="AK26" s="348">
        <f t="shared" si="20"/>
        <v>3.0369966924273933E-3</v>
      </c>
      <c r="AL26" s="348">
        <f t="shared" si="21"/>
        <v>2.7034515199999996E-3</v>
      </c>
      <c r="AM26" s="348">
        <f t="shared" si="22"/>
        <v>4.642764191999999E-3</v>
      </c>
      <c r="AN26" s="348">
        <f t="shared" si="23"/>
        <v>2.9594802567065462E-3</v>
      </c>
      <c r="AO26" s="348">
        <f t="shared" si="24"/>
        <v>1.452E-5</v>
      </c>
      <c r="AP26" s="348">
        <f t="shared" si="25"/>
        <v>0.10709952</v>
      </c>
      <c r="AQ26" s="348">
        <f t="shared" si="26"/>
        <v>4.9827049411764704E-2</v>
      </c>
      <c r="AR26" s="348">
        <f t="shared" si="27"/>
        <v>2.5963519999999997E-2</v>
      </c>
      <c r="AS26" s="348">
        <f t="shared" si="28"/>
        <v>0.10711404000000001</v>
      </c>
      <c r="AT26" s="348">
        <f t="shared" si="29"/>
        <v>0.32312030800042829</v>
      </c>
      <c r="AU26">
        <f t="shared" si="30"/>
        <v>0.9817499999999999</v>
      </c>
      <c r="AV26" s="526">
        <f t="shared" si="47"/>
        <v>0.75237362209921455</v>
      </c>
      <c r="AW26" s="534">
        <f t="shared" si="31"/>
        <v>0.28138017295096079</v>
      </c>
      <c r="AX26" s="534">
        <f t="shared" si="32"/>
        <v>0.25130098816830659</v>
      </c>
      <c r="AY26" s="9"/>
      <c r="AZ26" s="4">
        <f t="shared" si="48"/>
        <v>75.237362209921457</v>
      </c>
      <c r="BA26" s="348">
        <f t="shared" si="33"/>
        <v>0.20049313958610521</v>
      </c>
      <c r="BB26" s="348">
        <f t="shared" si="34"/>
        <v>9.7315396622703158E-3</v>
      </c>
      <c r="BC26" s="348">
        <f t="shared" si="35"/>
        <v>5.1160031445629233E-3</v>
      </c>
      <c r="BD26" s="348">
        <f t="shared" si="36"/>
        <v>4.5691088757873928E-3</v>
      </c>
      <c r="BE26" s="348">
        <f t="shared" si="37"/>
        <v>2.9594802567065462E-3</v>
      </c>
    </row>
    <row r="27" spans="1:65" x14ac:dyDescent="0.25">
      <c r="A27" s="22" t="s">
        <v>61</v>
      </c>
      <c r="B27" s="5">
        <v>0.7</v>
      </c>
      <c r="C27" s="431" t="s">
        <v>116</v>
      </c>
      <c r="D27" s="427" t="s">
        <v>491</v>
      </c>
      <c r="G27">
        <v>18</v>
      </c>
      <c r="H27" s="531">
        <f t="shared" si="0"/>
        <v>6.6</v>
      </c>
      <c r="I27" s="4">
        <f t="shared" si="1"/>
        <v>1</v>
      </c>
      <c r="J27" s="348">
        <f t="shared" si="38"/>
        <v>0.315</v>
      </c>
      <c r="K27" s="348">
        <f t="shared" si="2"/>
        <v>0.315</v>
      </c>
      <c r="L27" s="4">
        <f t="shared" si="3"/>
        <v>0.17499999999999999</v>
      </c>
      <c r="M27" s="348">
        <f t="shared" si="4"/>
        <v>0.50111323635414251</v>
      </c>
      <c r="N27" s="4">
        <f t="shared" si="5"/>
        <v>0.59876361797341948</v>
      </c>
      <c r="O27" s="4">
        <f t="shared" si="39"/>
        <v>0.61438180898670969</v>
      </c>
      <c r="P27" s="4">
        <f t="shared" si="40"/>
        <v>1.5618191013290261E-2</v>
      </c>
      <c r="Q27" s="4">
        <f t="shared" si="6"/>
        <v>0</v>
      </c>
      <c r="R27" s="4">
        <f t="shared" si="41"/>
        <v>0.35930695677101993</v>
      </c>
      <c r="S27" s="348">
        <f t="shared" si="7"/>
        <v>5.2931610565461141E-4</v>
      </c>
      <c r="T27" s="348">
        <f t="shared" si="8"/>
        <v>0.2</v>
      </c>
      <c r="U27" s="348">
        <f t="shared" si="9"/>
        <v>0.20053780793697731</v>
      </c>
      <c r="V27" s="4">
        <f t="shared" si="42"/>
        <v>0.172848168008954</v>
      </c>
      <c r="W27" s="348">
        <f t="shared" si="10"/>
        <v>2.987648918405159E-5</v>
      </c>
      <c r="X27" s="348">
        <f t="shared" si="43"/>
        <v>2.987648918405159E-5</v>
      </c>
      <c r="Y27" s="4">
        <f t="shared" si="44"/>
        <v>0.17965303309757838</v>
      </c>
      <c r="Z27" s="348">
        <f t="shared" si="11"/>
        <v>9.6825636903478791E-5</v>
      </c>
      <c r="AA27" s="525">
        <f t="shared" si="45"/>
        <v>9.6825636903478791E-5</v>
      </c>
      <c r="AB27" s="348">
        <f t="shared" si="46"/>
        <v>0.25435106656579881</v>
      </c>
      <c r="AC27" s="348">
        <f t="shared" si="12"/>
        <v>5.1755572050527529E-4</v>
      </c>
      <c r="AD27" s="348">
        <f t="shared" si="13"/>
        <v>1.6608516412222906E-3</v>
      </c>
      <c r="AE27" s="348">
        <f t="shared" si="14"/>
        <v>3.1326609599999992E-2</v>
      </c>
      <c r="AF27" s="348">
        <f t="shared" si="15"/>
        <v>0</v>
      </c>
      <c r="AG27" s="348">
        <f t="shared" si="16"/>
        <v>3.3508832353059348E-2</v>
      </c>
      <c r="AH27" s="348">
        <f t="shared" si="17"/>
        <v>0.25378538988856741</v>
      </c>
      <c r="AI27" s="348">
        <f t="shared" si="18"/>
        <v>3.5423863266490695E-4</v>
      </c>
      <c r="AJ27" s="348">
        <f t="shared" si="19"/>
        <v>2.8624780799999996E-3</v>
      </c>
      <c r="AK27" s="348">
        <f t="shared" si="20"/>
        <v>3.2169674189756682E-3</v>
      </c>
      <c r="AL27" s="348">
        <f t="shared" si="21"/>
        <v>2.8624780799999996E-3</v>
      </c>
      <c r="AM27" s="348">
        <f t="shared" si="22"/>
        <v>4.9158679679999987E-3</v>
      </c>
      <c r="AN27" s="348">
        <f t="shared" si="23"/>
        <v>3.2275372296012902E-3</v>
      </c>
      <c r="AO27" s="348">
        <f t="shared" si="24"/>
        <v>1.452E-5</v>
      </c>
      <c r="AP27" s="348">
        <f t="shared" si="25"/>
        <v>0.10709952</v>
      </c>
      <c r="AQ27" s="348">
        <f t="shared" si="26"/>
        <v>4.9827049411764704E-2</v>
      </c>
      <c r="AR27" s="348">
        <f t="shared" si="27"/>
        <v>2.5963519999999997E-2</v>
      </c>
      <c r="AS27" s="348">
        <f t="shared" si="28"/>
        <v>0.10711404000000001</v>
      </c>
      <c r="AT27" s="348">
        <f t="shared" si="29"/>
        <v>0.35551023311270114</v>
      </c>
      <c r="AU27">
        <f t="shared" si="30"/>
        <v>1.0394999999999999</v>
      </c>
      <c r="AV27" s="526">
        <f t="shared" si="47"/>
        <v>0.74515582418385029</v>
      </c>
      <c r="AW27" s="534">
        <f t="shared" si="31"/>
        <v>2.021431786656664</v>
      </c>
      <c r="AX27" s="534">
        <f t="shared" si="32"/>
        <v>0.26615621166286174</v>
      </c>
      <c r="AY27" s="9"/>
      <c r="AZ27" s="4">
        <f t="shared" si="48"/>
        <v>74.515582418385023</v>
      </c>
      <c r="BA27" s="348">
        <f t="shared" si="33"/>
        <v>0.20053780793697731</v>
      </c>
      <c r="BB27" s="348">
        <f t="shared" si="34"/>
        <v>4.1641667740035013E-2</v>
      </c>
      <c r="BC27" s="348">
        <f t="shared" si="35"/>
        <v>3.6753305211939348E-2</v>
      </c>
      <c r="BD27" s="348">
        <f t="shared" si="36"/>
        <v>4.8392038484156678E-3</v>
      </c>
      <c r="BE27" s="348">
        <f t="shared" si="37"/>
        <v>3.2275372296012902E-3</v>
      </c>
    </row>
    <row r="28" spans="1:65" x14ac:dyDescent="0.25">
      <c r="A28" s="22" t="s">
        <v>126</v>
      </c>
      <c r="B28" s="5">
        <f>RdsonDRT2</f>
        <v>0.5</v>
      </c>
      <c r="C28" s="431" t="s">
        <v>116</v>
      </c>
      <c r="D28" s="427" t="s">
        <v>490</v>
      </c>
      <c r="G28">
        <v>19</v>
      </c>
      <c r="H28" s="531">
        <f t="shared" si="0"/>
        <v>6.6</v>
      </c>
      <c r="I28" s="4">
        <f t="shared" si="1"/>
        <v>1</v>
      </c>
      <c r="J28" s="348">
        <f t="shared" si="38"/>
        <v>0.33250000000000002</v>
      </c>
      <c r="K28" s="348">
        <f t="shared" si="2"/>
        <v>0.33250000000000002</v>
      </c>
      <c r="L28" s="4">
        <f t="shared" si="3"/>
        <v>0.18472222222222226</v>
      </c>
      <c r="M28" s="348">
        <f t="shared" si="4"/>
        <v>0.50117501279326371</v>
      </c>
      <c r="N28" s="4">
        <f t="shared" si="5"/>
        <v>0.59879896276098132</v>
      </c>
      <c r="O28" s="4">
        <f t="shared" si="39"/>
        <v>0.63189948138049068</v>
      </c>
      <c r="P28" s="4">
        <f t="shared" si="40"/>
        <v>3.3100518619509356E-2</v>
      </c>
      <c r="Q28" s="4">
        <f t="shared" si="6"/>
        <v>0</v>
      </c>
      <c r="R28" s="4">
        <f t="shared" si="41"/>
        <v>0.37474827082140832</v>
      </c>
      <c r="S28" s="348">
        <f t="shared" si="7"/>
        <v>5.7578869258290589E-4</v>
      </c>
      <c r="T28" s="348">
        <f t="shared" si="8"/>
        <v>0.2</v>
      </c>
      <c r="U28" s="348">
        <f t="shared" si="9"/>
        <v>0.20058502825987679</v>
      </c>
      <c r="V28" s="4">
        <f t="shared" si="42"/>
        <v>0.17285837117026065</v>
      </c>
      <c r="W28" s="348">
        <f t="shared" si="10"/>
        <v>2.9880016483635598E-5</v>
      </c>
      <c r="X28" s="348">
        <f t="shared" si="43"/>
        <v>2.9880016483635598E-5</v>
      </c>
      <c r="Y28" s="4">
        <f t="shared" si="44"/>
        <v>0.18737361801189187</v>
      </c>
      <c r="Z28" s="348">
        <f t="shared" si="11"/>
        <v>1.0532661818059912E-4</v>
      </c>
      <c r="AA28" s="525">
        <f t="shared" si="45"/>
        <v>1.0532661818059912E-4</v>
      </c>
      <c r="AB28" s="348">
        <f t="shared" si="46"/>
        <v>0.26529822398872982</v>
      </c>
      <c r="AC28" s="348">
        <f t="shared" si="12"/>
        <v>5.6306518121259405E-4</v>
      </c>
      <c r="AD28" s="348">
        <f t="shared" si="13"/>
        <v>1.7531211768457514E-3</v>
      </c>
      <c r="AE28" s="348">
        <f t="shared" si="14"/>
        <v>3.1326609599999992E-2</v>
      </c>
      <c r="AF28" s="348">
        <f t="shared" si="15"/>
        <v>0</v>
      </c>
      <c r="AG28" s="348">
        <f t="shared" si="16"/>
        <v>3.3646963953506602E-2</v>
      </c>
      <c r="AH28" s="348">
        <f t="shared" si="17"/>
        <v>0.26467549722643635</v>
      </c>
      <c r="AI28" s="348">
        <f t="shared" si="18"/>
        <v>3.8529215357633722E-4</v>
      </c>
      <c r="AJ28" s="348">
        <f t="shared" si="19"/>
        <v>3.02150464E-3</v>
      </c>
      <c r="AK28" s="348">
        <f t="shared" si="20"/>
        <v>3.407085592712333E-3</v>
      </c>
      <c r="AL28" s="348">
        <f t="shared" si="21"/>
        <v>3.02150464E-3</v>
      </c>
      <c r="AM28" s="348">
        <f t="shared" si="22"/>
        <v>5.1889717439999993E-3</v>
      </c>
      <c r="AN28" s="348">
        <f t="shared" si="23"/>
        <v>3.5109066620908902E-3</v>
      </c>
      <c r="AO28" s="348">
        <f t="shared" si="24"/>
        <v>1.452E-5</v>
      </c>
      <c r="AP28" s="348">
        <f t="shared" si="25"/>
        <v>0.10709952</v>
      </c>
      <c r="AQ28" s="348">
        <f t="shared" si="26"/>
        <v>4.9827049411764704E-2</v>
      </c>
      <c r="AR28" s="348">
        <f t="shared" si="27"/>
        <v>2.5963519999999997E-2</v>
      </c>
      <c r="AS28" s="348">
        <f t="shared" si="28"/>
        <v>0.10711404000000001</v>
      </c>
      <c r="AT28" s="348">
        <f t="shared" si="29"/>
        <v>0.35660970748685084</v>
      </c>
      <c r="AU28">
        <f t="shared" si="30"/>
        <v>1.0972500000000001</v>
      </c>
      <c r="AV28" s="526">
        <f t="shared" si="47"/>
        <v>0.75471518630687684</v>
      </c>
      <c r="AW28" s="534">
        <f t="shared" si="31"/>
        <v>2.038942691750063</v>
      </c>
      <c r="AX28" s="534">
        <f t="shared" si="32"/>
        <v>0.28156954475277829</v>
      </c>
      <c r="AY28" s="9"/>
      <c r="AZ28" s="4">
        <f t="shared" si="48"/>
        <v>75.471518630687683</v>
      </c>
      <c r="BA28" s="348">
        <f t="shared" si="33"/>
        <v>0.20058502825987679</v>
      </c>
      <c r="BB28" s="348">
        <f t="shared" si="34"/>
        <v>4.2243021290218938E-2</v>
      </c>
      <c r="BC28" s="348">
        <f t="shared" si="35"/>
        <v>3.7071685304546603E-2</v>
      </c>
      <c r="BD28" s="348">
        <f t="shared" si="36"/>
        <v>5.1194462682323328E-3</v>
      </c>
      <c r="BE28" s="348">
        <f t="shared" si="37"/>
        <v>3.5109066620908902E-3</v>
      </c>
    </row>
    <row r="29" spans="1:65" ht="13" x14ac:dyDescent="0.3">
      <c r="A29" s="24" t="s">
        <v>113</v>
      </c>
      <c r="B29" s="15" t="s">
        <v>111</v>
      </c>
      <c r="C29" s="24" t="s">
        <v>76</v>
      </c>
      <c r="D29" s="17" t="s">
        <v>107</v>
      </c>
      <c r="G29">
        <v>20</v>
      </c>
      <c r="H29" s="531">
        <f t="shared" si="0"/>
        <v>6.6</v>
      </c>
      <c r="I29" s="4">
        <f t="shared" si="1"/>
        <v>1</v>
      </c>
      <c r="J29" s="348">
        <f t="shared" si="38"/>
        <v>0.35</v>
      </c>
      <c r="K29" s="348">
        <f t="shared" si="2"/>
        <v>0.35</v>
      </c>
      <c r="L29" s="4">
        <f t="shared" si="3"/>
        <v>0.19444444444444442</v>
      </c>
      <c r="M29" s="348">
        <f t="shared" si="4"/>
        <v>0.501236781870117</v>
      </c>
      <c r="N29" s="4">
        <f t="shared" si="5"/>
        <v>0.59883428926891291</v>
      </c>
      <c r="O29" s="4">
        <f t="shared" si="39"/>
        <v>0.64941714463445643</v>
      </c>
      <c r="P29" s="4">
        <f t="shared" si="40"/>
        <v>5.0582855365543522E-2</v>
      </c>
      <c r="Q29" s="4">
        <f t="shared" si="6"/>
        <v>0</v>
      </c>
      <c r="R29" s="4">
        <f t="shared" si="41"/>
        <v>0.39036334634160647</v>
      </c>
      <c r="S29" s="348">
        <f t="shared" si="7"/>
        <v>6.2477252288476955E-4</v>
      </c>
      <c r="T29" s="348">
        <f t="shared" si="8"/>
        <v>0.2</v>
      </c>
      <c r="U29" s="348">
        <f t="shared" si="9"/>
        <v>0.20063480061172931</v>
      </c>
      <c r="V29" s="4">
        <f t="shared" si="42"/>
        <v>0.17286856905469256</v>
      </c>
      <c r="W29" s="348">
        <f t="shared" si="10"/>
        <v>2.9883542167017012E-5</v>
      </c>
      <c r="X29" s="348">
        <f t="shared" si="43"/>
        <v>2.9883542167017012E-5</v>
      </c>
      <c r="Y29" s="4">
        <f t="shared" si="44"/>
        <v>0.19518107605864085</v>
      </c>
      <c r="Z29" s="348">
        <f t="shared" si="11"/>
        <v>1.1428695735422684E-4</v>
      </c>
      <c r="AA29" s="525">
        <f t="shared" si="45"/>
        <v>1.1428695735422684E-4</v>
      </c>
      <c r="AB29" s="348">
        <f t="shared" si="46"/>
        <v>0.27636974560498634</v>
      </c>
      <c r="AC29" s="348">
        <f t="shared" si="12"/>
        <v>6.1104189028611891E-4</v>
      </c>
      <c r="AD29" s="348">
        <f t="shared" si="13"/>
        <v>1.8453907124692118E-3</v>
      </c>
      <c r="AE29" s="348">
        <f t="shared" si="14"/>
        <v>3.1326609599999992E-2</v>
      </c>
      <c r="AF29" s="348">
        <f t="shared" si="15"/>
        <v>0</v>
      </c>
      <c r="AG29" s="348">
        <f t="shared" si="16"/>
        <v>3.3787584241210776E-2</v>
      </c>
      <c r="AH29" s="348">
        <f t="shared" si="17"/>
        <v>0.27568697082243859</v>
      </c>
      <c r="AI29" s="348">
        <f t="shared" si="18"/>
        <v>4.1801818234688654E-4</v>
      </c>
      <c r="AJ29" s="348">
        <f t="shared" si="19"/>
        <v>3.1805311999999995E-3</v>
      </c>
      <c r="AK29" s="348">
        <f t="shared" si="20"/>
        <v>3.598880349779792E-3</v>
      </c>
      <c r="AL29" s="348">
        <f t="shared" si="21"/>
        <v>3.1805311999999995E-3</v>
      </c>
      <c r="AM29" s="348">
        <f t="shared" si="22"/>
        <v>5.4620755199999982E-3</v>
      </c>
      <c r="AN29" s="348">
        <f t="shared" si="23"/>
        <v>3.8095885541754252E-3</v>
      </c>
      <c r="AO29" s="348">
        <f t="shared" si="24"/>
        <v>1.452E-5</v>
      </c>
      <c r="AP29" s="348">
        <f t="shared" si="25"/>
        <v>0.10709952</v>
      </c>
      <c r="AQ29" s="348">
        <f t="shared" si="26"/>
        <v>4.9827049411764704E-2</v>
      </c>
      <c r="AR29" s="348">
        <f t="shared" si="27"/>
        <v>2.5963519999999997E-2</v>
      </c>
      <c r="AS29" s="348">
        <f t="shared" si="28"/>
        <v>0.10711404000000001</v>
      </c>
      <c r="AT29" s="348">
        <f t="shared" si="29"/>
        <v>0.3577316709764165</v>
      </c>
      <c r="AU29">
        <f t="shared" si="30"/>
        <v>1.1549999999999998</v>
      </c>
      <c r="AV29" s="526">
        <f t="shared" si="47"/>
        <v>0.76351941468541284</v>
      </c>
      <c r="AW29" s="534">
        <f t="shared" si="31"/>
        <v>2.0565904746425927</v>
      </c>
      <c r="AX29" s="534">
        <f t="shared" si="32"/>
        <v>0.29707508992588855</v>
      </c>
      <c r="AY29" s="9"/>
      <c r="AZ29" s="4">
        <f t="shared" si="48"/>
        <v>76.351941468541284</v>
      </c>
      <c r="BA29" s="348">
        <f t="shared" si="33"/>
        <v>0.20063480061172931</v>
      </c>
      <c r="BB29" s="348">
        <f t="shared" si="34"/>
        <v>4.2848540110990568E-2</v>
      </c>
      <c r="BC29" s="348">
        <f t="shared" si="35"/>
        <v>3.7392554084410778E-2</v>
      </c>
      <c r="BD29" s="348">
        <f t="shared" si="36"/>
        <v>5.4013652713797919E-3</v>
      </c>
      <c r="BE29" s="348">
        <f t="shared" si="37"/>
        <v>3.8095885541754252E-3</v>
      </c>
    </row>
    <row r="30" spans="1:65" x14ac:dyDescent="0.25">
      <c r="A30" s="22" t="s">
        <v>60</v>
      </c>
      <c r="B30" s="27">
        <v>0.7</v>
      </c>
      <c r="C30" s="431" t="s">
        <v>116</v>
      </c>
      <c r="D30" s="427" t="s">
        <v>489</v>
      </c>
      <c r="G30">
        <v>21</v>
      </c>
      <c r="H30" s="531">
        <f t="shared" si="0"/>
        <v>6.6</v>
      </c>
      <c r="I30" s="4">
        <f t="shared" si="1"/>
        <v>1</v>
      </c>
      <c r="J30" s="348">
        <f t="shared" si="38"/>
        <v>0.36749999999999999</v>
      </c>
      <c r="K30" s="348">
        <f t="shared" si="2"/>
        <v>0.36749999999999999</v>
      </c>
      <c r="L30" s="4">
        <f t="shared" si="3"/>
        <v>0.20416666666666669</v>
      </c>
      <c r="M30" s="348">
        <f t="shared" si="4"/>
        <v>0.50129854358601866</v>
      </c>
      <c r="N30" s="4">
        <f t="shared" si="5"/>
        <v>0.5988695975004823</v>
      </c>
      <c r="O30" s="4">
        <f t="shared" si="39"/>
        <v>0.6669347987502412</v>
      </c>
      <c r="P30" s="4">
        <f t="shared" si="40"/>
        <v>6.8065201249758844E-2</v>
      </c>
      <c r="Q30" s="4">
        <f t="shared" si="6"/>
        <v>0</v>
      </c>
      <c r="R30" s="4">
        <f t="shared" si="41"/>
        <v>0.40613214134589143</v>
      </c>
      <c r="S30" s="348">
        <f t="shared" si="7"/>
        <v>6.7626759656021641E-4</v>
      </c>
      <c r="T30" s="348">
        <f t="shared" si="8"/>
        <v>0.2</v>
      </c>
      <c r="U30" s="348">
        <f t="shared" si="9"/>
        <v>0.20068712505253783</v>
      </c>
      <c r="V30" s="4">
        <f t="shared" si="42"/>
        <v>0.17287876166319316</v>
      </c>
      <c r="W30" s="348">
        <f t="shared" si="10"/>
        <v>2.9887066234199142E-5</v>
      </c>
      <c r="X30" s="348">
        <f t="shared" si="43"/>
        <v>2.9887066234199142E-5</v>
      </c>
      <c r="Y30" s="4">
        <f t="shared" si="44"/>
        <v>0.2030653858455016</v>
      </c>
      <c r="Z30" s="348">
        <f t="shared" si="11"/>
        <v>1.2370665278574734E-4</v>
      </c>
      <c r="AA30" s="525">
        <f t="shared" si="45"/>
        <v>1.2370665278574734E-4</v>
      </c>
      <c r="AB30" s="348">
        <f t="shared" si="46"/>
        <v>0.28755146357209194</v>
      </c>
      <c r="AC30" s="348">
        <f t="shared" si="12"/>
        <v>6.6148675361961699E-4</v>
      </c>
      <c r="AD30" s="348">
        <f t="shared" si="13"/>
        <v>1.9376602480926726E-3</v>
      </c>
      <c r="AE30" s="348">
        <f t="shared" si="14"/>
        <v>3.1326609599999992E-2</v>
      </c>
      <c r="AF30" s="348">
        <f t="shared" si="15"/>
        <v>0</v>
      </c>
      <c r="AG30" s="348">
        <f t="shared" si="16"/>
        <v>3.393069443679271E-2</v>
      </c>
      <c r="AH30" s="348">
        <f t="shared" si="17"/>
        <v>0.28680563458856068</v>
      </c>
      <c r="AI30" s="348">
        <f t="shared" si="18"/>
        <v>4.5241609617460845E-4</v>
      </c>
      <c r="AJ30" s="348">
        <f t="shared" si="19"/>
        <v>3.3395577599999995E-3</v>
      </c>
      <c r="AK30" s="348">
        <f t="shared" si="20"/>
        <v>3.7923513147455784E-3</v>
      </c>
      <c r="AL30" s="348">
        <f t="shared" si="21"/>
        <v>3.3395577599999995E-3</v>
      </c>
      <c r="AM30" s="348">
        <f t="shared" si="22"/>
        <v>5.7351792959999988E-3</v>
      </c>
      <c r="AN30" s="348">
        <f t="shared" si="23"/>
        <v>4.1235829058549785E-3</v>
      </c>
      <c r="AO30" s="348">
        <f t="shared" si="24"/>
        <v>1.452E-5</v>
      </c>
      <c r="AP30" s="348">
        <f t="shared" si="25"/>
        <v>0.10709952</v>
      </c>
      <c r="AQ30" s="348">
        <f t="shared" si="26"/>
        <v>4.9827049411764704E-2</v>
      </c>
      <c r="AR30" s="348">
        <f t="shared" si="27"/>
        <v>2.5963519999999997E-2</v>
      </c>
      <c r="AS30" s="348">
        <f t="shared" si="28"/>
        <v>0.10711404000000001</v>
      </c>
      <c r="AT30" s="348">
        <f t="shared" si="29"/>
        <v>0.35887612448495104</v>
      </c>
      <c r="AU30">
        <f t="shared" si="30"/>
        <v>1.21275</v>
      </c>
      <c r="AV30" s="526">
        <f t="shared" si="47"/>
        <v>0.77165299119562492</v>
      </c>
      <c r="AW30" s="534">
        <f t="shared" si="31"/>
        <v>2.0743752024683988</v>
      </c>
      <c r="AX30" s="534">
        <f t="shared" si="32"/>
        <v>0.31267282653340678</v>
      </c>
      <c r="AY30" s="9"/>
      <c r="AZ30" s="4">
        <f t="shared" si="48"/>
        <v>77.165299119562491</v>
      </c>
      <c r="BA30" s="348">
        <f t="shared" si="33"/>
        <v>0.20068712505253783</v>
      </c>
      <c r="BB30" s="348">
        <f t="shared" si="34"/>
        <v>4.3458225047538282E-2</v>
      </c>
      <c r="BC30" s="348">
        <f t="shared" si="35"/>
        <v>3.7715912772152707E-2</v>
      </c>
      <c r="BD30" s="348">
        <f t="shared" si="36"/>
        <v>5.684960482425578E-3</v>
      </c>
      <c r="BE30" s="348">
        <f t="shared" si="37"/>
        <v>4.1235829058549785E-3</v>
      </c>
    </row>
    <row r="31" spans="1:65" x14ac:dyDescent="0.25">
      <c r="A31" s="22" t="s">
        <v>125</v>
      </c>
      <c r="B31" s="27">
        <v>0.5</v>
      </c>
      <c r="C31" s="431" t="s">
        <v>116</v>
      </c>
      <c r="D31" s="427" t="s">
        <v>488</v>
      </c>
      <c r="G31">
        <v>22</v>
      </c>
      <c r="H31" s="531">
        <f t="shared" si="0"/>
        <v>6.6</v>
      </c>
      <c r="I31" s="4">
        <f t="shared" si="1"/>
        <v>1</v>
      </c>
      <c r="J31" s="348">
        <f t="shared" si="38"/>
        <v>0.38500000000000001</v>
      </c>
      <c r="K31" s="348">
        <f t="shared" si="2"/>
        <v>0.38500000000000001</v>
      </c>
      <c r="L31" s="4">
        <f t="shared" si="3"/>
        <v>0.21388888888888891</v>
      </c>
      <c r="M31" s="348">
        <f t="shared" si="4"/>
        <v>0.50136029794228409</v>
      </c>
      <c r="N31" s="4">
        <f t="shared" si="5"/>
        <v>0.59890488745895543</v>
      </c>
      <c r="O31" s="4">
        <f t="shared" si="39"/>
        <v>0.68445244372947767</v>
      </c>
      <c r="P31" s="4">
        <f t="shared" si="40"/>
        <v>8.5547556270522296E-2</v>
      </c>
      <c r="Q31" s="4">
        <f t="shared" si="6"/>
        <v>0</v>
      </c>
      <c r="R31" s="4">
        <f t="shared" si="41"/>
        <v>0.42203742569253894</v>
      </c>
      <c r="S31" s="348">
        <f t="shared" si="7"/>
        <v>7.3027391360925968E-4</v>
      </c>
      <c r="T31" s="348">
        <f t="shared" si="8"/>
        <v>0.2</v>
      </c>
      <c r="U31" s="348">
        <f t="shared" si="9"/>
        <v>0.20074200164538264</v>
      </c>
      <c r="V31" s="4">
        <f t="shared" si="42"/>
        <v>0.17288894899670523</v>
      </c>
      <c r="W31" s="348">
        <f t="shared" si="10"/>
        <v>2.9890588685185343E-5</v>
      </c>
      <c r="X31" s="348">
        <f t="shared" si="43"/>
        <v>2.9890588685185343E-5</v>
      </c>
      <c r="Y31" s="4">
        <f t="shared" si="44"/>
        <v>0.21101793190234397</v>
      </c>
      <c r="Z31" s="348">
        <f t="shared" si="11"/>
        <v>1.3358570275302683E-4</v>
      </c>
      <c r="AA31" s="525">
        <f t="shared" si="45"/>
        <v>1.3358570275302683E-4</v>
      </c>
      <c r="AB31" s="348">
        <f t="shared" si="46"/>
        <v>0.2988311975202218</v>
      </c>
      <c r="AC31" s="348">
        <f t="shared" si="12"/>
        <v>7.1440067689095856E-4</v>
      </c>
      <c r="AD31" s="348">
        <f t="shared" si="13"/>
        <v>2.0299297837161334E-3</v>
      </c>
      <c r="AE31" s="348">
        <f t="shared" si="14"/>
        <v>3.1326609599999992E-2</v>
      </c>
      <c r="AF31" s="348">
        <f t="shared" si="15"/>
        <v>0</v>
      </c>
      <c r="AG31" s="348">
        <f t="shared" si="16"/>
        <v>3.4076295768934999E-2</v>
      </c>
      <c r="AH31" s="348">
        <f t="shared" si="17"/>
        <v>0.29801930151219314</v>
      </c>
      <c r="AI31" s="348">
        <f t="shared" si="18"/>
        <v>4.8848527240598512E-4</v>
      </c>
      <c r="AJ31" s="348">
        <f t="shared" si="19"/>
        <v>3.4985843199999995E-3</v>
      </c>
      <c r="AK31" s="348">
        <f t="shared" si="20"/>
        <v>3.9874981159087261E-3</v>
      </c>
      <c r="AL31" s="348">
        <f t="shared" si="21"/>
        <v>3.4985843199999995E-3</v>
      </c>
      <c r="AM31" s="348">
        <f t="shared" si="22"/>
        <v>6.0082830719999994E-3</v>
      </c>
      <c r="AN31" s="348">
        <f t="shared" si="23"/>
        <v>4.4528897171296333E-3</v>
      </c>
      <c r="AO31" s="348">
        <f t="shared" si="24"/>
        <v>1.452E-5</v>
      </c>
      <c r="AP31" s="348">
        <f t="shared" si="25"/>
        <v>0.10709952</v>
      </c>
      <c r="AQ31" s="348">
        <f t="shared" si="26"/>
        <v>4.9827049411764704E-2</v>
      </c>
      <c r="AR31" s="348">
        <f t="shared" si="27"/>
        <v>2.5963519999999997E-2</v>
      </c>
      <c r="AS31" s="348">
        <f t="shared" si="28"/>
        <v>0.10711404000000001</v>
      </c>
      <c r="AT31" s="348">
        <f t="shared" si="29"/>
        <v>0.36004306893079424</v>
      </c>
      <c r="AU31">
        <f t="shared" si="30"/>
        <v>1.2705</v>
      </c>
      <c r="AV31" s="526">
        <f t="shared" si="47"/>
        <v>0.77918824973639766</v>
      </c>
      <c r="AW31" s="534">
        <f t="shared" si="31"/>
        <v>2.0922969428050249</v>
      </c>
      <c r="AX31" s="534">
        <f t="shared" si="32"/>
        <v>0.32836273413177991</v>
      </c>
      <c r="AY31" s="9"/>
      <c r="AZ31" s="4">
        <f t="shared" si="48"/>
        <v>77.918824973639772</v>
      </c>
      <c r="BA31" s="348">
        <f t="shared" si="33"/>
        <v>0.20074200164538264</v>
      </c>
      <c r="BB31" s="348">
        <f t="shared" si="34"/>
        <v>4.4072076956843724E-2</v>
      </c>
      <c r="BC31" s="348">
        <f t="shared" si="35"/>
        <v>3.8041762596454996E-2</v>
      </c>
      <c r="BD31" s="348">
        <f t="shared" si="36"/>
        <v>5.9702315296687259E-3</v>
      </c>
      <c r="BE31" s="348">
        <f t="shared" si="37"/>
        <v>4.4528897171296333E-3</v>
      </c>
    </row>
    <row r="32" spans="1:65" ht="13" x14ac:dyDescent="0.3">
      <c r="A32" s="24" t="s">
        <v>62</v>
      </c>
      <c r="B32" s="15" t="s">
        <v>111</v>
      </c>
      <c r="C32" s="24" t="s">
        <v>76</v>
      </c>
      <c r="D32" s="17" t="s">
        <v>107</v>
      </c>
      <c r="G32">
        <v>23</v>
      </c>
      <c r="H32" s="531">
        <f t="shared" si="0"/>
        <v>6.6</v>
      </c>
      <c r="I32" s="4">
        <f t="shared" si="1"/>
        <v>1</v>
      </c>
      <c r="J32" s="348">
        <f t="shared" si="38"/>
        <v>0.40250000000000002</v>
      </c>
      <c r="K32" s="348">
        <f t="shared" si="2"/>
        <v>0.40250000000000002</v>
      </c>
      <c r="L32" s="4">
        <f t="shared" si="3"/>
        <v>0.22361111111111112</v>
      </c>
      <c r="M32" s="348">
        <f t="shared" si="4"/>
        <v>0.50142204494022879</v>
      </c>
      <c r="N32" s="4">
        <f t="shared" si="5"/>
        <v>0.59894015914759846</v>
      </c>
      <c r="O32" s="4">
        <f t="shared" si="39"/>
        <v>0.70197007957379931</v>
      </c>
      <c r="P32" s="4">
        <f t="shared" si="40"/>
        <v>0.10302992042620079</v>
      </c>
      <c r="Q32" s="4">
        <f t="shared" si="6"/>
        <v>0</v>
      </c>
      <c r="R32" s="4">
        <f t="shared" si="41"/>
        <v>0.43806433262704608</v>
      </c>
      <c r="S32" s="348">
        <f t="shared" si="7"/>
        <v>7.8679147403191497E-4</v>
      </c>
      <c r="T32" s="348">
        <f t="shared" si="8"/>
        <v>0.2</v>
      </c>
      <c r="U32" s="348">
        <f t="shared" si="9"/>
        <v>0.20079943045642182</v>
      </c>
      <c r="V32" s="4">
        <f t="shared" si="42"/>
        <v>0.17289913105617163</v>
      </c>
      <c r="W32" s="348">
        <f t="shared" si="10"/>
        <v>2.9894109519979215E-5</v>
      </c>
      <c r="X32" s="348">
        <f t="shared" si="43"/>
        <v>2.9894109519979215E-5</v>
      </c>
      <c r="Y32" s="4">
        <f t="shared" si="44"/>
        <v>0.21903128045286377</v>
      </c>
      <c r="Z32" s="348">
        <f t="shared" si="11"/>
        <v>1.4392410545046319E-4</v>
      </c>
      <c r="AA32" s="525">
        <f t="shared" si="45"/>
        <v>1.4392410545046319E-4</v>
      </c>
      <c r="AB32" s="348">
        <f t="shared" si="46"/>
        <v>0.31019843760933602</v>
      </c>
      <c r="AC32" s="348">
        <f t="shared" si="12"/>
        <v>7.69784565562185E-4</v>
      </c>
      <c r="AD32" s="348">
        <f t="shared" si="13"/>
        <v>2.1221993193395938E-3</v>
      </c>
      <c r="AE32" s="348">
        <f t="shared" si="14"/>
        <v>3.1326609599999992E-2</v>
      </c>
      <c r="AF32" s="348">
        <f t="shared" si="15"/>
        <v>0</v>
      </c>
      <c r="AG32" s="348">
        <f t="shared" si="16"/>
        <v>3.4224389474394067E-2</v>
      </c>
      <c r="AH32" s="348">
        <f t="shared" si="17"/>
        <v>0.30931745638535524</v>
      </c>
      <c r="AI32" s="348">
        <f t="shared" si="18"/>
        <v>5.2622508853588377E-4</v>
      </c>
      <c r="AJ32" s="348">
        <f t="shared" si="19"/>
        <v>3.6576108799999999E-3</v>
      </c>
      <c r="AK32" s="348">
        <f t="shared" si="20"/>
        <v>4.1843203852962307E-3</v>
      </c>
      <c r="AL32" s="348">
        <f t="shared" si="21"/>
        <v>3.6576108799999999E-3</v>
      </c>
      <c r="AM32" s="348">
        <f t="shared" si="22"/>
        <v>6.281386848E-3</v>
      </c>
      <c r="AN32" s="348">
        <f t="shared" si="23"/>
        <v>4.7975089879994824E-3</v>
      </c>
      <c r="AO32" s="348">
        <f t="shared" si="24"/>
        <v>1.452E-5</v>
      </c>
      <c r="AP32" s="348">
        <f t="shared" si="25"/>
        <v>0.10709952</v>
      </c>
      <c r="AQ32" s="348">
        <f t="shared" si="26"/>
        <v>4.9827049411764704E-2</v>
      </c>
      <c r="AR32" s="348">
        <f t="shared" si="27"/>
        <v>2.5963519999999997E-2</v>
      </c>
      <c r="AS32" s="348">
        <f t="shared" si="28"/>
        <v>0.10711404000000001</v>
      </c>
      <c r="AT32" s="348">
        <f t="shared" si="29"/>
        <v>0.36123250524708206</v>
      </c>
      <c r="AU32">
        <f t="shared" si="30"/>
        <v>1.3282499999999999</v>
      </c>
      <c r="AV32" s="526">
        <f t="shared" si="47"/>
        <v>0.78618748396317206</v>
      </c>
      <c r="AW32" s="534">
        <f t="shared" si="31"/>
        <v>2.1103557636740735</v>
      </c>
      <c r="AX32" s="534">
        <f t="shared" si="32"/>
        <v>0.34414479248249263</v>
      </c>
      <c r="AY32" s="9"/>
      <c r="AZ32" s="4">
        <f t="shared" si="48"/>
        <v>78.618748396317201</v>
      </c>
      <c r="BA32" s="348">
        <f t="shared" si="33"/>
        <v>0.20079943045642182</v>
      </c>
      <c r="BB32" s="348">
        <f t="shared" si="34"/>
        <v>4.4690096707690294E-2</v>
      </c>
      <c r="BC32" s="348">
        <f t="shared" si="35"/>
        <v>3.8370104794074066E-2</v>
      </c>
      <c r="BD32" s="348">
        <f t="shared" si="36"/>
        <v>6.2571780451362302E-3</v>
      </c>
      <c r="BE32" s="348">
        <f t="shared" si="37"/>
        <v>4.7975089879994824E-3</v>
      </c>
    </row>
    <row r="33" spans="1:57" x14ac:dyDescent="0.25">
      <c r="A33" s="22" t="s">
        <v>62</v>
      </c>
      <c r="B33" s="5">
        <f>Deadtime*1000000000</f>
        <v>14</v>
      </c>
      <c r="C33" s="427" t="s">
        <v>75</v>
      </c>
      <c r="D33" s="21" t="s">
        <v>98</v>
      </c>
      <c r="G33">
        <v>24</v>
      </c>
      <c r="H33" s="531">
        <f t="shared" si="0"/>
        <v>6.6</v>
      </c>
      <c r="I33" s="4">
        <f t="shared" si="1"/>
        <v>1</v>
      </c>
      <c r="J33" s="348">
        <f t="shared" si="38"/>
        <v>0.42</v>
      </c>
      <c r="K33" s="348">
        <f t="shared" si="2"/>
        <v>0.42</v>
      </c>
      <c r="L33" s="4">
        <f t="shared" si="3"/>
        <v>0.23333333333333334</v>
      </c>
      <c r="M33" s="348">
        <f t="shared" si="4"/>
        <v>0.50148378458116782</v>
      </c>
      <c r="N33" s="4">
        <f t="shared" si="5"/>
        <v>0.5989754125696769</v>
      </c>
      <c r="O33" s="4">
        <f t="shared" si="39"/>
        <v>0.71948770628483838</v>
      </c>
      <c r="P33" s="4">
        <f t="shared" si="40"/>
        <v>0.12051229371516153</v>
      </c>
      <c r="Q33" s="4">
        <f t="shared" si="6"/>
        <v>0</v>
      </c>
      <c r="R33" s="4">
        <f t="shared" si="41"/>
        <v>0.4541999876030211</v>
      </c>
      <c r="S33" s="348">
        <f t="shared" si="7"/>
        <v>8.4582027782819649E-4</v>
      </c>
      <c r="T33" s="348">
        <f t="shared" si="8"/>
        <v>0.2</v>
      </c>
      <c r="U33" s="348">
        <f t="shared" si="9"/>
        <v>0.20085941155489107</v>
      </c>
      <c r="V33" s="4">
        <f t="shared" si="42"/>
        <v>0.17290930784253505</v>
      </c>
      <c r="W33" s="348">
        <f t="shared" si="10"/>
        <v>2.9897628738584554E-5</v>
      </c>
      <c r="X33" s="348">
        <f t="shared" si="43"/>
        <v>2.9897628738584554E-5</v>
      </c>
      <c r="Y33" s="4">
        <f t="shared" si="44"/>
        <v>0.2270989938250387</v>
      </c>
      <c r="Z33" s="348">
        <f t="shared" si="11"/>
        <v>1.547218589890349E-4</v>
      </c>
      <c r="AA33" s="525">
        <f t="shared" si="45"/>
        <v>1.547218589890349E-4</v>
      </c>
      <c r="AB33" s="348">
        <f t="shared" si="46"/>
        <v>0.32164408219326229</v>
      </c>
      <c r="AC33" s="348">
        <f t="shared" si="12"/>
        <v>8.2763932487956858E-4</v>
      </c>
      <c r="AD33" s="348">
        <f t="shared" si="13"/>
        <v>2.2144688549630546E-3</v>
      </c>
      <c r="AE33" s="348">
        <f t="shared" si="14"/>
        <v>3.1326609599999992E-2</v>
      </c>
      <c r="AF33" s="348">
        <f t="shared" si="15"/>
        <v>0</v>
      </c>
      <c r="AG33" s="348">
        <f t="shared" si="16"/>
        <v>3.437497679801238E-2</v>
      </c>
      <c r="AH33" s="348">
        <f t="shared" si="17"/>
        <v>0.32069099321408834</v>
      </c>
      <c r="AI33" s="348">
        <f t="shared" si="18"/>
        <v>5.6563492220751139E-4</v>
      </c>
      <c r="AJ33" s="348">
        <f t="shared" si="19"/>
        <v>3.8166374399999994E-3</v>
      </c>
      <c r="AK33" s="348">
        <f t="shared" si="20"/>
        <v>4.3828177586595438E-3</v>
      </c>
      <c r="AL33" s="348">
        <f t="shared" si="21"/>
        <v>3.8166374399999994E-3</v>
      </c>
      <c r="AM33" s="348">
        <f t="shared" si="22"/>
        <v>6.5544906239999989E-3</v>
      </c>
      <c r="AN33" s="348">
        <f t="shared" si="23"/>
        <v>5.1574407184646134E-3</v>
      </c>
      <c r="AO33" s="348">
        <f t="shared" si="24"/>
        <v>1.452E-5</v>
      </c>
      <c r="AP33" s="348">
        <f t="shared" si="25"/>
        <v>0.10709952</v>
      </c>
      <c r="AQ33" s="348">
        <f t="shared" si="26"/>
        <v>4.9827049411764704E-2</v>
      </c>
      <c r="AR33" s="348">
        <f t="shared" si="27"/>
        <v>2.5963519999999997E-2</v>
      </c>
      <c r="AS33" s="348">
        <f t="shared" si="28"/>
        <v>0.10711404000000001</v>
      </c>
      <c r="AT33" s="348">
        <f t="shared" si="29"/>
        <v>0.36244443438175528</v>
      </c>
      <c r="AU33">
        <f t="shared" si="30"/>
        <v>1.3859999999999999</v>
      </c>
      <c r="AV33" s="526">
        <f t="shared" si="47"/>
        <v>0.79270463089671217</v>
      </c>
      <c r="AW33" s="534">
        <f t="shared" si="31"/>
        <v>2.1285517335418809</v>
      </c>
      <c r="AX33" s="534">
        <f t="shared" si="32"/>
        <v>0.36001898155187489</v>
      </c>
      <c r="AY33" s="9"/>
      <c r="AZ33" s="4">
        <f t="shared" si="48"/>
        <v>79.27046308967121</v>
      </c>
      <c r="BA33" s="348">
        <f t="shared" si="33"/>
        <v>0.20085941155489107</v>
      </c>
      <c r="BB33" s="348">
        <f t="shared" si="34"/>
        <v>4.5312285180671923E-2</v>
      </c>
      <c r="BC33" s="348">
        <f t="shared" si="35"/>
        <v>3.870094060985238E-2</v>
      </c>
      <c r="BD33" s="348">
        <f t="shared" si="36"/>
        <v>6.5457996645795439E-3</v>
      </c>
      <c r="BE33" s="348">
        <f t="shared" si="37"/>
        <v>5.1574407184646134E-3</v>
      </c>
    </row>
    <row r="34" spans="1:57" ht="13" x14ac:dyDescent="0.3">
      <c r="A34" s="24" t="s">
        <v>52</v>
      </c>
      <c r="B34" s="15" t="s">
        <v>111</v>
      </c>
      <c r="C34" s="24" t="s">
        <v>76</v>
      </c>
      <c r="D34" s="17" t="s">
        <v>107</v>
      </c>
      <c r="G34">
        <v>25</v>
      </c>
      <c r="H34" s="531">
        <f t="shared" si="0"/>
        <v>6.6</v>
      </c>
      <c r="I34" s="4">
        <f t="shared" si="1"/>
        <v>1</v>
      </c>
      <c r="J34" s="348">
        <f t="shared" si="38"/>
        <v>0.4375</v>
      </c>
      <c r="K34" s="348">
        <f t="shared" si="2"/>
        <v>0.4375</v>
      </c>
      <c r="L34" s="4">
        <f t="shared" si="3"/>
        <v>0.24305555555555555</v>
      </c>
      <c r="M34" s="348">
        <f t="shared" si="4"/>
        <v>0.50154551686641602</v>
      </c>
      <c r="N34" s="4">
        <f t="shared" si="5"/>
        <v>0.59901064772845491</v>
      </c>
      <c r="O34" s="4">
        <f t="shared" si="39"/>
        <v>0.73700532386422746</v>
      </c>
      <c r="P34" s="4">
        <f t="shared" si="40"/>
        <v>0.13799467613577254</v>
      </c>
      <c r="Q34" s="4">
        <f t="shared" si="6"/>
        <v>0</v>
      </c>
      <c r="R34" s="4">
        <f t="shared" si="41"/>
        <v>0.47043320072142575</v>
      </c>
      <c r="S34" s="348">
        <f t="shared" si="7"/>
        <v>9.0736032499812136E-4</v>
      </c>
      <c r="T34" s="348">
        <f t="shared" si="8"/>
        <v>0.2</v>
      </c>
      <c r="U34" s="348">
        <f t="shared" si="9"/>
        <v>0.20092194501310423</v>
      </c>
      <c r="V34" s="4">
        <f t="shared" si="42"/>
        <v>0.17291947935673777</v>
      </c>
      <c r="W34" s="348">
        <f t="shared" si="10"/>
        <v>2.9901146341005259E-5</v>
      </c>
      <c r="X34" s="348">
        <f t="shared" si="43"/>
        <v>2.9901146341005259E-5</v>
      </c>
      <c r="Y34" s="4">
        <f t="shared" si="44"/>
        <v>0.23521547667075518</v>
      </c>
      <c r="Z34" s="348">
        <f t="shared" si="11"/>
        <v>1.6597896139635172E-4</v>
      </c>
      <c r="AA34" s="525">
        <f t="shared" si="45"/>
        <v>1.6597896139635172E-4</v>
      </c>
      <c r="AB34" s="348">
        <f t="shared" si="46"/>
        <v>0.33316022044087173</v>
      </c>
      <c r="AC34" s="348">
        <f t="shared" si="12"/>
        <v>8.8796585987368202E-4</v>
      </c>
      <c r="AD34" s="348">
        <f t="shared" si="13"/>
        <v>2.306738390586515E-3</v>
      </c>
      <c r="AE34" s="348">
        <f t="shared" si="14"/>
        <v>3.1326609599999992E-2</v>
      </c>
      <c r="AF34" s="348">
        <f t="shared" si="15"/>
        <v>0</v>
      </c>
      <c r="AG34" s="348">
        <f t="shared" si="16"/>
        <v>3.452805899273071E-2</v>
      </c>
      <c r="AH34" s="348">
        <f t="shared" si="17"/>
        <v>0.33213199764068951</v>
      </c>
      <c r="AI34" s="348">
        <f t="shared" si="18"/>
        <v>6.0671415121237244E-4</v>
      </c>
      <c r="AJ34" s="348">
        <f t="shared" si="19"/>
        <v>3.9756639999999994E-3</v>
      </c>
      <c r="AK34" s="348">
        <f t="shared" si="20"/>
        <v>4.582989875471081E-3</v>
      </c>
      <c r="AL34" s="348">
        <f t="shared" si="21"/>
        <v>3.9756639999999994E-3</v>
      </c>
      <c r="AM34" s="348">
        <f t="shared" si="22"/>
        <v>6.8275943999999986E-3</v>
      </c>
      <c r="AN34" s="348">
        <f t="shared" si="23"/>
        <v>5.5326849085251314E-3</v>
      </c>
      <c r="AO34" s="348">
        <f t="shared" si="24"/>
        <v>1.452E-5</v>
      </c>
      <c r="AP34" s="348">
        <f t="shared" si="25"/>
        <v>0.10709952</v>
      </c>
      <c r="AQ34" s="348">
        <f t="shared" si="26"/>
        <v>4.9827049411764704E-2</v>
      </c>
      <c r="AR34" s="348">
        <f t="shared" si="27"/>
        <v>2.5963519999999997E-2</v>
      </c>
      <c r="AS34" s="348">
        <f t="shared" si="28"/>
        <v>0.10711404000000001</v>
      </c>
      <c r="AT34" s="348">
        <f t="shared" si="29"/>
        <v>0.36367885729756855</v>
      </c>
      <c r="AU34">
        <f t="shared" si="30"/>
        <v>1.4437499999999999</v>
      </c>
      <c r="AV34" s="526">
        <f t="shared" si="47"/>
        <v>0.79878662674373035</v>
      </c>
      <c r="AW34" s="534">
        <f t="shared" si="31"/>
        <v>2.146884921320189</v>
      </c>
      <c r="AX34" s="534">
        <f t="shared" si="32"/>
        <v>0.37598528151090943</v>
      </c>
      <c r="AY34" s="9"/>
      <c r="AZ34" s="4">
        <f t="shared" si="48"/>
        <v>79.878662674373032</v>
      </c>
      <c r="BA34" s="348">
        <f t="shared" si="33"/>
        <v>0.20092194501310423</v>
      </c>
      <c r="BB34" s="348">
        <f t="shared" si="34"/>
        <v>4.5938643268201788E-2</v>
      </c>
      <c r="BC34" s="348">
        <f t="shared" si="35"/>
        <v>3.9034271296730712E-2</v>
      </c>
      <c r="BD34" s="348">
        <f t="shared" si="36"/>
        <v>6.8360960274710808E-3</v>
      </c>
      <c r="BE34" s="348">
        <f t="shared" si="37"/>
        <v>5.5326849085251314E-3</v>
      </c>
    </row>
    <row r="35" spans="1:57" x14ac:dyDescent="0.25">
      <c r="A35" s="22" t="s">
        <v>128</v>
      </c>
      <c r="B35" s="5">
        <f>Iq*1000</f>
        <v>2.2000000000000001E-3</v>
      </c>
      <c r="C35" s="427" t="s">
        <v>64</v>
      </c>
      <c r="D35" s="21" t="s">
        <v>131</v>
      </c>
      <c r="G35">
        <v>26</v>
      </c>
      <c r="H35" s="531">
        <f t="shared" si="0"/>
        <v>6.6</v>
      </c>
      <c r="I35" s="4">
        <f t="shared" si="1"/>
        <v>1</v>
      </c>
      <c r="J35" s="348">
        <f t="shared" si="38"/>
        <v>0.45500000000000002</v>
      </c>
      <c r="K35" s="348">
        <f t="shared" si="2"/>
        <v>0.45500000000000002</v>
      </c>
      <c r="L35" s="4">
        <f t="shared" si="3"/>
        <v>0.25277777777777782</v>
      </c>
      <c r="M35" s="348">
        <f t="shared" si="4"/>
        <v>0.50160724179728799</v>
      </c>
      <c r="N35" s="4">
        <f t="shared" si="5"/>
        <v>0.59904586462719656</v>
      </c>
      <c r="O35" s="4">
        <f t="shared" si="39"/>
        <v>0.75452293231359824</v>
      </c>
      <c r="P35" s="4">
        <f t="shared" si="40"/>
        <v>0.15547706768640174</v>
      </c>
      <c r="Q35" s="4">
        <f t="shared" si="6"/>
        <v>0</v>
      </c>
      <c r="R35" s="4">
        <f t="shared" si="41"/>
        <v>0.48675421141192549</v>
      </c>
      <c r="S35" s="348">
        <f t="shared" si="7"/>
        <v>9.7141161554170619E-4</v>
      </c>
      <c r="T35" s="348">
        <f t="shared" si="8"/>
        <v>0.2</v>
      </c>
      <c r="U35" s="348">
        <f t="shared" si="9"/>
        <v>0.20098703090645337</v>
      </c>
      <c r="V35" s="4">
        <f t="shared" si="42"/>
        <v>0.17292964559972204</v>
      </c>
      <c r="W35" s="348">
        <f t="shared" si="10"/>
        <v>2.9904662327245465E-5</v>
      </c>
      <c r="X35" s="348">
        <f t="shared" si="43"/>
        <v>2.9904662327245465E-5</v>
      </c>
      <c r="Y35" s="4">
        <f t="shared" si="44"/>
        <v>0.24337584830648515</v>
      </c>
      <c r="Z35" s="348">
        <f t="shared" si="11"/>
        <v>1.7769541061670382E-4</v>
      </c>
      <c r="AA35" s="525">
        <f t="shared" si="45"/>
        <v>1.7769541061670382E-4</v>
      </c>
      <c r="AB35" s="348">
        <f t="shared" si="46"/>
        <v>0.34473995187667528</v>
      </c>
      <c r="AC35" s="348">
        <f t="shared" si="12"/>
        <v>9.5076507535945913E-4</v>
      </c>
      <c r="AD35" s="348">
        <f t="shared" si="13"/>
        <v>2.3990079262099758E-3</v>
      </c>
      <c r="AE35" s="348">
        <f t="shared" si="14"/>
        <v>3.1326609599999992E-2</v>
      </c>
      <c r="AF35" s="348">
        <f t="shared" si="15"/>
        <v>0</v>
      </c>
      <c r="AG35" s="348">
        <f t="shared" si="16"/>
        <v>3.4683637319600412E-2</v>
      </c>
      <c r="AH35" s="348">
        <f t="shared" si="17"/>
        <v>0.343633566328019</v>
      </c>
      <c r="AI35" s="348">
        <f t="shared" si="18"/>
        <v>6.4946215349022168E-4</v>
      </c>
      <c r="AJ35" s="348">
        <f t="shared" si="19"/>
        <v>4.1346905599999994E-3</v>
      </c>
      <c r="AK35" s="348">
        <f t="shared" si="20"/>
        <v>4.7848363789207461E-3</v>
      </c>
      <c r="AL35" s="348">
        <f t="shared" si="21"/>
        <v>4.1346905599999994E-3</v>
      </c>
      <c r="AM35" s="348">
        <f t="shared" si="22"/>
        <v>7.1006981759999992E-3</v>
      </c>
      <c r="AN35" s="348">
        <f t="shared" si="23"/>
        <v>5.923241558181136E-3</v>
      </c>
      <c r="AO35" s="348">
        <f t="shared" si="24"/>
        <v>1.452E-5</v>
      </c>
      <c r="AP35" s="348">
        <f t="shared" si="25"/>
        <v>0.10709952</v>
      </c>
      <c r="AQ35" s="348">
        <f t="shared" si="26"/>
        <v>4.9827049411764704E-2</v>
      </c>
      <c r="AR35" s="348">
        <f t="shared" si="27"/>
        <v>2.5963519999999997E-2</v>
      </c>
      <c r="AS35" s="348">
        <f t="shared" si="28"/>
        <v>0.10711404000000001</v>
      </c>
      <c r="AT35" s="348">
        <f t="shared" si="29"/>
        <v>0.36493577497209961</v>
      </c>
      <c r="AU35">
        <f t="shared" si="30"/>
        <v>1.5015000000000001</v>
      </c>
      <c r="AV35" s="526">
        <f t="shared" si="47"/>
        <v>0.80447450704401824</v>
      </c>
      <c r="AW35" s="534">
        <f t="shared" si="31"/>
        <v>2.1653553963668228</v>
      </c>
      <c r="AX35" s="534">
        <f t="shared" si="32"/>
        <v>0.39204367273504098</v>
      </c>
      <c r="AY35" s="9"/>
      <c r="AZ35" s="4">
        <f t="shared" si="48"/>
        <v>80.447450704401831</v>
      </c>
      <c r="BA35" s="348">
        <f t="shared" si="33"/>
        <v>0.20098703090645337</v>
      </c>
      <c r="BB35" s="348">
        <f t="shared" si="34"/>
        <v>4.6569171874521163E-2</v>
      </c>
      <c r="BC35" s="348">
        <f t="shared" si="35"/>
        <v>3.9370098115760414E-2</v>
      </c>
      <c r="BD35" s="348">
        <f t="shared" si="36"/>
        <v>7.1280667770007456E-3</v>
      </c>
      <c r="BE35" s="348">
        <f t="shared" si="37"/>
        <v>5.923241558181136E-3</v>
      </c>
    </row>
    <row r="36" spans="1:57" ht="13" x14ac:dyDescent="0.3">
      <c r="A36" s="24" t="s">
        <v>508</v>
      </c>
      <c r="B36" s="15" t="s">
        <v>111</v>
      </c>
      <c r="C36" s="24" t="s">
        <v>76</v>
      </c>
      <c r="D36" s="17" t="s">
        <v>107</v>
      </c>
      <c r="G36">
        <v>27</v>
      </c>
      <c r="H36" s="531">
        <f t="shared" si="0"/>
        <v>6.6</v>
      </c>
      <c r="I36" s="4">
        <f t="shared" si="1"/>
        <v>1</v>
      </c>
      <c r="J36" s="348">
        <f t="shared" si="38"/>
        <v>0.47249999999999998</v>
      </c>
      <c r="K36" s="348">
        <f t="shared" si="2"/>
        <v>0.47249999999999998</v>
      </c>
      <c r="L36" s="4">
        <f t="shared" si="3"/>
        <v>0.26250000000000001</v>
      </c>
      <c r="M36" s="348">
        <f t="shared" si="4"/>
        <v>0.50166895937509748</v>
      </c>
      <c r="N36" s="4">
        <f t="shared" si="5"/>
        <v>0.59908106326916399</v>
      </c>
      <c r="O36" s="4">
        <f t="shared" si="39"/>
        <v>0.77204053163458197</v>
      </c>
      <c r="P36" s="4">
        <f t="shared" si="40"/>
        <v>0.17295946836541798</v>
      </c>
      <c r="Q36" s="4">
        <f t="shared" si="6"/>
        <v>0</v>
      </c>
      <c r="R36" s="4">
        <f t="shared" si="41"/>
        <v>0.50315447597860974</v>
      </c>
      <c r="S36" s="348">
        <f t="shared" si="7"/>
        <v>1.0379741494589683E-3</v>
      </c>
      <c r="T36" s="348">
        <f t="shared" si="8"/>
        <v>0.2</v>
      </c>
      <c r="U36" s="348">
        <f t="shared" si="9"/>
        <v>0.20105466931340901</v>
      </c>
      <c r="V36" s="4">
        <f t="shared" si="42"/>
        <v>0.17293980657242955</v>
      </c>
      <c r="W36" s="348">
        <f t="shared" si="10"/>
        <v>2.9908176697309347E-5</v>
      </c>
      <c r="X36" s="348">
        <f t="shared" si="43"/>
        <v>2.9908176697309347E-5</v>
      </c>
      <c r="Y36" s="4">
        <f t="shared" si="44"/>
        <v>0.25157583648614573</v>
      </c>
      <c r="Z36" s="348">
        <f t="shared" si="11"/>
        <v>1.8987120451111181E-4</v>
      </c>
      <c r="AA36" s="525">
        <f t="shared" si="45"/>
        <v>1.8987120451111181E-4</v>
      </c>
      <c r="AB36" s="348">
        <f t="shared" si="46"/>
        <v>0.35637723621470596</v>
      </c>
      <c r="AC36" s="348">
        <f t="shared" si="12"/>
        <v>1.0160378759362587E-3</v>
      </c>
      <c r="AD36" s="348">
        <f t="shared" si="13"/>
        <v>2.4912774618334362E-3</v>
      </c>
      <c r="AE36" s="348">
        <f t="shared" si="14"/>
        <v>3.1326609599999992E-2</v>
      </c>
      <c r="AF36" s="348">
        <f t="shared" si="15"/>
        <v>0</v>
      </c>
      <c r="AG36" s="348">
        <f t="shared" si="16"/>
        <v>3.4841713047795889E-2</v>
      </c>
      <c r="AH36" s="348">
        <f t="shared" si="17"/>
        <v>0.35518965666989377</v>
      </c>
      <c r="AI36" s="348">
        <f t="shared" si="18"/>
        <v>6.9387830712902348E-4</v>
      </c>
      <c r="AJ36" s="348">
        <f t="shared" si="19"/>
        <v>4.2937171199999994E-3</v>
      </c>
      <c r="AK36" s="348">
        <f t="shared" si="20"/>
        <v>4.9883569159125006E-3</v>
      </c>
      <c r="AL36" s="348">
        <f t="shared" si="21"/>
        <v>4.2937171199999994E-3</v>
      </c>
      <c r="AM36" s="348">
        <f t="shared" si="22"/>
        <v>7.3738019519999981E-3</v>
      </c>
      <c r="AN36" s="348">
        <f t="shared" si="23"/>
        <v>6.3291106674327347E-3</v>
      </c>
      <c r="AO36" s="348">
        <f t="shared" si="24"/>
        <v>1.452E-5</v>
      </c>
      <c r="AP36" s="348">
        <f t="shared" si="25"/>
        <v>0.10709952</v>
      </c>
      <c r="AQ36" s="348">
        <f t="shared" si="26"/>
        <v>4.9827049411764704E-2</v>
      </c>
      <c r="AR36" s="348">
        <f t="shared" si="27"/>
        <v>2.5963519999999997E-2</v>
      </c>
      <c r="AS36" s="348">
        <f t="shared" si="28"/>
        <v>0.10711404000000001</v>
      </c>
      <c r="AT36" s="348">
        <f t="shared" si="29"/>
        <v>0.36621518839775863</v>
      </c>
      <c r="AU36">
        <f t="shared" si="30"/>
        <v>1.5592499999999998</v>
      </c>
      <c r="AV36" s="526">
        <f t="shared" si="47"/>
        <v>0.80980430567924311</v>
      </c>
      <c r="AW36" s="534">
        <f t="shared" si="31"/>
        <v>2.1839632284863737</v>
      </c>
      <c r="AX36" s="534">
        <f t="shared" si="32"/>
        <v>0.4081941358039875</v>
      </c>
      <c r="AY36" s="9"/>
      <c r="AZ36" s="4">
        <f t="shared" si="48"/>
        <v>80.980430567924316</v>
      </c>
      <c r="BA36" s="348">
        <f t="shared" si="33"/>
        <v>0.20105466931340901</v>
      </c>
      <c r="BB36" s="348">
        <f t="shared" si="34"/>
        <v>4.7203871915708386E-2</v>
      </c>
      <c r="BC36" s="348">
        <f t="shared" si="35"/>
        <v>3.9708422336115885E-2</v>
      </c>
      <c r="BD36" s="348">
        <f t="shared" si="36"/>
        <v>7.4217115600724998E-3</v>
      </c>
      <c r="BE36" s="348">
        <f t="shared" si="37"/>
        <v>6.3291106674327347E-3</v>
      </c>
    </row>
    <row r="37" spans="1:57" x14ac:dyDescent="0.25">
      <c r="A37" s="23" t="s">
        <v>71</v>
      </c>
      <c r="B37" s="5">
        <f>Rdson1*1000</f>
        <v>8</v>
      </c>
      <c r="C37" s="429" t="s">
        <v>450</v>
      </c>
      <c r="D37" s="427" t="s">
        <v>511</v>
      </c>
      <c r="G37">
        <v>28</v>
      </c>
      <c r="H37" s="531">
        <f t="shared" si="0"/>
        <v>6.6</v>
      </c>
      <c r="I37" s="4">
        <f t="shared" si="1"/>
        <v>1</v>
      </c>
      <c r="J37" s="348">
        <f t="shared" si="38"/>
        <v>0.49</v>
      </c>
      <c r="K37" s="348">
        <f t="shared" si="2"/>
        <v>0.49</v>
      </c>
      <c r="L37" s="4">
        <f t="shared" si="3"/>
        <v>0.27222222222222225</v>
      </c>
      <c r="M37" s="348">
        <f t="shared" si="4"/>
        <v>0.50173066960115864</v>
      </c>
      <c r="N37" s="4">
        <f t="shared" si="5"/>
        <v>0.59911624365761984</v>
      </c>
      <c r="O37" s="4">
        <f t="shared" si="39"/>
        <v>0.78955812182880991</v>
      </c>
      <c r="P37" s="4">
        <f t="shared" si="40"/>
        <v>0.19044187817119007</v>
      </c>
      <c r="Q37" s="4">
        <f t="shared" si="6"/>
        <v>0</v>
      </c>
      <c r="R37" s="4">
        <f t="shared" si="41"/>
        <v>0.51962649032858332</v>
      </c>
      <c r="S37" s="348">
        <f t="shared" si="7"/>
        <v>1.1070479267499252E-3</v>
      </c>
      <c r="T37" s="348">
        <f t="shared" si="8"/>
        <v>0.2</v>
      </c>
      <c r="U37" s="348">
        <f t="shared" si="9"/>
        <v>0.20112486031552035</v>
      </c>
      <c r="V37" s="4">
        <f t="shared" si="42"/>
        <v>0.17294996227580212</v>
      </c>
      <c r="W37" s="348">
        <f t="shared" si="10"/>
        <v>2.9911689451201376E-5</v>
      </c>
      <c r="X37" s="348">
        <f t="shared" si="43"/>
        <v>2.9911689451201376E-5</v>
      </c>
      <c r="Y37" s="4">
        <f t="shared" si="44"/>
        <v>0.25981168876539296</v>
      </c>
      <c r="Z37" s="348">
        <f t="shared" si="11"/>
        <v>2.0250634085737626E-4</v>
      </c>
      <c r="AA37" s="525">
        <f t="shared" si="45"/>
        <v>2.0250634085737626E-4</v>
      </c>
      <c r="AB37" s="348">
        <f t="shared" si="46"/>
        <v>0.36806676805776872</v>
      </c>
      <c r="AC37" s="348">
        <f t="shared" si="12"/>
        <v>1.0837851659879305E-3</v>
      </c>
      <c r="AD37" s="348">
        <f t="shared" si="13"/>
        <v>2.5835469974568965E-3</v>
      </c>
      <c r="AE37" s="348">
        <f t="shared" si="14"/>
        <v>3.1326609599999992E-2</v>
      </c>
      <c r="AF37" s="348">
        <f t="shared" si="15"/>
        <v>0</v>
      </c>
      <c r="AG37" s="348">
        <f t="shared" si="16"/>
        <v>3.5002287454626989E-2</v>
      </c>
      <c r="AH37" s="348">
        <f t="shared" si="17"/>
        <v>0.36679496139220613</v>
      </c>
      <c r="AI37" s="348">
        <f t="shared" si="18"/>
        <v>7.3996199036490491E-4</v>
      </c>
      <c r="AJ37" s="348">
        <f t="shared" si="19"/>
        <v>4.4527436799999993E-3</v>
      </c>
      <c r="AK37" s="348">
        <f t="shared" si="20"/>
        <v>5.193551137060921E-3</v>
      </c>
      <c r="AL37" s="348">
        <f t="shared" si="21"/>
        <v>4.4527436799999993E-3</v>
      </c>
      <c r="AM37" s="348">
        <f t="shared" si="22"/>
        <v>7.6469057279999987E-3</v>
      </c>
      <c r="AN37" s="348">
        <f t="shared" si="23"/>
        <v>6.7502922362800326E-3</v>
      </c>
      <c r="AO37" s="348">
        <f t="shared" si="24"/>
        <v>1.452E-5</v>
      </c>
      <c r="AP37" s="348">
        <f t="shared" si="25"/>
        <v>0.10709952</v>
      </c>
      <c r="AQ37" s="348">
        <f t="shared" si="26"/>
        <v>4.9827049411764704E-2</v>
      </c>
      <c r="AR37" s="348">
        <f t="shared" si="27"/>
        <v>2.5963519999999997E-2</v>
      </c>
      <c r="AS37" s="348">
        <f t="shared" si="28"/>
        <v>0.10711404000000001</v>
      </c>
      <c r="AT37" s="348">
        <f t="shared" si="29"/>
        <v>0.36751709858179693</v>
      </c>
      <c r="AU37">
        <f t="shared" si="30"/>
        <v>1.617</v>
      </c>
      <c r="AV37" s="526">
        <f t="shared" si="47"/>
        <v>0.81480779437756568</v>
      </c>
      <c r="AW37" s="534">
        <f t="shared" si="31"/>
        <v>2.2027084879308845</v>
      </c>
      <c r="AX37" s="534">
        <f t="shared" si="32"/>
        <v>0.42443665150155063</v>
      </c>
      <c r="AY37" s="9"/>
      <c r="AZ37" s="4">
        <f t="shared" si="48"/>
        <v>81.480779437756567</v>
      </c>
      <c r="BA37" s="348">
        <f t="shared" si="33"/>
        <v>0.20112486031552035</v>
      </c>
      <c r="BB37" s="348">
        <f t="shared" si="34"/>
        <v>4.7842744319687908E-2</v>
      </c>
      <c r="BC37" s="348">
        <f t="shared" si="35"/>
        <v>4.0049245235106987E-2</v>
      </c>
      <c r="BD37" s="348">
        <f t="shared" si="36"/>
        <v>7.7170300273009208E-3</v>
      </c>
      <c r="BE37" s="348">
        <f t="shared" si="37"/>
        <v>6.7502922362800326E-3</v>
      </c>
    </row>
    <row r="38" spans="1:57" x14ac:dyDescent="0.25">
      <c r="A38" s="22" t="s">
        <v>79</v>
      </c>
      <c r="B38" s="5">
        <f>RdsonTopTc*1000000</f>
        <v>4000</v>
      </c>
      <c r="C38" s="427" t="s">
        <v>81</v>
      </c>
      <c r="D38" s="21" t="s">
        <v>109</v>
      </c>
      <c r="G38">
        <v>29</v>
      </c>
      <c r="H38" s="531">
        <f t="shared" si="0"/>
        <v>6.6</v>
      </c>
      <c r="I38" s="4">
        <f t="shared" si="1"/>
        <v>1</v>
      </c>
      <c r="J38" s="348">
        <f t="shared" si="38"/>
        <v>0.50749999999999995</v>
      </c>
      <c r="K38" s="348">
        <f t="shared" si="2"/>
        <v>0.50749999999999995</v>
      </c>
      <c r="L38" s="4">
        <f t="shared" si="3"/>
        <v>0.28194444444444444</v>
      </c>
      <c r="M38" s="348">
        <f t="shared" si="4"/>
        <v>0.50179237247678499</v>
      </c>
      <c r="N38" s="4">
        <f t="shared" si="5"/>
        <v>0.59915140579582549</v>
      </c>
      <c r="O38" s="4">
        <f t="shared" si="39"/>
        <v>0.80707570289791275</v>
      </c>
      <c r="P38" s="4">
        <f t="shared" si="40"/>
        <v>0.20792429710208721</v>
      </c>
      <c r="Q38" s="4">
        <f t="shared" si="6"/>
        <v>0</v>
      </c>
      <c r="R38" s="4">
        <f t="shared" si="41"/>
        <v>0.53616364161413077</v>
      </c>
      <c r="S38" s="348">
        <f t="shared" si="7"/>
        <v>1.1786329474145966E-3</v>
      </c>
      <c r="T38" s="348">
        <f t="shared" si="8"/>
        <v>0.2</v>
      </c>
      <c r="U38" s="348">
        <f t="shared" si="9"/>
        <v>0.2011976039974156</v>
      </c>
      <c r="V38" s="4">
        <f t="shared" si="42"/>
        <v>0.17296011271078129</v>
      </c>
      <c r="W38" s="348">
        <f t="shared" si="10"/>
        <v>2.991520058892617E-5</v>
      </c>
      <c r="X38" s="348">
        <f t="shared" si="43"/>
        <v>2.991520058892617E-5</v>
      </c>
      <c r="Y38" s="4">
        <f t="shared" si="44"/>
        <v>0.26808009832270163</v>
      </c>
      <c r="Z38" s="348">
        <f t="shared" si="11"/>
        <v>2.156008173501281E-4</v>
      </c>
      <c r="AA38" s="525">
        <f t="shared" si="45"/>
        <v>2.156008173501281E-4</v>
      </c>
      <c r="AB38" s="348">
        <f t="shared" si="46"/>
        <v>0.37980387203181604</v>
      </c>
      <c r="AC38" s="348">
        <f t="shared" si="12"/>
        <v>1.1540078496828808E-3</v>
      </c>
      <c r="AD38" s="348">
        <f t="shared" si="13"/>
        <v>2.6758165330803569E-3</v>
      </c>
      <c r="AE38" s="348">
        <f t="shared" si="14"/>
        <v>3.1326609599999992E-2</v>
      </c>
      <c r="AF38" s="348">
        <f t="shared" si="15"/>
        <v>0</v>
      </c>
      <c r="AG38" s="348">
        <f t="shared" si="16"/>
        <v>3.5165361825551619E-2</v>
      </c>
      <c r="AH38" s="348">
        <f t="shared" si="17"/>
        <v>0.37844480360888294</v>
      </c>
      <c r="AI38" s="348">
        <f t="shared" si="18"/>
        <v>7.8771258158211285E-4</v>
      </c>
      <c r="AJ38" s="348">
        <f t="shared" si="19"/>
        <v>4.6117702399999993E-3</v>
      </c>
      <c r="AK38" s="348">
        <f t="shared" si="20"/>
        <v>5.4004186966878148E-3</v>
      </c>
      <c r="AL38" s="348">
        <f t="shared" si="21"/>
        <v>4.6117702399999993E-3</v>
      </c>
      <c r="AM38" s="348">
        <f t="shared" si="22"/>
        <v>7.9200095039999984E-3</v>
      </c>
      <c r="AN38" s="348">
        <f t="shared" si="23"/>
        <v>7.1867862647231511E-3</v>
      </c>
      <c r="AO38" s="348">
        <f t="shared" si="24"/>
        <v>1.452E-5</v>
      </c>
      <c r="AP38" s="348">
        <f t="shared" si="25"/>
        <v>0.10709952</v>
      </c>
      <c r="AQ38" s="348">
        <f t="shared" si="26"/>
        <v>4.9827049411764704E-2</v>
      </c>
      <c r="AR38" s="348">
        <f t="shared" si="27"/>
        <v>2.5963519999999997E-2</v>
      </c>
      <c r="AS38" s="348">
        <f t="shared" si="28"/>
        <v>0.10711404000000001</v>
      </c>
      <c r="AT38" s="348">
        <f t="shared" si="29"/>
        <v>0.36884150654631725</v>
      </c>
      <c r="AU38">
        <f t="shared" si="30"/>
        <v>1.6747499999999997</v>
      </c>
      <c r="AV38" s="526">
        <f t="shared" si="47"/>
        <v>0.81951309478200862</v>
      </c>
      <c r="AW38" s="534">
        <f t="shared" si="31"/>
        <v>2.2215912454005391</v>
      </c>
      <c r="AX38" s="534">
        <f t="shared" si="32"/>
        <v>0.44077120081542981</v>
      </c>
      <c r="AY38" s="9"/>
      <c r="AZ38" s="4">
        <f t="shared" si="48"/>
        <v>81.951309478200869</v>
      </c>
      <c r="BA38" s="348">
        <f t="shared" si="33"/>
        <v>0.2011976039974156</v>
      </c>
      <c r="BB38" s="348">
        <f t="shared" si="34"/>
        <v>4.8485790026239435E-2</v>
      </c>
      <c r="BC38" s="348">
        <f t="shared" si="35"/>
        <v>4.0392568098191618E-2</v>
      </c>
      <c r="BD38" s="348">
        <f t="shared" si="36"/>
        <v>8.0140218330078151E-3</v>
      </c>
      <c r="BE38" s="348">
        <f t="shared" si="37"/>
        <v>7.1867862647231511E-3</v>
      </c>
    </row>
    <row r="39" spans="1:57" x14ac:dyDescent="0.25">
      <c r="A39" s="23" t="s">
        <v>70</v>
      </c>
      <c r="B39" s="5">
        <f>Qg_Q1*1000000000</f>
        <v>20</v>
      </c>
      <c r="C39" s="427" t="s">
        <v>65</v>
      </c>
      <c r="D39" s="21" t="s">
        <v>99</v>
      </c>
      <c r="G39">
        <v>30</v>
      </c>
      <c r="H39" s="531">
        <f t="shared" si="0"/>
        <v>6.6</v>
      </c>
      <c r="I39" s="4">
        <f t="shared" si="1"/>
        <v>1</v>
      </c>
      <c r="J39" s="348">
        <f t="shared" si="38"/>
        <v>0.52500000000000002</v>
      </c>
      <c r="K39" s="348">
        <f t="shared" si="2"/>
        <v>0.52500000000000002</v>
      </c>
      <c r="L39" s="4">
        <f t="shared" si="3"/>
        <v>0.29166666666666669</v>
      </c>
      <c r="M39" s="348">
        <f t="shared" si="4"/>
        <v>0.50185406800328958</v>
      </c>
      <c r="N39" s="4">
        <f t="shared" si="5"/>
        <v>0.59918654968704121</v>
      </c>
      <c r="O39" s="4">
        <f t="shared" si="39"/>
        <v>0.82459327484352063</v>
      </c>
      <c r="P39" s="4">
        <f t="shared" si="40"/>
        <v>0.22540672515647941</v>
      </c>
      <c r="Q39" s="4">
        <f t="shared" si="6"/>
        <v>0</v>
      </c>
      <c r="R39" s="4">
        <f t="shared" si="41"/>
        <v>0.55276008368051366</v>
      </c>
      <c r="S39" s="348">
        <f t="shared" si="7"/>
        <v>1.2527292114530026E-3</v>
      </c>
      <c r="T39" s="348">
        <f t="shared" si="8"/>
        <v>0.2</v>
      </c>
      <c r="U39" s="348">
        <f t="shared" si="9"/>
        <v>0.2012729004468021</v>
      </c>
      <c r="V39" s="4">
        <f t="shared" si="42"/>
        <v>0.17297025787830816</v>
      </c>
      <c r="W39" s="348">
        <f t="shared" si="10"/>
        <v>2.9918710110488431E-5</v>
      </c>
      <c r="X39" s="348">
        <f t="shared" si="43"/>
        <v>2.9918710110488431E-5</v>
      </c>
      <c r="Y39" s="4">
        <f t="shared" si="44"/>
        <v>0.27637814168326064</v>
      </c>
      <c r="Z39" s="348">
        <f t="shared" si="11"/>
        <v>2.291546316008775E-4</v>
      </c>
      <c r="AA39" s="525">
        <f t="shared" si="45"/>
        <v>2.291546316008775E-4</v>
      </c>
      <c r="AB39" s="348">
        <f t="shared" si="46"/>
        <v>0.39158441474574351</v>
      </c>
      <c r="AC39" s="348">
        <f t="shared" si="12"/>
        <v>1.2267068309741319E-3</v>
      </c>
      <c r="AD39" s="348">
        <f t="shared" si="13"/>
        <v>2.7680860687038181E-3</v>
      </c>
      <c r="AE39" s="348">
        <f t="shared" si="14"/>
        <v>3.1326609599999992E-2</v>
      </c>
      <c r="AF39" s="348">
        <f t="shared" si="15"/>
        <v>0</v>
      </c>
      <c r="AG39" s="348">
        <f t="shared" si="16"/>
        <v>3.5330937454188291E-2</v>
      </c>
      <c r="AH39" s="348">
        <f t="shared" si="17"/>
        <v>0.39013504871867383</v>
      </c>
      <c r="AI39" s="348">
        <f t="shared" si="18"/>
        <v>8.3712945931297095E-4</v>
      </c>
      <c r="AJ39" s="348">
        <f t="shared" si="19"/>
        <v>4.7707967999999993E-3</v>
      </c>
      <c r="AK39" s="348">
        <f t="shared" si="20"/>
        <v>5.6089592528188268E-3</v>
      </c>
      <c r="AL39" s="348">
        <f t="shared" si="21"/>
        <v>4.7707967999999993E-3</v>
      </c>
      <c r="AM39" s="348">
        <f t="shared" si="22"/>
        <v>8.193113279999999E-3</v>
      </c>
      <c r="AN39" s="348">
        <f t="shared" si="23"/>
        <v>7.6385927527622124E-3</v>
      </c>
      <c r="AO39" s="348">
        <f t="shared" si="24"/>
        <v>1.452E-5</v>
      </c>
      <c r="AP39" s="348">
        <f t="shared" si="25"/>
        <v>0.10709952</v>
      </c>
      <c r="AQ39" s="348">
        <f t="shared" si="26"/>
        <v>4.9827049411764704E-2</v>
      </c>
      <c r="AR39" s="348">
        <f t="shared" si="27"/>
        <v>2.5963519999999997E-2</v>
      </c>
      <c r="AS39" s="348">
        <f t="shared" si="28"/>
        <v>0.10711404000000001</v>
      </c>
      <c r="AT39" s="348">
        <f t="shared" si="29"/>
        <v>0.37018841332828278</v>
      </c>
      <c r="AU39">
        <f t="shared" si="30"/>
        <v>1.7324999999999999</v>
      </c>
      <c r="AV39" s="526">
        <f t="shared" si="47"/>
        <v>0.8239451879880183</v>
      </c>
      <c r="AW39" s="534">
        <f t="shared" si="31"/>
        <v>2.2406115720443558</v>
      </c>
      <c r="AX39" s="534">
        <f t="shared" si="32"/>
        <v>0.45719776493703546</v>
      </c>
      <c r="AY39" s="9"/>
      <c r="AZ39" s="4">
        <f t="shared" si="48"/>
        <v>82.394518798801826</v>
      </c>
      <c r="BA39" s="348">
        <f t="shared" si="33"/>
        <v>0.2012729004468021</v>
      </c>
      <c r="BB39" s="348">
        <f t="shared" si="34"/>
        <v>4.9133009987007113E-2</v>
      </c>
      <c r="BC39" s="348">
        <f t="shared" si="35"/>
        <v>4.0738392218988291E-2</v>
      </c>
      <c r="BD39" s="348">
        <f t="shared" si="36"/>
        <v>8.3126866352188269E-3</v>
      </c>
      <c r="BE39" s="348">
        <f t="shared" si="37"/>
        <v>7.6385927527622124E-3</v>
      </c>
    </row>
    <row r="40" spans="1:57" x14ac:dyDescent="0.25">
      <c r="A40" s="23" t="s">
        <v>120</v>
      </c>
      <c r="B40" s="5">
        <f>Qgd_Q1*1000000000</f>
        <v>0.15</v>
      </c>
      <c r="C40" s="427" t="s">
        <v>65</v>
      </c>
      <c r="D40" s="21" t="s">
        <v>121</v>
      </c>
      <c r="G40">
        <v>31</v>
      </c>
      <c r="H40" s="531">
        <f t="shared" si="0"/>
        <v>6.6</v>
      </c>
      <c r="I40" s="4">
        <f t="shared" si="1"/>
        <v>1</v>
      </c>
      <c r="J40" s="348">
        <f t="shared" si="38"/>
        <v>0.54249999999999998</v>
      </c>
      <c r="K40" s="348">
        <f t="shared" si="2"/>
        <v>0.54249999999999998</v>
      </c>
      <c r="L40" s="4">
        <f t="shared" si="3"/>
        <v>0.30138888888888887</v>
      </c>
      <c r="M40" s="348">
        <f t="shared" si="4"/>
        <v>0.50191575618198536</v>
      </c>
      <c r="N40" s="4">
        <f t="shared" si="5"/>
        <v>0.59922167533452686</v>
      </c>
      <c r="O40" s="4">
        <f t="shared" si="39"/>
        <v>0.84211083766726347</v>
      </c>
      <c r="P40" s="4">
        <f t="shared" si="40"/>
        <v>0.24288916233273655</v>
      </c>
      <c r="Q40" s="4">
        <f t="shared" si="6"/>
        <v>0</v>
      </c>
      <c r="R40" s="4">
        <f t="shared" si="41"/>
        <v>0.56941063215915899</v>
      </c>
      <c r="S40" s="348">
        <f t="shared" si="7"/>
        <v>1.3293367188651614E-3</v>
      </c>
      <c r="T40" s="348">
        <f t="shared" si="8"/>
        <v>0.2</v>
      </c>
      <c r="U40" s="348">
        <f t="shared" si="9"/>
        <v>0.20135074975446673</v>
      </c>
      <c r="V40" s="4">
        <f t="shared" si="42"/>
        <v>0.17298039777932381</v>
      </c>
      <c r="W40" s="348">
        <f t="shared" si="10"/>
        <v>2.9922218015893095E-5</v>
      </c>
      <c r="X40" s="348">
        <f t="shared" si="43"/>
        <v>2.9922218015893095E-5</v>
      </c>
      <c r="Y40" s="4">
        <f t="shared" si="44"/>
        <v>0.28470322626556449</v>
      </c>
      <c r="Z40" s="348">
        <f t="shared" si="11"/>
        <v>2.4316778113806365E-4</v>
      </c>
      <c r="AA40" s="525">
        <f t="shared" si="45"/>
        <v>2.4316778113806365E-4</v>
      </c>
      <c r="AB40" s="348">
        <f t="shared" si="46"/>
        <v>0.40340473063652049</v>
      </c>
      <c r="AC40" s="348">
        <f t="shared" si="12"/>
        <v>1.3018830135993894E-3</v>
      </c>
      <c r="AD40" s="348">
        <f t="shared" si="13"/>
        <v>2.8603556043272785E-3</v>
      </c>
      <c r="AE40" s="348">
        <f t="shared" si="14"/>
        <v>3.1326609599999992E-2</v>
      </c>
      <c r="AF40" s="348">
        <f t="shared" si="15"/>
        <v>0</v>
      </c>
      <c r="AG40" s="348">
        <f t="shared" si="16"/>
        <v>3.5499015642328796E-2</v>
      </c>
      <c r="AH40" s="348">
        <f t="shared" si="17"/>
        <v>0.40186203019938255</v>
      </c>
      <c r="AI40" s="348">
        <f t="shared" si="18"/>
        <v>8.8821200223783198E-4</v>
      </c>
      <c r="AJ40" s="348">
        <f t="shared" si="19"/>
        <v>4.9298233599999993E-3</v>
      </c>
      <c r="AK40" s="348">
        <f t="shared" si="20"/>
        <v>5.8191724671800881E-3</v>
      </c>
      <c r="AL40" s="348">
        <f t="shared" si="21"/>
        <v>4.9298233599999993E-3</v>
      </c>
      <c r="AM40" s="348">
        <f t="shared" si="22"/>
        <v>8.4662170559999979E-3</v>
      </c>
      <c r="AN40" s="348">
        <f t="shared" si="23"/>
        <v>8.1057117003973268E-3</v>
      </c>
      <c r="AO40" s="348">
        <f t="shared" si="24"/>
        <v>1.452E-5</v>
      </c>
      <c r="AP40" s="348">
        <f t="shared" si="25"/>
        <v>0.10709952</v>
      </c>
      <c r="AQ40" s="348">
        <f t="shared" si="26"/>
        <v>4.9827049411764704E-2</v>
      </c>
      <c r="AR40" s="348">
        <f t="shared" si="27"/>
        <v>2.5963519999999997E-2</v>
      </c>
      <c r="AS40" s="348">
        <f t="shared" si="28"/>
        <v>0.10711404000000001</v>
      </c>
      <c r="AT40" s="348">
        <f t="shared" si="29"/>
        <v>0.37155781997952692</v>
      </c>
      <c r="AU40">
        <f t="shared" si="30"/>
        <v>1.7902499999999999</v>
      </c>
      <c r="AV40" s="526">
        <f t="shared" si="47"/>
        <v>0.82812634104402216</v>
      </c>
      <c r="AW40" s="534">
        <f t="shared" si="31"/>
        <v>2.2597695394608839</v>
      </c>
      <c r="AX40" s="534">
        <f t="shared" si="32"/>
        <v>0.4737163252613048</v>
      </c>
      <c r="AY40" s="9"/>
      <c r="AZ40" s="4">
        <f t="shared" si="48"/>
        <v>82.812634104402221</v>
      </c>
      <c r="BA40" s="348">
        <f t="shared" si="33"/>
        <v>0.20135074975446673</v>
      </c>
      <c r="BB40" s="348">
        <f t="shared" si="34"/>
        <v>4.9784405165508888E-2</v>
      </c>
      <c r="BC40" s="348">
        <f t="shared" si="35"/>
        <v>4.1086718899288797E-2</v>
      </c>
      <c r="BD40" s="348">
        <f t="shared" si="36"/>
        <v>8.6130240956600879E-3</v>
      </c>
      <c r="BE40" s="348">
        <f t="shared" si="37"/>
        <v>8.1057117003973268E-3</v>
      </c>
    </row>
    <row r="41" spans="1:57" x14ac:dyDescent="0.25">
      <c r="A41" s="23" t="s">
        <v>124</v>
      </c>
      <c r="B41" s="5">
        <f>Qgs_Q1*1000000000</f>
        <v>2.85</v>
      </c>
      <c r="C41" s="427" t="s">
        <v>65</v>
      </c>
      <c r="D41" s="21"/>
      <c r="G41">
        <v>32</v>
      </c>
      <c r="H41" s="531">
        <f t="shared" ref="H41:H72" si="49">Vin</f>
        <v>6.6</v>
      </c>
      <c r="I41" s="4">
        <f t="shared" ref="I41:I72" si="50">MODE</f>
        <v>1</v>
      </c>
      <c r="J41" s="348">
        <f t="shared" si="38"/>
        <v>0.56000000000000005</v>
      </c>
      <c r="K41" s="348">
        <f t="shared" ref="K41:K72" si="51">Iout*G41/100/Number_of_Phases</f>
        <v>0.56000000000000005</v>
      </c>
      <c r="L41" s="4">
        <f t="shared" ref="L41:L72" si="52">Vout*K41/(Vin*Efficiency)</f>
        <v>0.31111111111111117</v>
      </c>
      <c r="M41" s="348">
        <f t="shared" ref="M41:M72" si="53">(Vout+(Rdson2+Rs+Rdcr)*K41)/(Vin+(Rs+Rdson2-Rdson1)*K41)</f>
        <v>0.50197743701418507</v>
      </c>
      <c r="N41" s="4">
        <f t="shared" ref="N41:N72" si="54">(Vin-(Rdson1+Rdcr)*K41-Vout)*M41/(Fsw*Lf)</f>
        <v>0.59925678274154148</v>
      </c>
      <c r="O41" s="4">
        <f t="shared" si="39"/>
        <v>0.85962839137077074</v>
      </c>
      <c r="P41" s="4">
        <f t="shared" si="40"/>
        <v>0.26037160862922931</v>
      </c>
      <c r="Q41" s="4">
        <f t="shared" ref="Q41:Q72" si="55">IF(MIN(Vin, -P41/(Coss_Q1+Coss_Q2)*0.00000002)&lt;0, 0, MIN(Vin, -P41/(Coss_Q1+Coss_Q2)*0.00000002))</f>
        <v>0</v>
      </c>
      <c r="R41" s="4">
        <f t="shared" si="41"/>
        <v>0.58611067581570742</v>
      </c>
      <c r="S41" s="348">
        <f t="shared" ref="S41:S72" si="56">R41^2*Rdcr</f>
        <v>1.4084554696510954E-3</v>
      </c>
      <c r="T41" s="348">
        <f t="shared" ref="T41:T72" si="57">Core_Loss_Ch1</f>
        <v>0.2</v>
      </c>
      <c r="U41" s="348">
        <f t="shared" ref="U41:U72" si="58">(T41+S41*(1+Ltc*(Ta-25)))/(1-S41*Ltc*ThetaCa)</f>
        <v>0.20143115201427611</v>
      </c>
      <c r="V41" s="4">
        <f t="shared" si="42"/>
        <v>0.17299053241476903</v>
      </c>
      <c r="W41" s="348">
        <f t="shared" si="10"/>
        <v>2.9925724305145255E-5</v>
      </c>
      <c r="X41" s="348">
        <f t="shared" si="43"/>
        <v>2.9925724305145255E-5</v>
      </c>
      <c r="Y41" s="4">
        <f t="shared" si="44"/>
        <v>0.29305304605543403</v>
      </c>
      <c r="Z41" s="348">
        <f t="shared" si="11"/>
        <v>2.57640263407105E-4</v>
      </c>
      <c r="AA41" s="525">
        <f t="shared" si="45"/>
        <v>2.57640263407105E-4</v>
      </c>
      <c r="AB41" s="348">
        <f t="shared" si="46"/>
        <v>0.41526155930345676</v>
      </c>
      <c r="AC41" s="348">
        <f t="shared" ref="AC41:AC72" si="59">Rdson1*AB41^2</f>
        <v>1.3795373010811068E-3</v>
      </c>
      <c r="AD41" s="348">
        <f t="shared" ref="AD41:AD72" si="60">(Vin*K41/2)*Fsw*(Tr_buck+Tf_buck)</f>
        <v>2.9526251399507393E-3</v>
      </c>
      <c r="AE41" s="348">
        <f t="shared" ref="AE41:AE72" si="61">(0.5*Coss_Q1*(Vin-Q41)^2-0.5*Coss_Q2*(Vin-Q41)^2+(Qoss_Q2*(Vin-Q41)/Vin)*Vin)*Fsw</f>
        <v>3.1326609599999992E-2</v>
      </c>
      <c r="AF41" s="348">
        <f t="shared" ref="AF41:AF72" si="62">IF(K41&gt;N41/2,0,ABS(K41-N41/2)*Vsd_Q1*Deadtime*Fsw)</f>
        <v>0</v>
      </c>
      <c r="AG41" s="348">
        <f t="shared" ref="AG41:AG72" si="63">(AF41+AE41+AD41+AC41*(1+RdsonTopTc*Ta-RdsonTopTc*25))/(1-AC41*RdsonTopTc*ThetaJA_Q1)</f>
        <v>3.5669597699950997E-2</v>
      </c>
      <c r="AH41" s="348">
        <f t="shared" ref="AH41:AH72" si="64">SQRT((1-M41))*SQRT(K41^2+(N41^2)/12)</f>
        <v>0.41362248690080539</v>
      </c>
      <c r="AI41" s="348">
        <f t="shared" ref="AI41:AI72" si="65">Rdson2*AH41^2</f>
        <v>9.4095958918503811E-4</v>
      </c>
      <c r="AJ41" s="348">
        <f t="shared" ref="AJ41:AJ72" si="66">IF(K41&lt;N41/2,Deadtime*Fsw*IF(VfdSky_Q2&gt;0,0,Vsd_Q2)*(K41+N41/2),2*Deadtime*Fsw*IF(VfdSky_Q2&gt;0,0,Vsd_Q2)*K41)</f>
        <v>5.0888499200000001E-3</v>
      </c>
      <c r="AK41" s="348">
        <f t="shared" ref="AK41:AK72" si="67">(AJ41+AI41*(1+RdsonBotTc*Ta-RdsonBotTc*25))/(1-AI41*RdsonBotTc*ThetaJA_Q2)</f>
        <v>6.0310580051948807E-3</v>
      </c>
      <c r="AL41" s="348">
        <f t="shared" ref="AL41:AL72" si="68">2*Deadtime*Fsw*IF(VfdSky_Q2&gt;0,VfdSky_Q2,Vsd_Q2)*K41</f>
        <v>5.0888499200000001E-3</v>
      </c>
      <c r="AM41" s="348">
        <f t="shared" ref="AM41:AM72" si="69">IF(QrrSky_Q2&gt;0,QrrSky_Q2,Qrr_Q2*K41/(Iout/Number_of_Phases))*Fsw*Vin</f>
        <v>8.7393208319999985E-3</v>
      </c>
      <c r="AN41" s="348">
        <f t="shared" ref="AN41:AN72" si="70">Rs*R41^2</f>
        <v>8.5881431076286329E-3</v>
      </c>
      <c r="AO41" s="348">
        <f t="shared" ref="AO41:AO72" si="71">Iq*Vin</f>
        <v>1.452E-5</v>
      </c>
      <c r="AP41" s="348">
        <f t="shared" ref="AP41:AP72" si="72">IF(Ext_VCC=1,  (Qg_Q1+Qg_Q2)*Fsw*VCC, (Qg_Q1+Qg_Q2)*Fsw*Vin)</f>
        <v>0.10709952</v>
      </c>
      <c r="AQ41" s="348">
        <f t="shared" si="26"/>
        <v>4.9827049411764704E-2</v>
      </c>
      <c r="AR41" s="348">
        <f t="shared" ref="AR41:AR72" si="73">(Qg_Q1+Qg_Q2)*Fsw*(Vin-VCC)</f>
        <v>2.5963519999999997E-2</v>
      </c>
      <c r="AS41" s="348">
        <f t="shared" ref="AS41:AS74" si="74">SUM(AO41:AP41)</f>
        <v>0.10711404000000001</v>
      </c>
      <c r="AT41" s="348">
        <f t="shared" ref="AT41:AT72" si="75" xml:space="preserve"> SUM(U41,X41,AA41,AG41,AK41,AL41,AM41,AS41,AN41)</f>
        <v>0.37294972756676287</v>
      </c>
      <c r="AU41">
        <f t="shared" ref="AU41:AU72" si="76">Vout*K41</f>
        <v>1.8480000000000001</v>
      </c>
      <c r="AV41" s="526">
        <f t="shared" si="47"/>
        <v>0.83207646578504024</v>
      </c>
      <c r="AW41" s="534">
        <f t="shared" ref="AW41:AW72" si="77">ThetaJA_Q1*BC41</f>
        <v>2.2790652196989045</v>
      </c>
      <c r="AX41" s="534">
        <f t="shared" ref="AX41:AX72" si="78">ThetaJA_Q2*BD41</f>
        <v>0.49032686338651837</v>
      </c>
      <c r="AY41" s="9"/>
      <c r="AZ41" s="4">
        <f t="shared" si="48"/>
        <v>83.207646578504026</v>
      </c>
      <c r="BA41" s="348">
        <f t="shared" ref="BA41:BA72" si="79">U41</f>
        <v>0.20143115201427611</v>
      </c>
      <c r="BB41" s="348">
        <f t="shared" ref="BB41:BB73" si="80">AG41+AK41+AM41</f>
        <v>5.0439976537145874E-2</v>
      </c>
      <c r="BC41" s="348">
        <f t="shared" ref="BC41:BC73" si="81">AG41+AM41*0.66</f>
        <v>4.1437549449070993E-2</v>
      </c>
      <c r="BD41" s="348">
        <f t="shared" ref="BD41:BD73" si="82">AK41+AM41*0.33</f>
        <v>8.9150338797548793E-3</v>
      </c>
      <c r="BE41" s="348">
        <f t="shared" ref="BE41:BE73" si="83">AN41</f>
        <v>8.5881431076286329E-3</v>
      </c>
    </row>
    <row r="42" spans="1:57" x14ac:dyDescent="0.25">
      <c r="A42" s="23" t="s">
        <v>90</v>
      </c>
      <c r="B42" s="5">
        <f>Rgate1</f>
        <v>1.8</v>
      </c>
      <c r="C42" s="431" t="s">
        <v>116</v>
      </c>
      <c r="D42" s="21" t="s">
        <v>100</v>
      </c>
      <c r="G42">
        <v>33</v>
      </c>
      <c r="H42" s="531">
        <f t="shared" si="49"/>
        <v>6.6</v>
      </c>
      <c r="I42" s="4">
        <f t="shared" si="50"/>
        <v>1</v>
      </c>
      <c r="J42" s="348">
        <f t="shared" ref="J42:J73" si="84">Iout*G42/100</f>
        <v>0.57750000000000001</v>
      </c>
      <c r="K42" s="348">
        <f t="shared" si="51"/>
        <v>0.57750000000000001</v>
      </c>
      <c r="L42" s="4">
        <f t="shared" si="52"/>
        <v>0.32083333333333336</v>
      </c>
      <c r="M42" s="348">
        <f t="shared" si="53"/>
        <v>0.50203911050120076</v>
      </c>
      <c r="N42" s="4">
        <f t="shared" si="54"/>
        <v>0.59929187191134325</v>
      </c>
      <c r="O42" s="4">
        <f t="shared" si="39"/>
        <v>0.8771459359556717</v>
      </c>
      <c r="P42" s="4">
        <f t="shared" si="40"/>
        <v>0.27785406404432839</v>
      </c>
      <c r="Q42" s="4">
        <f t="shared" si="55"/>
        <v>0</v>
      </c>
      <c r="R42" s="4">
        <f t="shared" si="41"/>
        <v>0.60285610138593615</v>
      </c>
      <c r="S42" s="348">
        <f t="shared" si="56"/>
        <v>1.4900854638108254E-3</v>
      </c>
      <c r="T42" s="348">
        <f t="shared" si="57"/>
        <v>0.2</v>
      </c>
      <c r="U42" s="348">
        <f t="shared" si="58"/>
        <v>0.20151410732317684</v>
      </c>
      <c r="V42" s="4">
        <f t="shared" si="42"/>
        <v>0.17300066178558438</v>
      </c>
      <c r="W42" s="348">
        <f t="shared" si="10"/>
        <v>2.9929228978250153E-5</v>
      </c>
      <c r="X42" s="348">
        <f t="shared" si="43"/>
        <v>2.9929228978250153E-5</v>
      </c>
      <c r="Y42" s="4">
        <f t="shared" si="44"/>
        <v>0.30142554402397514</v>
      </c>
      <c r="Z42" s="348">
        <f t="shared" si="11"/>
        <v>2.7257207577044814E-4</v>
      </c>
      <c r="AA42" s="525">
        <f t="shared" si="45"/>
        <v>2.7257207577044814E-4</v>
      </c>
      <c r="AB42" s="348">
        <f t="shared" si="46"/>
        <v>0.42715199237603768</v>
      </c>
      <c r="AC42" s="348">
        <f t="shared" si="59"/>
        <v>1.4596705967265485E-3</v>
      </c>
      <c r="AD42" s="348">
        <f t="shared" si="60"/>
        <v>3.0448946755741997E-3</v>
      </c>
      <c r="AE42" s="348">
        <f t="shared" si="61"/>
        <v>3.1326609599999992E-2</v>
      </c>
      <c r="AF42" s="348">
        <f t="shared" si="62"/>
        <v>0</v>
      </c>
      <c r="AG42" s="348">
        <f t="shared" si="63"/>
        <v>3.5842684945231643E-2</v>
      </c>
      <c r="AH42" s="348">
        <f t="shared" si="64"/>
        <v>0.4254135098788373</v>
      </c>
      <c r="AI42" s="348">
        <f t="shared" si="65"/>
        <v>9.9537159913087371E-4</v>
      </c>
      <c r="AJ42" s="348">
        <f t="shared" si="66"/>
        <v>5.2478764799999992E-3</v>
      </c>
      <c r="AK42" s="348">
        <f t="shared" si="67"/>
        <v>6.2446155359803142E-3</v>
      </c>
      <c r="AL42" s="348">
        <f t="shared" si="68"/>
        <v>5.2478764799999992E-3</v>
      </c>
      <c r="AM42" s="348">
        <f>IF(QrrSky_Q2&gt;0,QrrSky_Q2,Qrr_Q2*K42/(Iout/Number_of_Phases))*Fsw*Vin</f>
        <v>9.0124246079999974E-3</v>
      </c>
      <c r="AN42" s="348">
        <f t="shared" si="70"/>
        <v>9.0858869744562532E-3</v>
      </c>
      <c r="AO42" s="348">
        <f t="shared" si="71"/>
        <v>1.452E-5</v>
      </c>
      <c r="AP42" s="348">
        <f t="shared" si="72"/>
        <v>0.10709952</v>
      </c>
      <c r="AQ42" s="348">
        <f t="shared" si="26"/>
        <v>4.9827049411764704E-2</v>
      </c>
      <c r="AR42" s="348">
        <f t="shared" si="73"/>
        <v>2.5963519999999997E-2</v>
      </c>
      <c r="AS42" s="348">
        <f t="shared" si="74"/>
        <v>0.10711404000000001</v>
      </c>
      <c r="AT42" s="348">
        <f t="shared" si="75"/>
        <v>0.37436413717159378</v>
      </c>
      <c r="AU42">
        <f t="shared" si="76"/>
        <v>1.9057499999999998</v>
      </c>
      <c r="AV42" s="526">
        <f t="shared" si="47"/>
        <v>0.83581342220175869</v>
      </c>
      <c r="AW42" s="534">
        <f t="shared" si="77"/>
        <v>2.2984986852581404</v>
      </c>
      <c r="AX42" s="534">
        <f t="shared" si="78"/>
        <v>0.50702936111411723</v>
      </c>
      <c r="AY42" s="9"/>
      <c r="AZ42" s="4">
        <f t="shared" si="48"/>
        <v>83.58134222017587</v>
      </c>
      <c r="BA42" s="348">
        <f t="shared" si="79"/>
        <v>0.20151410732317684</v>
      </c>
      <c r="BB42" s="348">
        <f t="shared" si="80"/>
        <v>5.1099725089211949E-2</v>
      </c>
      <c r="BC42" s="348">
        <f t="shared" si="81"/>
        <v>4.1790885186511639E-2</v>
      </c>
      <c r="BD42" s="348">
        <f t="shared" si="82"/>
        <v>9.2187156566203125E-3</v>
      </c>
      <c r="BE42" s="348">
        <f t="shared" si="83"/>
        <v>9.0858869744562532E-3</v>
      </c>
    </row>
    <row r="43" spans="1:57" x14ac:dyDescent="0.25">
      <c r="A43" s="23" t="s">
        <v>69</v>
      </c>
      <c r="B43" s="5">
        <f>Gfs_Q1</f>
        <v>78</v>
      </c>
      <c r="C43" s="427" t="s">
        <v>66</v>
      </c>
      <c r="D43" s="21" t="s">
        <v>101</v>
      </c>
      <c r="G43">
        <v>34</v>
      </c>
      <c r="H43" s="531">
        <f t="shared" si="49"/>
        <v>6.6</v>
      </c>
      <c r="I43" s="4">
        <f t="shared" si="50"/>
        <v>1</v>
      </c>
      <c r="J43" s="348">
        <f t="shared" si="84"/>
        <v>0.59499999999999997</v>
      </c>
      <c r="K43" s="348">
        <f t="shared" si="51"/>
        <v>0.59499999999999997</v>
      </c>
      <c r="L43" s="4">
        <f t="shared" si="52"/>
        <v>0.33055555555555555</v>
      </c>
      <c r="M43" s="348">
        <f t="shared" si="53"/>
        <v>0.50210077664434449</v>
      </c>
      <c r="N43" s="4">
        <f t="shared" si="54"/>
        <v>0.59932694284718968</v>
      </c>
      <c r="O43" s="4">
        <f t="shared" si="39"/>
        <v>0.89466347142359481</v>
      </c>
      <c r="P43" s="4">
        <f t="shared" si="40"/>
        <v>0.29533652857640513</v>
      </c>
      <c r="Q43" s="4">
        <f t="shared" si="55"/>
        <v>0</v>
      </c>
      <c r="R43" s="4">
        <f t="shared" si="41"/>
        <v>0.61964322963719476</v>
      </c>
      <c r="S43" s="348">
        <f t="shared" si="56"/>
        <v>1.5742267013443743E-3</v>
      </c>
      <c r="T43" s="348">
        <f t="shared" si="57"/>
        <v>0.2</v>
      </c>
      <c r="U43" s="348">
        <f t="shared" si="58"/>
        <v>0.20159961578119587</v>
      </c>
      <c r="V43" s="4">
        <f t="shared" si="42"/>
        <v>0.17301078589271021</v>
      </c>
      <c r="W43" s="348">
        <f t="shared" si="10"/>
        <v>2.9932732035213216E-5</v>
      </c>
      <c r="X43" s="348">
        <f t="shared" si="43"/>
        <v>2.9932732035213216E-5</v>
      </c>
      <c r="Y43" s="4">
        <f t="shared" si="44"/>
        <v>0.30981888015829401</v>
      </c>
      <c r="Z43" s="348">
        <f t="shared" si="11"/>
        <v>2.8796321550761807E-4</v>
      </c>
      <c r="AA43" s="525">
        <f t="shared" si="45"/>
        <v>2.8796321550761807E-4</v>
      </c>
      <c r="AB43" s="348">
        <f t="shared" si="46"/>
        <v>0.43907342831635998</v>
      </c>
      <c r="AC43" s="348">
        <f t="shared" si="59"/>
        <v>1.5422838036278537E-3</v>
      </c>
      <c r="AD43" s="348">
        <f t="shared" si="60"/>
        <v>3.1371642111976601E-3</v>
      </c>
      <c r="AE43" s="348">
        <f t="shared" si="61"/>
        <v>3.1326609599999992E-2</v>
      </c>
      <c r="AF43" s="348">
        <f t="shared" si="62"/>
        <v>0</v>
      </c>
      <c r="AG43" s="348">
        <f t="shared" si="63"/>
        <v>3.6018278704559238E-2</v>
      </c>
      <c r="AH43" s="348">
        <f t="shared" si="64"/>
        <v>0.43723249717024876</v>
      </c>
      <c r="AI43" s="348">
        <f t="shared" si="65"/>
        <v>1.0514474111995237E-3</v>
      </c>
      <c r="AJ43" s="348">
        <f t="shared" si="66"/>
        <v>5.4069030399999992E-3</v>
      </c>
      <c r="AK43" s="348">
        <f t="shared" si="67"/>
        <v>6.4598447323440493E-3</v>
      </c>
      <c r="AL43" s="348">
        <f t="shared" si="68"/>
        <v>5.4069030399999992E-3</v>
      </c>
      <c r="AM43" s="348">
        <f t="shared" si="69"/>
        <v>9.285528383999998E-3</v>
      </c>
      <c r="AN43" s="348">
        <f t="shared" si="70"/>
        <v>9.5989433008803332E-3</v>
      </c>
      <c r="AO43" s="348">
        <f t="shared" si="71"/>
        <v>1.452E-5</v>
      </c>
      <c r="AP43" s="348">
        <f t="shared" si="72"/>
        <v>0.10709952</v>
      </c>
      <c r="AQ43" s="348">
        <f t="shared" si="26"/>
        <v>4.9827049411764704E-2</v>
      </c>
      <c r="AR43" s="348">
        <f t="shared" si="73"/>
        <v>2.5963519999999997E-2</v>
      </c>
      <c r="AS43" s="348">
        <f t="shared" si="74"/>
        <v>0.10711404000000001</v>
      </c>
      <c r="AT43" s="348">
        <f t="shared" si="75"/>
        <v>0.37580104989052232</v>
      </c>
      <c r="AU43">
        <f t="shared" si="76"/>
        <v>1.9634999999999998</v>
      </c>
      <c r="AV43" s="526">
        <f t="shared" si="47"/>
        <v>0.83935327609581944</v>
      </c>
      <c r="AW43" s="534">
        <f t="shared" si="77"/>
        <v>2.3180700090899582</v>
      </c>
      <c r="AX43" s="534">
        <f t="shared" si="78"/>
        <v>0.52382380044852261</v>
      </c>
      <c r="AY43" s="9"/>
      <c r="AZ43" s="4">
        <f t="shared" si="48"/>
        <v>83.935327609581947</v>
      </c>
      <c r="BA43" s="348">
        <f t="shared" si="79"/>
        <v>0.20159961578119587</v>
      </c>
      <c r="BB43" s="348">
        <f t="shared" si="80"/>
        <v>5.1763651820903284E-2</v>
      </c>
      <c r="BC43" s="348">
        <f t="shared" si="81"/>
        <v>4.2146727437999236E-2</v>
      </c>
      <c r="BD43" s="348">
        <f t="shared" si="82"/>
        <v>9.5240690990640482E-3</v>
      </c>
      <c r="BE43" s="348">
        <f t="shared" si="83"/>
        <v>9.5989433008803332E-3</v>
      </c>
    </row>
    <row r="44" spans="1:57" x14ac:dyDescent="0.25">
      <c r="A44" s="23" t="s">
        <v>92</v>
      </c>
      <c r="B44" s="5">
        <f>Vth_Q1</f>
        <v>1.3</v>
      </c>
      <c r="C44" s="427" t="s">
        <v>0</v>
      </c>
      <c r="D44" s="21" t="s">
        <v>102</v>
      </c>
      <c r="G44">
        <v>35</v>
      </c>
      <c r="H44" s="531">
        <f t="shared" si="49"/>
        <v>6.6</v>
      </c>
      <c r="I44" s="4">
        <f t="shared" si="50"/>
        <v>1</v>
      </c>
      <c r="J44" s="348">
        <f t="shared" si="84"/>
        <v>0.61250000000000004</v>
      </c>
      <c r="K44" s="348">
        <f t="shared" si="51"/>
        <v>0.61250000000000004</v>
      </c>
      <c r="L44" s="4">
        <f t="shared" si="52"/>
        <v>0.34027777777777785</v>
      </c>
      <c r="M44" s="348">
        <f t="shared" si="53"/>
        <v>0.502162435444928</v>
      </c>
      <c r="N44" s="4">
        <f t="shared" si="54"/>
        <v>0.59936199555233738</v>
      </c>
      <c r="O44" s="4">
        <f t="shared" si="39"/>
        <v>0.91218099777616879</v>
      </c>
      <c r="P44" s="4">
        <f t="shared" si="40"/>
        <v>0.31281900222383136</v>
      </c>
      <c r="Q44" s="4">
        <f t="shared" si="55"/>
        <v>0</v>
      </c>
      <c r="R44" s="4">
        <f t="shared" si="41"/>
        <v>0.63646876080137671</v>
      </c>
      <c r="S44" s="348">
        <f t="shared" si="56"/>
        <v>1.6608791822517641E-3</v>
      </c>
      <c r="T44" s="348">
        <f t="shared" si="57"/>
        <v>0.2</v>
      </c>
      <c r="U44" s="348">
        <f t="shared" si="58"/>
        <v>0.20168767749144076</v>
      </c>
      <c r="V44" s="4">
        <f t="shared" si="42"/>
        <v>0.17302090473708664</v>
      </c>
      <c r="W44" s="348">
        <f t="shared" si="10"/>
        <v>2.9936233476040014E-5</v>
      </c>
      <c r="X44" s="348">
        <f t="shared" si="43"/>
        <v>2.9936233476040014E-5</v>
      </c>
      <c r="Y44" s="4">
        <f t="shared" si="44"/>
        <v>0.31823140417798002</v>
      </c>
      <c r="Z44" s="348">
        <f t="shared" si="11"/>
        <v>3.0381367981526663E-4</v>
      </c>
      <c r="AA44" s="525">
        <f t="shared" si="45"/>
        <v>3.0381367981526663E-4</v>
      </c>
      <c r="AB44" s="348">
        <f t="shared" si="46"/>
        <v>0.45102353384581001</v>
      </c>
      <c r="AC44" s="348">
        <f t="shared" si="59"/>
        <v>1.6273778246621003E-3</v>
      </c>
      <c r="AD44" s="348">
        <f t="shared" si="60"/>
        <v>3.2294337468211213E-3</v>
      </c>
      <c r="AE44" s="348">
        <f t="shared" si="61"/>
        <v>3.1326609599999992E-2</v>
      </c>
      <c r="AF44" s="348">
        <f t="shared" si="62"/>
        <v>0</v>
      </c>
      <c r="AG44" s="348">
        <f t="shared" si="63"/>
        <v>3.6196380312547023E-2</v>
      </c>
      <c r="AH44" s="348">
        <f t="shared" si="64"/>
        <v>0.44907711519657462</v>
      </c>
      <c r="AI44" s="348">
        <f t="shared" si="65"/>
        <v>1.1091864046630265E-3</v>
      </c>
      <c r="AJ44" s="348">
        <f t="shared" si="66"/>
        <v>5.5659296E-3</v>
      </c>
      <c r="AK44" s="348">
        <f t="shared" si="67"/>
        <v>6.6767452707810118E-3</v>
      </c>
      <c r="AL44" s="348">
        <f t="shared" si="68"/>
        <v>5.5659296E-3</v>
      </c>
      <c r="AM44" s="348">
        <f t="shared" si="69"/>
        <v>9.5586321599999986E-3</v>
      </c>
      <c r="AN44" s="348">
        <f t="shared" si="70"/>
        <v>1.0127312086901003E-2</v>
      </c>
      <c r="AO44" s="348">
        <f t="shared" si="71"/>
        <v>1.452E-5</v>
      </c>
      <c r="AP44" s="348">
        <f t="shared" si="72"/>
        <v>0.10709952</v>
      </c>
      <c r="AQ44" s="348">
        <f t="shared" si="26"/>
        <v>4.9827049411764704E-2</v>
      </c>
      <c r="AR44" s="348">
        <f t="shared" si="73"/>
        <v>2.5963519999999997E-2</v>
      </c>
      <c r="AS44" s="348">
        <f t="shared" si="74"/>
        <v>0.10711404000000001</v>
      </c>
      <c r="AT44" s="348">
        <f t="shared" si="75"/>
        <v>0.37726046683496117</v>
      </c>
      <c r="AU44">
        <f t="shared" si="76"/>
        <v>2.0212500000000002</v>
      </c>
      <c r="AV44" s="526">
        <f t="shared" si="47"/>
        <v>0.8427105188609878</v>
      </c>
      <c r="AW44" s="534">
        <f t="shared" si="77"/>
        <v>2.3377792645980864</v>
      </c>
      <c r="AX44" s="534">
        <f t="shared" si="78"/>
        <v>0.54071016359695567</v>
      </c>
      <c r="AY44" s="9"/>
      <c r="AZ44" s="4">
        <f t="shared" si="48"/>
        <v>84.271051886098775</v>
      </c>
      <c r="BA44" s="348">
        <f t="shared" si="79"/>
        <v>0.20168767749144076</v>
      </c>
      <c r="BB44" s="348">
        <f t="shared" si="80"/>
        <v>5.2431757743328034E-2</v>
      </c>
      <c r="BC44" s="348">
        <f t="shared" si="81"/>
        <v>4.2505077538147022E-2</v>
      </c>
      <c r="BD44" s="348">
        <f t="shared" si="82"/>
        <v>9.8310938835810113E-3</v>
      </c>
      <c r="BE44" s="348">
        <f t="shared" si="83"/>
        <v>1.0127312086901003E-2</v>
      </c>
    </row>
    <row r="45" spans="1:57" x14ac:dyDescent="0.25">
      <c r="A45" s="28" t="s">
        <v>123</v>
      </c>
      <c r="B45" s="434">
        <f>Vsp_Q1</f>
        <v>1.3224358974358974</v>
      </c>
      <c r="C45" s="432" t="s">
        <v>0</v>
      </c>
      <c r="G45">
        <v>36</v>
      </c>
      <c r="H45" s="531">
        <f t="shared" si="49"/>
        <v>6.6</v>
      </c>
      <c r="I45" s="4">
        <f t="shared" si="50"/>
        <v>1</v>
      </c>
      <c r="J45" s="348">
        <f t="shared" si="84"/>
        <v>0.63</v>
      </c>
      <c r="K45" s="348">
        <f t="shared" si="51"/>
        <v>0.63</v>
      </c>
      <c r="L45" s="4">
        <f t="shared" si="52"/>
        <v>0.35</v>
      </c>
      <c r="M45" s="348">
        <f t="shared" si="53"/>
        <v>0.50222408690426246</v>
      </c>
      <c r="N45" s="4">
        <f t="shared" si="54"/>
        <v>0.59939703003004208</v>
      </c>
      <c r="O45" s="4">
        <f t="shared" si="39"/>
        <v>0.92969851501502099</v>
      </c>
      <c r="P45" s="4">
        <f t="shared" si="40"/>
        <v>0.33030148498497897</v>
      </c>
      <c r="Q45" s="4">
        <f t="shared" si="55"/>
        <v>0</v>
      </c>
      <c r="R45" s="4">
        <f t="shared" si="41"/>
        <v>0.6533297278562612</v>
      </c>
      <c r="S45" s="348">
        <f t="shared" si="56"/>
        <v>1.7500429065330186E-3</v>
      </c>
      <c r="T45" s="348">
        <f t="shared" si="57"/>
        <v>0.2</v>
      </c>
      <c r="U45" s="348">
        <f t="shared" si="58"/>
        <v>0.20177829256009999</v>
      </c>
      <c r="V45" s="4">
        <f t="shared" si="42"/>
        <v>0.17303101831965351</v>
      </c>
      <c r="W45" s="348">
        <f t="shared" si="10"/>
        <v>2.9939733300736271E-5</v>
      </c>
      <c r="X45" s="348">
        <f t="shared" si="43"/>
        <v>2.9939733300736271E-5</v>
      </c>
      <c r="Y45" s="4">
        <f t="shared" si="44"/>
        <v>0.32666163217577482</v>
      </c>
      <c r="Z45" s="348">
        <f t="shared" si="11"/>
        <v>3.2012346580722359E-4</v>
      </c>
      <c r="AA45" s="525">
        <f t="shared" si="45"/>
        <v>3.2012346580722359E-4</v>
      </c>
      <c r="AB45" s="348">
        <f t="shared" si="46"/>
        <v>0.46300021091941335</v>
      </c>
      <c r="AC45" s="348">
        <f t="shared" si="59"/>
        <v>1.7149535624913699E-3</v>
      </c>
      <c r="AD45" s="348">
        <f t="shared" si="60"/>
        <v>3.3217032824445812E-3</v>
      </c>
      <c r="AE45" s="348">
        <f t="shared" si="61"/>
        <v>3.1326609599999992E-2</v>
      </c>
      <c r="AF45" s="348">
        <f t="shared" si="62"/>
        <v>0</v>
      </c>
      <c r="AG45" s="348">
        <f t="shared" si="63"/>
        <v>3.6376991112046016E-2</v>
      </c>
      <c r="AH45" s="348">
        <f t="shared" si="64"/>
        <v>0.4609452657196027</v>
      </c>
      <c r="AI45" s="348">
        <f t="shared" si="65"/>
        <v>1.1685879589412333E-3</v>
      </c>
      <c r="AJ45" s="348">
        <f t="shared" si="66"/>
        <v>5.7249561599999992E-3</v>
      </c>
      <c r="AK45" s="348">
        <f t="shared" si="67"/>
        <v>6.8953168314701474E-3</v>
      </c>
      <c r="AL45" s="348">
        <f t="shared" si="68"/>
        <v>5.7249561599999992E-3</v>
      </c>
      <c r="AM45" s="348">
        <f t="shared" si="69"/>
        <v>9.8317359359999974E-3</v>
      </c>
      <c r="AN45" s="348">
        <f t="shared" si="70"/>
        <v>1.0670993332518409E-2</v>
      </c>
      <c r="AO45" s="348">
        <f t="shared" si="71"/>
        <v>1.452E-5</v>
      </c>
      <c r="AP45" s="348">
        <f t="shared" si="72"/>
        <v>0.10709952</v>
      </c>
      <c r="AQ45" s="348">
        <f t="shared" si="26"/>
        <v>4.9827049411764704E-2</v>
      </c>
      <c r="AR45" s="348">
        <f t="shared" si="73"/>
        <v>2.5963519999999997E-2</v>
      </c>
      <c r="AS45" s="348">
        <f t="shared" si="74"/>
        <v>0.10711404000000001</v>
      </c>
      <c r="AT45" s="348">
        <f t="shared" si="75"/>
        <v>0.37874238913124258</v>
      </c>
      <c r="AU45">
        <f t="shared" si="76"/>
        <v>2.0789999999999997</v>
      </c>
      <c r="AV45" s="526">
        <f t="shared" si="47"/>
        <v>0.84589825573008093</v>
      </c>
      <c r="AW45" s="534">
        <f t="shared" si="77"/>
        <v>2.3576265256393309</v>
      </c>
      <c r="AX45" s="534">
        <f t="shared" si="78"/>
        <v>0.55768843296925807</v>
      </c>
      <c r="AY45" s="9"/>
      <c r="AZ45" s="4">
        <f t="shared" si="48"/>
        <v>84.589825573008099</v>
      </c>
      <c r="BA45" s="348">
        <f t="shared" si="79"/>
        <v>0.20177829256009999</v>
      </c>
      <c r="BB45" s="348">
        <f t="shared" si="80"/>
        <v>5.3104043879516158E-2</v>
      </c>
      <c r="BC45" s="348">
        <f t="shared" si="81"/>
        <v>4.2865936829806016E-2</v>
      </c>
      <c r="BD45" s="348">
        <f t="shared" si="82"/>
        <v>1.0139789690350147E-2</v>
      </c>
      <c r="BE45" s="348">
        <f t="shared" si="83"/>
        <v>1.0670993332518409E-2</v>
      </c>
    </row>
    <row r="46" spans="1:57" x14ac:dyDescent="0.25">
      <c r="A46" s="77" t="s">
        <v>200</v>
      </c>
      <c r="B46" s="5">
        <f>Vsd_Q1</f>
        <v>0.8</v>
      </c>
      <c r="C46" s="432" t="s">
        <v>0</v>
      </c>
      <c r="G46">
        <v>37</v>
      </c>
      <c r="H46" s="531">
        <f t="shared" si="49"/>
        <v>6.6</v>
      </c>
      <c r="I46" s="4">
        <f t="shared" si="50"/>
        <v>1</v>
      </c>
      <c r="J46" s="348">
        <f t="shared" si="84"/>
        <v>0.64749999999999996</v>
      </c>
      <c r="K46" s="348">
        <f t="shared" si="51"/>
        <v>0.64749999999999996</v>
      </c>
      <c r="L46" s="4">
        <f t="shared" si="52"/>
        <v>0.35972222222222222</v>
      </c>
      <c r="M46" s="348">
        <f t="shared" si="53"/>
        <v>0.50228573102365892</v>
      </c>
      <c r="N46" s="4">
        <f t="shared" si="54"/>
        <v>0.59943204628355906</v>
      </c>
      <c r="O46" s="4">
        <f t="shared" si="39"/>
        <v>0.94721602314177944</v>
      </c>
      <c r="P46" s="4">
        <f t="shared" si="40"/>
        <v>0.34778397685822043</v>
      </c>
      <c r="Q46" s="4">
        <f t="shared" si="55"/>
        <v>0</v>
      </c>
      <c r="R46" s="4">
        <f t="shared" si="41"/>
        <v>0.6702234564004067</v>
      </c>
      <c r="S46" s="348">
        <f t="shared" si="56"/>
        <v>1.8417178741881621E-3</v>
      </c>
      <c r="T46" s="348">
        <f t="shared" si="57"/>
        <v>0.2</v>
      </c>
      <c r="U46" s="348">
        <f t="shared" si="58"/>
        <v>0.20187146109644336</v>
      </c>
      <c r="V46" s="4">
        <f t="shared" si="42"/>
        <v>0.17304112664135052</v>
      </c>
      <c r="W46" s="348">
        <f t="shared" si="10"/>
        <v>2.9943231509307911E-5</v>
      </c>
      <c r="X46" s="348">
        <f t="shared" si="43"/>
        <v>2.9943231509307911E-5</v>
      </c>
      <c r="Y46" s="4">
        <f t="shared" si="44"/>
        <v>0.33510822655501649</v>
      </c>
      <c r="Z46" s="348">
        <f t="shared" si="11"/>
        <v>3.3689257051454477E-4</v>
      </c>
      <c r="AA46" s="525">
        <f t="shared" si="45"/>
        <v>3.3689257051454477E-4</v>
      </c>
      <c r="AB46" s="348">
        <f t="shared" si="46"/>
        <v>0.47500156836093843</v>
      </c>
      <c r="AC46" s="348">
        <f t="shared" si="59"/>
        <v>1.80501191956281E-3</v>
      </c>
      <c r="AD46" s="348">
        <f t="shared" si="60"/>
        <v>3.4139728180680416E-3</v>
      </c>
      <c r="AE46" s="348">
        <f t="shared" si="61"/>
        <v>3.1326609599999992E-2</v>
      </c>
      <c r="AF46" s="348">
        <f t="shared" si="62"/>
        <v>0</v>
      </c>
      <c r="AG46" s="348">
        <f t="shared" si="63"/>
        <v>3.6560112454158113E-2</v>
      </c>
      <c r="AH46" s="348">
        <f t="shared" si="64"/>
        <v>0.47283505746079846</v>
      </c>
      <c r="AI46" s="348">
        <f t="shared" si="65"/>
        <v>1.2296514536017612E-3</v>
      </c>
      <c r="AJ46" s="348">
        <f t="shared" si="66"/>
        <v>5.8839827199999991E-3</v>
      </c>
      <c r="AK46" s="348">
        <f t="shared" si="67"/>
        <v>7.1155590982712033E-3</v>
      </c>
      <c r="AL46" s="348">
        <f t="shared" si="68"/>
        <v>5.8839827199999991E-3</v>
      </c>
      <c r="AM46" s="348">
        <f t="shared" si="69"/>
        <v>1.0104839711999998E-2</v>
      </c>
      <c r="AN46" s="348">
        <f t="shared" si="70"/>
        <v>1.1229987037732697E-2</v>
      </c>
      <c r="AO46" s="348">
        <f t="shared" si="71"/>
        <v>1.452E-5</v>
      </c>
      <c r="AP46" s="348">
        <f t="shared" si="72"/>
        <v>0.10709952</v>
      </c>
      <c r="AQ46" s="348">
        <f t="shared" si="26"/>
        <v>4.9827049411764704E-2</v>
      </c>
      <c r="AR46" s="348">
        <f t="shared" si="73"/>
        <v>2.5963519999999997E-2</v>
      </c>
      <c r="AS46" s="348">
        <f t="shared" si="74"/>
        <v>0.10711404000000001</v>
      </c>
      <c r="AT46" s="348">
        <f t="shared" si="75"/>
        <v>0.38024681792062925</v>
      </c>
      <c r="AU46">
        <f t="shared" si="76"/>
        <v>2.1367499999999997</v>
      </c>
      <c r="AV46" s="526">
        <f t="shared" si="47"/>
        <v>0.84892836764300594</v>
      </c>
      <c r="AW46" s="534">
        <f t="shared" si="77"/>
        <v>2.3776118665242962</v>
      </c>
      <c r="AX46" s="534">
        <f t="shared" si="78"/>
        <v>0.57475859117771622</v>
      </c>
      <c r="AY46" s="9"/>
      <c r="AZ46" s="4">
        <f t="shared" si="48"/>
        <v>84.892836764300597</v>
      </c>
      <c r="BA46" s="348">
        <f t="shared" si="79"/>
        <v>0.20187146109644336</v>
      </c>
      <c r="BB46" s="348">
        <f t="shared" si="80"/>
        <v>5.3780511264429315E-2</v>
      </c>
      <c r="BC46" s="348">
        <f t="shared" si="81"/>
        <v>4.3229306664078114E-2</v>
      </c>
      <c r="BD46" s="348">
        <f t="shared" si="82"/>
        <v>1.0450156203231203E-2</v>
      </c>
      <c r="BE46" s="348">
        <f t="shared" si="83"/>
        <v>1.1229987037732697E-2</v>
      </c>
    </row>
    <row r="47" spans="1:57" ht="15.5" x14ac:dyDescent="0.4">
      <c r="A47" s="433" t="s">
        <v>456</v>
      </c>
      <c r="B47" s="5">
        <f>ThetaJA_Q1</f>
        <v>55</v>
      </c>
      <c r="C47" s="428" t="s">
        <v>202</v>
      </c>
      <c r="D47" s="21" t="s">
        <v>103</v>
      </c>
      <c r="G47">
        <v>38</v>
      </c>
      <c r="H47" s="531">
        <f t="shared" si="49"/>
        <v>6.6</v>
      </c>
      <c r="I47" s="4">
        <f t="shared" si="50"/>
        <v>1</v>
      </c>
      <c r="J47" s="348">
        <f t="shared" si="84"/>
        <v>0.66500000000000004</v>
      </c>
      <c r="K47" s="348">
        <f t="shared" si="51"/>
        <v>0.66500000000000004</v>
      </c>
      <c r="L47" s="4">
        <f t="shared" si="52"/>
        <v>0.36944444444444452</v>
      </c>
      <c r="M47" s="348">
        <f t="shared" si="53"/>
        <v>0.50234736780442824</v>
      </c>
      <c r="N47" s="4">
        <f t="shared" si="54"/>
        <v>0.59946704431614262</v>
      </c>
      <c r="O47" s="4">
        <f t="shared" si="39"/>
        <v>0.96473352215807129</v>
      </c>
      <c r="P47" s="4">
        <f t="shared" si="40"/>
        <v>0.36526647784192873</v>
      </c>
      <c r="Q47" s="4">
        <f t="shared" si="55"/>
        <v>0</v>
      </c>
      <c r="R47" s="4">
        <f t="shared" si="41"/>
        <v>0.68714753008488727</v>
      </c>
      <c r="S47" s="348">
        <f t="shared" si="56"/>
        <v>1.93590408521722E-3</v>
      </c>
      <c r="T47" s="348">
        <f t="shared" si="57"/>
        <v>0.2</v>
      </c>
      <c r="U47" s="348">
        <f t="shared" si="58"/>
        <v>0.20196718321282214</v>
      </c>
      <c r="V47" s="4">
        <f t="shared" si="42"/>
        <v>0.17305122970311715</v>
      </c>
      <c r="W47" s="348">
        <f t="shared" si="10"/>
        <v>2.9946728101761016E-5</v>
      </c>
      <c r="X47" s="348">
        <f t="shared" si="43"/>
        <v>2.9946728101761016E-5</v>
      </c>
      <c r="Y47" s="4">
        <f t="shared" si="44"/>
        <v>0.34356997874550621</v>
      </c>
      <c r="Z47" s="348">
        <f t="shared" si="11"/>
        <v>3.5412099088556281E-4</v>
      </c>
      <c r="AA47" s="525">
        <f t="shared" si="45"/>
        <v>3.5412099088556281E-4</v>
      </c>
      <c r="AB47" s="348">
        <f t="shared" si="46"/>
        <v>0.48702589742598684</v>
      </c>
      <c r="AC47" s="348">
        <f t="shared" si="59"/>
        <v>1.897553798108703E-3</v>
      </c>
      <c r="AD47" s="348">
        <f t="shared" si="60"/>
        <v>3.5062423536915029E-3</v>
      </c>
      <c r="AE47" s="348">
        <f t="shared" si="61"/>
        <v>3.1326609599999992E-2</v>
      </c>
      <c r="AF47" s="348">
        <f t="shared" si="62"/>
        <v>0</v>
      </c>
      <c r="AG47" s="348">
        <f t="shared" si="63"/>
        <v>3.6745745698249288E-2</v>
      </c>
      <c r="AH47" s="348">
        <f t="shared" si="64"/>
        <v>0.48474478165130691</v>
      </c>
      <c r="AI47" s="348">
        <f t="shared" si="65"/>
        <v>1.2923762683599526E-3</v>
      </c>
      <c r="AJ47" s="348">
        <f t="shared" si="66"/>
        <v>6.04300928E-3</v>
      </c>
      <c r="AK47" s="348">
        <f t="shared" si="67"/>
        <v>7.3374717587215144E-3</v>
      </c>
      <c r="AL47" s="348">
        <f t="shared" si="68"/>
        <v>6.04300928E-3</v>
      </c>
      <c r="AM47" s="348">
        <f t="shared" si="69"/>
        <v>1.0377943487999999E-2</v>
      </c>
      <c r="AN47" s="348">
        <f t="shared" si="70"/>
        <v>1.1804293202544027E-2</v>
      </c>
      <c r="AO47" s="348">
        <f t="shared" si="71"/>
        <v>1.452E-5</v>
      </c>
      <c r="AP47" s="348">
        <f t="shared" si="72"/>
        <v>0.10709952</v>
      </c>
      <c r="AQ47" s="348">
        <f t="shared" si="26"/>
        <v>4.9827049411764704E-2</v>
      </c>
      <c r="AR47" s="348">
        <f t="shared" si="73"/>
        <v>2.5963519999999997E-2</v>
      </c>
      <c r="AS47" s="348">
        <f t="shared" si="74"/>
        <v>0.10711404000000001</v>
      </c>
      <c r="AT47" s="348">
        <f t="shared" si="75"/>
        <v>0.38177375435932426</v>
      </c>
      <c r="AU47">
        <f t="shared" si="76"/>
        <v>2.1945000000000001</v>
      </c>
      <c r="AV47" s="526">
        <f t="shared" si="47"/>
        <v>0.85181165095001132</v>
      </c>
      <c r="AW47" s="534">
        <f t="shared" si="77"/>
        <v>2.397735362018111</v>
      </c>
      <c r="AX47" s="534">
        <f t="shared" si="78"/>
        <v>0.59192062103688325</v>
      </c>
      <c r="AY47" s="9"/>
      <c r="AZ47" s="4">
        <f t="shared" si="48"/>
        <v>85.181165095001134</v>
      </c>
      <c r="BA47" s="348">
        <f t="shared" si="79"/>
        <v>0.20196718321282214</v>
      </c>
      <c r="BB47" s="348">
        <f t="shared" si="80"/>
        <v>5.4461160944970805E-2</v>
      </c>
      <c r="BC47" s="348">
        <f t="shared" si="81"/>
        <v>4.3595188400329291E-2</v>
      </c>
      <c r="BD47" s="348">
        <f t="shared" si="82"/>
        <v>1.0762193109761514E-2</v>
      </c>
      <c r="BE47" s="348">
        <f t="shared" si="83"/>
        <v>1.1804293202544027E-2</v>
      </c>
    </row>
    <row r="48" spans="1:57" ht="13" x14ac:dyDescent="0.3">
      <c r="A48" s="24" t="s">
        <v>509</v>
      </c>
      <c r="B48" s="15" t="s">
        <v>111</v>
      </c>
      <c r="C48" s="24" t="s">
        <v>76</v>
      </c>
      <c r="D48" s="17" t="s">
        <v>107</v>
      </c>
      <c r="G48">
        <v>39</v>
      </c>
      <c r="H48" s="531">
        <f t="shared" si="49"/>
        <v>6.6</v>
      </c>
      <c r="I48" s="4">
        <f t="shared" si="50"/>
        <v>1</v>
      </c>
      <c r="J48" s="348">
        <f t="shared" si="84"/>
        <v>0.6825</v>
      </c>
      <c r="K48" s="348">
        <f t="shared" si="51"/>
        <v>0.6825</v>
      </c>
      <c r="L48" s="4">
        <f t="shared" si="52"/>
        <v>0.37916666666666671</v>
      </c>
      <c r="M48" s="348">
        <f t="shared" si="53"/>
        <v>0.50240899724788057</v>
      </c>
      <c r="N48" s="4">
        <f t="shared" si="54"/>
        <v>0.59950202413104625</v>
      </c>
      <c r="O48" s="4">
        <f t="shared" si="39"/>
        <v>0.98225101206552312</v>
      </c>
      <c r="P48" s="4">
        <f t="shared" si="40"/>
        <v>0.38274898793447687</v>
      </c>
      <c r="Q48" s="4">
        <f t="shared" si="55"/>
        <v>0</v>
      </c>
      <c r="R48" s="4">
        <f t="shared" si="41"/>
        <v>0.70409976074282388</v>
      </c>
      <c r="S48" s="348">
        <f t="shared" si="56"/>
        <v>2.0326015396202172E-3</v>
      </c>
      <c r="T48" s="348">
        <f t="shared" si="57"/>
        <v>0.2</v>
      </c>
      <c r="U48" s="348">
        <f t="shared" si="58"/>
        <v>0.20206545902466963</v>
      </c>
      <c r="V48" s="4">
        <f t="shared" si="42"/>
        <v>0.17306132750589254</v>
      </c>
      <c r="W48" s="348">
        <f t="shared" si="10"/>
        <v>2.9950223078101797E-5</v>
      </c>
      <c r="X48" s="348">
        <f t="shared" si="43"/>
        <v>2.9950223078101797E-5</v>
      </c>
      <c r="Y48" s="4">
        <f t="shared" si="44"/>
        <v>0.35204579426827159</v>
      </c>
      <c r="Z48" s="348">
        <f t="shared" si="11"/>
        <v>3.7180872378593462E-4</v>
      </c>
      <c r="AA48" s="525">
        <f t="shared" si="45"/>
        <v>3.7180872378593462E-4</v>
      </c>
      <c r="AB48" s="348">
        <f t="shared" si="46"/>
        <v>0.49907165068586595</v>
      </c>
      <c r="AC48" s="348">
        <f t="shared" si="59"/>
        <v>1.9925801001465199E-3</v>
      </c>
      <c r="AD48" s="348">
        <f t="shared" si="60"/>
        <v>3.5985118893149637E-3</v>
      </c>
      <c r="AE48" s="348">
        <f t="shared" si="61"/>
        <v>3.1326609599999992E-2</v>
      </c>
      <c r="AF48" s="348">
        <f t="shared" si="62"/>
        <v>0</v>
      </c>
      <c r="AG48" s="348">
        <f t="shared" si="63"/>
        <v>3.6933892211962818E-2</v>
      </c>
      <c r="AH48" s="348">
        <f t="shared" si="64"/>
        <v>0.49667289090485583</v>
      </c>
      <c r="AI48" s="348">
        <f t="shared" si="65"/>
        <v>1.3567617830788274E-3</v>
      </c>
      <c r="AJ48" s="348">
        <f t="shared" si="66"/>
        <v>6.2020358399999991E-3</v>
      </c>
      <c r="AK48" s="348">
        <f t="shared" si="67"/>
        <v>7.5610545040328131E-3</v>
      </c>
      <c r="AL48" s="348">
        <f t="shared" si="68"/>
        <v>6.2020358399999991E-3</v>
      </c>
      <c r="AM48" s="348">
        <f t="shared" si="69"/>
        <v>1.0651047263999998E-2</v>
      </c>
      <c r="AN48" s="348">
        <f t="shared" si="70"/>
        <v>1.2393911826952547E-2</v>
      </c>
      <c r="AO48" s="348">
        <f t="shared" si="71"/>
        <v>1.452E-5</v>
      </c>
      <c r="AP48" s="348">
        <f t="shared" si="72"/>
        <v>0.10709952</v>
      </c>
      <c r="AQ48" s="348">
        <f t="shared" si="26"/>
        <v>4.9827049411764704E-2</v>
      </c>
      <c r="AR48" s="348">
        <f t="shared" si="73"/>
        <v>2.5963519999999997E-2</v>
      </c>
      <c r="AS48" s="348">
        <f t="shared" si="74"/>
        <v>0.10711404000000001</v>
      </c>
      <c r="AT48" s="348">
        <f t="shared" si="75"/>
        <v>0.38332319961848188</v>
      </c>
      <c r="AU48">
        <f t="shared" si="76"/>
        <v>2.2522500000000001</v>
      </c>
      <c r="AV48" s="526">
        <f t="shared" si="47"/>
        <v>0.85455793841204231</v>
      </c>
      <c r="AW48" s="534">
        <f t="shared" si="77"/>
        <v>2.4179970873411549</v>
      </c>
      <c r="AX48" s="534">
        <f t="shared" si="78"/>
        <v>0.60917450556340458</v>
      </c>
      <c r="AY48" s="9"/>
      <c r="AZ48" s="4">
        <f t="shared" si="48"/>
        <v>85.455793841204226</v>
      </c>
      <c r="BA48" s="348">
        <f t="shared" si="79"/>
        <v>0.20206545902466963</v>
      </c>
      <c r="BB48" s="348">
        <f t="shared" si="80"/>
        <v>5.5145993979995631E-2</v>
      </c>
      <c r="BC48" s="348">
        <f t="shared" si="81"/>
        <v>4.3963583406202815E-2</v>
      </c>
      <c r="BD48" s="348">
        <f t="shared" si="82"/>
        <v>1.1075900101152811E-2</v>
      </c>
      <c r="BE48" s="348">
        <f t="shared" si="83"/>
        <v>1.2393911826952547E-2</v>
      </c>
    </row>
    <row r="49" spans="1:64" x14ac:dyDescent="0.25">
      <c r="A49" s="23" t="s">
        <v>68</v>
      </c>
      <c r="B49" s="5">
        <f>Rdson2*1000</f>
        <v>5.5</v>
      </c>
      <c r="C49" s="429" t="s">
        <v>450</v>
      </c>
      <c r="D49" s="427" t="s">
        <v>510</v>
      </c>
      <c r="G49">
        <v>40</v>
      </c>
      <c r="H49" s="531">
        <f t="shared" si="49"/>
        <v>6.6</v>
      </c>
      <c r="I49" s="4">
        <f t="shared" si="50"/>
        <v>1</v>
      </c>
      <c r="J49" s="348">
        <f t="shared" si="84"/>
        <v>0.7</v>
      </c>
      <c r="K49" s="348">
        <f t="shared" si="51"/>
        <v>0.7</v>
      </c>
      <c r="L49" s="4">
        <f t="shared" si="52"/>
        <v>0.38888888888888884</v>
      </c>
      <c r="M49" s="348">
        <f t="shared" si="53"/>
        <v>0.50247061935532633</v>
      </c>
      <c r="N49" s="4">
        <f t="shared" si="54"/>
        <v>0.59953698573152314</v>
      </c>
      <c r="O49" s="4">
        <f t="shared" si="39"/>
        <v>0.99976849286576153</v>
      </c>
      <c r="P49" s="4">
        <f t="shared" si="40"/>
        <v>0.40023150713423838</v>
      </c>
      <c r="Q49" s="4">
        <f t="shared" si="55"/>
        <v>0</v>
      </c>
      <c r="R49" s="4">
        <f t="shared" si="41"/>
        <v>0.72107816250274603</v>
      </c>
      <c r="S49" s="348">
        <f t="shared" si="56"/>
        <v>2.1318102373971801E-3</v>
      </c>
      <c r="T49" s="348">
        <f t="shared" si="57"/>
        <v>0.2</v>
      </c>
      <c r="U49" s="348">
        <f t="shared" si="58"/>
        <v>0.20216628865050132</v>
      </c>
      <c r="V49" s="4">
        <f t="shared" si="42"/>
        <v>0.17307142005061588</v>
      </c>
      <c r="W49" s="348">
        <f t="shared" si="10"/>
        <v>2.9953716438336722E-5</v>
      </c>
      <c r="X49" s="348">
        <f t="shared" si="43"/>
        <v>2.9953716438336722E-5</v>
      </c>
      <c r="Y49" s="4">
        <f t="shared" si="44"/>
        <v>0.36053467979224652</v>
      </c>
      <c r="Z49" s="348">
        <f t="shared" si="11"/>
        <v>3.8995576599869318E-4</v>
      </c>
      <c r="AA49" s="525">
        <f t="shared" si="45"/>
        <v>3.8995576599869318E-4</v>
      </c>
      <c r="AB49" s="348">
        <f t="shared" si="46"/>
        <v>0.51113742372758686</v>
      </c>
      <c r="AC49" s="348">
        <f t="shared" si="59"/>
        <v>2.0900917274789973E-3</v>
      </c>
      <c r="AD49" s="348">
        <f t="shared" si="60"/>
        <v>3.6907814249384236E-3</v>
      </c>
      <c r="AE49" s="348">
        <f t="shared" si="61"/>
        <v>3.1326609599999992E-2</v>
      </c>
      <c r="AF49" s="348">
        <f t="shared" si="62"/>
        <v>0</v>
      </c>
      <c r="AG49" s="348">
        <f t="shared" si="63"/>
        <v>3.7124553371232674E-2</v>
      </c>
      <c r="AH49" s="348">
        <f t="shared" si="64"/>
        <v>0.50861798090852228</v>
      </c>
      <c r="AI49" s="348">
        <f t="shared" si="65"/>
        <v>1.4228073777690405E-3</v>
      </c>
      <c r="AJ49" s="348">
        <f t="shared" si="66"/>
        <v>6.3610623999999991E-3</v>
      </c>
      <c r="AK49" s="348">
        <f t="shared" si="67"/>
        <v>7.7863070290880836E-3</v>
      </c>
      <c r="AL49" s="348">
        <f t="shared" si="68"/>
        <v>6.3610623999999991E-3</v>
      </c>
      <c r="AM49" s="348">
        <f t="shared" si="69"/>
        <v>1.0924151039999996E-2</v>
      </c>
      <c r="AN49" s="348">
        <f t="shared" si="70"/>
        <v>1.2998842910958416E-2</v>
      </c>
      <c r="AO49" s="348">
        <f t="shared" si="71"/>
        <v>1.452E-5</v>
      </c>
      <c r="AP49" s="348">
        <f t="shared" si="72"/>
        <v>0.10709952</v>
      </c>
      <c r="AQ49" s="348">
        <f t="shared" si="26"/>
        <v>4.9827049411764704E-2</v>
      </c>
      <c r="AR49" s="348">
        <f t="shared" si="73"/>
        <v>2.5963519999999997E-2</v>
      </c>
      <c r="AS49" s="348">
        <f t="shared" si="74"/>
        <v>0.10711404000000001</v>
      </c>
      <c r="AT49" s="348">
        <f t="shared" si="75"/>
        <v>0.38489515488421755</v>
      </c>
      <c r="AU49">
        <f t="shared" si="76"/>
        <v>2.3099999999999996</v>
      </c>
      <c r="AV49" s="526">
        <f t="shared" si="47"/>
        <v>0.85717620435561837</v>
      </c>
      <c r="AW49" s="534">
        <f t="shared" si="77"/>
        <v>2.4383971181697968</v>
      </c>
      <c r="AX49" s="534">
        <f t="shared" si="78"/>
        <v>0.6265202279758445</v>
      </c>
      <c r="AY49" s="9"/>
      <c r="AZ49" s="4">
        <f t="shared" si="48"/>
        <v>85.717620435561841</v>
      </c>
      <c r="BA49" s="348">
        <f t="shared" si="79"/>
        <v>0.20216628865050132</v>
      </c>
      <c r="BB49" s="348">
        <f t="shared" si="80"/>
        <v>5.5835011440320756E-2</v>
      </c>
      <c r="BC49" s="348">
        <f t="shared" si="81"/>
        <v>4.4334493057632672E-2</v>
      </c>
      <c r="BD49" s="348">
        <f t="shared" si="82"/>
        <v>1.1391276872288083E-2</v>
      </c>
      <c r="BE49" s="348">
        <f t="shared" si="83"/>
        <v>1.2998842910958416E-2</v>
      </c>
    </row>
    <row r="50" spans="1:64" x14ac:dyDescent="0.25">
      <c r="A50" s="23" t="s">
        <v>80</v>
      </c>
      <c r="B50" s="5">
        <f>RdsonBotTc*1000000</f>
        <v>4000</v>
      </c>
      <c r="C50" s="427" t="s">
        <v>81</v>
      </c>
      <c r="D50" s="21" t="s">
        <v>104</v>
      </c>
      <c r="G50">
        <v>41</v>
      </c>
      <c r="H50" s="531">
        <f t="shared" si="49"/>
        <v>6.6</v>
      </c>
      <c r="I50" s="4">
        <f t="shared" si="50"/>
        <v>1</v>
      </c>
      <c r="J50" s="348">
        <f t="shared" si="84"/>
        <v>0.71750000000000003</v>
      </c>
      <c r="K50" s="348">
        <f t="shared" si="51"/>
        <v>0.71750000000000003</v>
      </c>
      <c r="L50" s="4">
        <f t="shared" si="52"/>
        <v>0.39861111111111114</v>
      </c>
      <c r="M50" s="348">
        <f t="shared" si="53"/>
        <v>0.50253223412807491</v>
      </c>
      <c r="N50" s="4">
        <f t="shared" si="54"/>
        <v>0.59957192912082458</v>
      </c>
      <c r="O50" s="4">
        <f t="shared" si="39"/>
        <v>1.0172859645604122</v>
      </c>
      <c r="P50" s="4">
        <f t="shared" si="40"/>
        <v>0.41771403543958774</v>
      </c>
      <c r="Q50" s="4">
        <f t="shared" si="55"/>
        <v>0</v>
      </c>
      <c r="R50" s="4">
        <f t="shared" si="41"/>
        <v>0.73808092929059765</v>
      </c>
      <c r="S50" s="348">
        <f t="shared" si="56"/>
        <v>2.2335301785481355E-3</v>
      </c>
      <c r="T50" s="348">
        <f t="shared" si="57"/>
        <v>0.2</v>
      </c>
      <c r="U50" s="348">
        <f t="shared" si="58"/>
        <v>0.20226967221191539</v>
      </c>
      <c r="V50" s="4">
        <f t="shared" si="42"/>
        <v>0.17308150733822567</v>
      </c>
      <c r="W50" s="348">
        <f t="shared" si="10"/>
        <v>2.9957208182472266E-5</v>
      </c>
      <c r="X50" s="348">
        <f t="shared" si="43"/>
        <v>2.9957208182472266E-5</v>
      </c>
      <c r="Y50" s="4">
        <f t="shared" si="44"/>
        <v>0.36903573188527222</v>
      </c>
      <c r="Z50" s="348">
        <f t="shared" si="11"/>
        <v>4.0856211422429561E-4</v>
      </c>
      <c r="AA50" s="525">
        <f t="shared" si="45"/>
        <v>4.0856211422429561E-4</v>
      </c>
      <c r="AB50" s="348">
        <f t="shared" si="46"/>
        <v>0.52322193924927674</v>
      </c>
      <c r="AC50" s="348">
        <f t="shared" si="59"/>
        <v>2.1900895816941907E-3</v>
      </c>
      <c r="AD50" s="348">
        <f t="shared" si="60"/>
        <v>3.7830509605618848E-3</v>
      </c>
      <c r="AE50" s="348">
        <f t="shared" si="61"/>
        <v>3.1326609599999992E-2</v>
      </c>
      <c r="AF50" s="348">
        <f t="shared" si="62"/>
        <v>0</v>
      </c>
      <c r="AG50" s="348">
        <f t="shared" si="63"/>
        <v>3.731773056029683E-2</v>
      </c>
      <c r="AH50" s="348">
        <f t="shared" si="64"/>
        <v>0.52057877451035051</v>
      </c>
      <c r="AI50" s="348">
        <f t="shared" si="65"/>
        <v>1.4905124325888409E-3</v>
      </c>
      <c r="AJ50" s="348">
        <f t="shared" si="66"/>
        <v>6.520088959999999E-3</v>
      </c>
      <c r="AK50" s="348">
        <f t="shared" si="67"/>
        <v>8.0132290324384063E-3</v>
      </c>
      <c r="AL50" s="348">
        <f t="shared" si="68"/>
        <v>6.520088959999999E-3</v>
      </c>
      <c r="AM50" s="348">
        <f t="shared" si="69"/>
        <v>1.1197254815999999E-2</v>
      </c>
      <c r="AN50" s="348">
        <f t="shared" si="70"/>
        <v>1.3619086454561806E-2</v>
      </c>
      <c r="AO50" s="348">
        <f t="shared" si="71"/>
        <v>1.452E-5</v>
      </c>
      <c r="AP50" s="348">
        <f t="shared" si="72"/>
        <v>0.10709952</v>
      </c>
      <c r="AQ50" s="348">
        <f t="shared" si="26"/>
        <v>4.9827049411764704E-2</v>
      </c>
      <c r="AR50" s="348">
        <f t="shared" si="73"/>
        <v>2.5963519999999997E-2</v>
      </c>
      <c r="AS50" s="348">
        <f t="shared" si="74"/>
        <v>0.10711404000000001</v>
      </c>
      <c r="AT50" s="348">
        <f t="shared" si="75"/>
        <v>0.38648962135761916</v>
      </c>
      <c r="AU50">
        <f t="shared" si="76"/>
        <v>2.36775</v>
      </c>
      <c r="AV50" s="526">
        <f t="shared" si="47"/>
        <v>0.85967465635139229</v>
      </c>
      <c r="AW50" s="534">
        <f t="shared" si="77"/>
        <v>2.4589355306371257</v>
      </c>
      <c r="AX50" s="534">
        <f t="shared" si="78"/>
        <v>0.64395777169451229</v>
      </c>
      <c r="AY50" s="9"/>
      <c r="AZ50" s="4">
        <f t="shared" si="48"/>
        <v>85.967465635139234</v>
      </c>
      <c r="BA50" s="348">
        <f t="shared" si="79"/>
        <v>0.20226967221191539</v>
      </c>
      <c r="BB50" s="348">
        <f t="shared" si="80"/>
        <v>5.652821440873524E-2</v>
      </c>
      <c r="BC50" s="348">
        <f t="shared" si="81"/>
        <v>4.4707918738856829E-2</v>
      </c>
      <c r="BD50" s="348">
        <f t="shared" si="82"/>
        <v>1.1708323121718406E-2</v>
      </c>
      <c r="BE50" s="348">
        <f t="shared" si="83"/>
        <v>1.3619086454561806E-2</v>
      </c>
    </row>
    <row r="51" spans="1:64" x14ac:dyDescent="0.25">
      <c r="A51" s="23" t="s">
        <v>67</v>
      </c>
      <c r="B51" s="5">
        <f>Qg_Q2*1000000000</f>
        <v>20</v>
      </c>
      <c r="C51" s="427" t="s">
        <v>65</v>
      </c>
      <c r="D51" s="21" t="s">
        <v>99</v>
      </c>
      <c r="G51">
        <v>42</v>
      </c>
      <c r="H51" s="531">
        <f t="shared" si="49"/>
        <v>6.6</v>
      </c>
      <c r="I51" s="4">
        <f t="shared" si="50"/>
        <v>1</v>
      </c>
      <c r="J51" s="348">
        <f t="shared" si="84"/>
        <v>0.73499999999999999</v>
      </c>
      <c r="K51" s="348">
        <f t="shared" si="51"/>
        <v>0.73499999999999999</v>
      </c>
      <c r="L51" s="4">
        <f t="shared" si="52"/>
        <v>0.40833333333333338</v>
      </c>
      <c r="M51" s="348">
        <f t="shared" si="53"/>
        <v>0.50259384156743614</v>
      </c>
      <c r="N51" s="4">
        <f t="shared" si="54"/>
        <v>0.59960685430220251</v>
      </c>
      <c r="O51" s="4">
        <f t="shared" si="39"/>
        <v>1.0348034271511013</v>
      </c>
      <c r="P51" s="4">
        <f t="shared" si="40"/>
        <v>0.43519657284889873</v>
      </c>
      <c r="Q51" s="4">
        <f t="shared" si="55"/>
        <v>0</v>
      </c>
      <c r="R51" s="4">
        <f t="shared" si="41"/>
        <v>0.75510641522272548</v>
      </c>
      <c r="S51" s="348">
        <f t="shared" si="56"/>
        <v>2.3377613630731118E-3</v>
      </c>
      <c r="T51" s="348">
        <f t="shared" si="57"/>
        <v>0.2</v>
      </c>
      <c r="U51" s="348">
        <f t="shared" si="58"/>
        <v>0.20237560983359293</v>
      </c>
      <c r="V51" s="4">
        <f t="shared" si="42"/>
        <v>0.17309158936966068</v>
      </c>
      <c r="W51" s="348">
        <f t="shared" si="10"/>
        <v>2.9960698310515228E-5</v>
      </c>
      <c r="X51" s="348">
        <f t="shared" si="43"/>
        <v>2.9960698310515228E-5</v>
      </c>
      <c r="Y51" s="4">
        <f t="shared" si="44"/>
        <v>0.37754812721059028</v>
      </c>
      <c r="Z51" s="348">
        <f t="shared" si="11"/>
        <v>4.2762776508067224E-4</v>
      </c>
      <c r="AA51" s="525">
        <f t="shared" si="45"/>
        <v>4.2762776508067224E-4</v>
      </c>
      <c r="AB51" s="348">
        <f t="shared" si="46"/>
        <v>0.5353240331992325</v>
      </c>
      <c r="AC51" s="348">
        <f t="shared" si="59"/>
        <v>2.2925745641655436E-3</v>
      </c>
      <c r="AD51" s="348">
        <f t="shared" si="60"/>
        <v>3.8753204961853452E-3</v>
      </c>
      <c r="AE51" s="348">
        <f t="shared" si="61"/>
        <v>3.1326609599999992E-2</v>
      </c>
      <c r="AF51" s="348">
        <f t="shared" si="62"/>
        <v>0</v>
      </c>
      <c r="AG51" s="348">
        <f t="shared" si="63"/>
        <v>3.7513425171710829E-2</v>
      </c>
      <c r="AH51" s="348">
        <f t="shared" si="64"/>
        <v>0.5325541078517958</v>
      </c>
      <c r="AI51" s="348">
        <f t="shared" si="65"/>
        <v>1.5598763278440219E-3</v>
      </c>
      <c r="AJ51" s="348">
        <f t="shared" si="66"/>
        <v>6.679115519999999E-3</v>
      </c>
      <c r="AK51" s="348">
        <f t="shared" si="67"/>
        <v>8.2418202162998482E-3</v>
      </c>
      <c r="AL51" s="348">
        <f t="shared" si="68"/>
        <v>6.679115519999999E-3</v>
      </c>
      <c r="AM51" s="348">
        <f t="shared" si="69"/>
        <v>1.1470358591999998E-2</v>
      </c>
      <c r="AN51" s="348">
        <f t="shared" si="70"/>
        <v>1.4254642457762879E-2</v>
      </c>
      <c r="AO51" s="348">
        <f t="shared" si="71"/>
        <v>1.452E-5</v>
      </c>
      <c r="AP51" s="348">
        <f t="shared" si="72"/>
        <v>0.10709952</v>
      </c>
      <c r="AQ51" s="348">
        <f t="shared" si="26"/>
        <v>4.9827049411764704E-2</v>
      </c>
      <c r="AR51" s="348">
        <f t="shared" si="73"/>
        <v>2.5963519999999997E-2</v>
      </c>
      <c r="AS51" s="348">
        <f t="shared" si="74"/>
        <v>0.10711404000000001</v>
      </c>
      <c r="AT51" s="348">
        <f t="shared" si="75"/>
        <v>0.38810660025475768</v>
      </c>
      <c r="AU51">
        <f t="shared" si="76"/>
        <v>2.4255</v>
      </c>
      <c r="AV51" s="526">
        <f t="shared" si="47"/>
        <v>0.86206081538918178</v>
      </c>
      <c r="AW51" s="534">
        <f t="shared" si="77"/>
        <v>2.4796124013336955</v>
      </c>
      <c r="AX51" s="534">
        <f t="shared" si="78"/>
        <v>0.66148712034129153</v>
      </c>
      <c r="AY51" s="9"/>
      <c r="AZ51" s="4">
        <f t="shared" si="48"/>
        <v>86.206081538918184</v>
      </c>
      <c r="BA51" s="348">
        <f t="shared" si="79"/>
        <v>0.20237560983359293</v>
      </c>
      <c r="BB51" s="348">
        <f t="shared" si="80"/>
        <v>5.7225603980010677E-2</v>
      </c>
      <c r="BC51" s="348">
        <f t="shared" si="81"/>
        <v>4.5083861842430829E-2</v>
      </c>
      <c r="BD51" s="348">
        <f t="shared" si="82"/>
        <v>1.2027038551659847E-2</v>
      </c>
      <c r="BE51" s="348">
        <f t="shared" si="83"/>
        <v>1.4254642457762879E-2</v>
      </c>
    </row>
    <row r="52" spans="1:64" x14ac:dyDescent="0.25">
      <c r="A52" s="23" t="s">
        <v>91</v>
      </c>
      <c r="B52" s="5">
        <f>Rgate2</f>
        <v>1.8</v>
      </c>
      <c r="C52" s="431" t="s">
        <v>116</v>
      </c>
      <c r="D52" s="21" t="s">
        <v>100</v>
      </c>
      <c r="G52">
        <v>43</v>
      </c>
      <c r="H52" s="531">
        <f t="shared" si="49"/>
        <v>6.6</v>
      </c>
      <c r="I52" s="4">
        <f t="shared" si="50"/>
        <v>1</v>
      </c>
      <c r="J52" s="348">
        <f t="shared" si="84"/>
        <v>0.75249999999999995</v>
      </c>
      <c r="K52" s="348">
        <f t="shared" si="51"/>
        <v>0.75249999999999995</v>
      </c>
      <c r="L52" s="4">
        <f t="shared" si="52"/>
        <v>0.41805555555555551</v>
      </c>
      <c r="M52" s="348">
        <f t="shared" si="53"/>
        <v>0.50265544167471898</v>
      </c>
      <c r="N52" s="4">
        <f t="shared" si="54"/>
        <v>0.599641761278907</v>
      </c>
      <c r="O52" s="4">
        <f t="shared" si="39"/>
        <v>1.0523208806394535</v>
      </c>
      <c r="P52" s="4">
        <f t="shared" si="40"/>
        <v>0.45267911936054644</v>
      </c>
      <c r="Q52" s="4">
        <f t="shared" si="55"/>
        <v>0</v>
      </c>
      <c r="R52" s="4">
        <f t="shared" si="41"/>
        <v>0.77215311747248183</v>
      </c>
      <c r="S52" s="348">
        <f t="shared" si="56"/>
        <v>2.4445037909721361E-3</v>
      </c>
      <c r="T52" s="348">
        <f t="shared" si="57"/>
        <v>0.2</v>
      </c>
      <c r="U52" s="348">
        <f t="shared" si="58"/>
        <v>0.20248410164329841</v>
      </c>
      <c r="V52" s="4">
        <f t="shared" si="42"/>
        <v>0.17310166614585915</v>
      </c>
      <c r="W52" s="348">
        <f t="shared" si="10"/>
        <v>2.996418682247248E-5</v>
      </c>
      <c r="X52" s="348">
        <f t="shared" si="43"/>
        <v>2.996418682247248E-5</v>
      </c>
      <c r="Y52" s="4">
        <f t="shared" si="44"/>
        <v>0.38607111396014288</v>
      </c>
      <c r="Z52" s="348">
        <f t="shared" si="11"/>
        <v>4.4715271510327692E-4</v>
      </c>
      <c r="AA52" s="525">
        <f t="shared" si="45"/>
        <v>4.4715271510327692E-4</v>
      </c>
      <c r="AB52" s="348">
        <f t="shared" si="46"/>
        <v>0.54744264266358877</v>
      </c>
      <c r="AC52" s="348">
        <f t="shared" si="59"/>
        <v>2.3975475760519499E-3</v>
      </c>
      <c r="AD52" s="348">
        <f t="shared" si="60"/>
        <v>3.9675900318088047E-3</v>
      </c>
      <c r="AE52" s="348">
        <f t="shared" si="61"/>
        <v>3.1326609599999992E-2</v>
      </c>
      <c r="AF52" s="348">
        <f t="shared" si="62"/>
        <v>0</v>
      </c>
      <c r="AG52" s="348">
        <f t="shared" si="63"/>
        <v>3.7711638606361265E-2</v>
      </c>
      <c r="AH52" s="348">
        <f t="shared" si="64"/>
        <v>0.54454291824977263</v>
      </c>
      <c r="AI52" s="348">
        <f t="shared" si="65"/>
        <v>1.630898443987882E-3</v>
      </c>
      <c r="AJ52" s="348">
        <f t="shared" si="66"/>
        <v>6.838142079999999E-3</v>
      </c>
      <c r="AK52" s="348">
        <f t="shared" si="67"/>
        <v>8.4720802865503493E-3</v>
      </c>
      <c r="AL52" s="348">
        <f t="shared" si="68"/>
        <v>6.838142079999999E-3</v>
      </c>
      <c r="AM52" s="348">
        <f t="shared" si="69"/>
        <v>1.1743462367999996E-2</v>
      </c>
      <c r="AN52" s="348">
        <f t="shared" si="70"/>
        <v>1.4905510920561808E-2</v>
      </c>
      <c r="AO52" s="348">
        <f t="shared" si="71"/>
        <v>1.452E-5</v>
      </c>
      <c r="AP52" s="348">
        <f t="shared" si="72"/>
        <v>0.10709952</v>
      </c>
      <c r="AQ52" s="348">
        <f t="shared" si="26"/>
        <v>4.9827049411764704E-2</v>
      </c>
      <c r="AR52" s="348">
        <f t="shared" si="73"/>
        <v>2.5963519999999997E-2</v>
      </c>
      <c r="AS52" s="348">
        <f t="shared" si="74"/>
        <v>0.10711404000000001</v>
      </c>
      <c r="AT52" s="348">
        <f t="shared" si="75"/>
        <v>0.38974609280669764</v>
      </c>
      <c r="AU52">
        <f t="shared" si="76"/>
        <v>2.4832499999999995</v>
      </c>
      <c r="AV52" s="526">
        <f t="shared" si="47"/>
        <v>0.8643415861989755</v>
      </c>
      <c r="AW52" s="534">
        <f t="shared" si="77"/>
        <v>2.5004278073082697</v>
      </c>
      <c r="AX52" s="534">
        <f t="shared" si="78"/>
        <v>0.67910825773946915</v>
      </c>
      <c r="AY52" s="9"/>
      <c r="AZ52" s="4">
        <f t="shared" si="48"/>
        <v>86.434158619897545</v>
      </c>
      <c r="BA52" s="348">
        <f t="shared" si="79"/>
        <v>0.20248410164329841</v>
      </c>
      <c r="BB52" s="348">
        <f t="shared" si="80"/>
        <v>5.7927181260911613E-2</v>
      </c>
      <c r="BC52" s="348">
        <f t="shared" si="81"/>
        <v>4.5462323769241267E-2</v>
      </c>
      <c r="BD52" s="348">
        <f t="shared" si="82"/>
        <v>1.2347422867990348E-2</v>
      </c>
      <c r="BE52" s="348">
        <f t="shared" si="83"/>
        <v>1.4905510920561808E-2</v>
      </c>
    </row>
    <row r="53" spans="1:64" x14ac:dyDescent="0.25">
      <c r="A53" s="23" t="s">
        <v>72</v>
      </c>
      <c r="B53" s="5">
        <f>Vsd_Q2</f>
        <v>0.8</v>
      </c>
      <c r="C53" s="427" t="s">
        <v>0</v>
      </c>
      <c r="D53" s="21" t="s">
        <v>105</v>
      </c>
      <c r="G53">
        <v>44</v>
      </c>
      <c r="H53" s="531">
        <f t="shared" si="49"/>
        <v>6.6</v>
      </c>
      <c r="I53" s="4">
        <f t="shared" si="50"/>
        <v>1</v>
      </c>
      <c r="J53" s="348">
        <f t="shared" si="84"/>
        <v>0.77</v>
      </c>
      <c r="K53" s="348">
        <f t="shared" si="51"/>
        <v>0.77</v>
      </c>
      <c r="L53" s="4">
        <f t="shared" si="52"/>
        <v>0.42777777777777781</v>
      </c>
      <c r="M53" s="348">
        <f t="shared" si="53"/>
        <v>0.50271703445123217</v>
      </c>
      <c r="N53" s="4">
        <f t="shared" si="54"/>
        <v>0.5996766500541878</v>
      </c>
      <c r="O53" s="4">
        <f t="shared" si="39"/>
        <v>1.069838325027094</v>
      </c>
      <c r="P53" s="4">
        <f t="shared" si="40"/>
        <v>0.47016167497290612</v>
      </c>
      <c r="Q53" s="4">
        <f t="shared" si="55"/>
        <v>0</v>
      </c>
      <c r="R53" s="4">
        <f t="shared" si="41"/>
        <v>0.78921966125936771</v>
      </c>
      <c r="S53" s="348">
        <f t="shared" si="56"/>
        <v>2.5537574622452393E-3</v>
      </c>
      <c r="T53" s="348">
        <f t="shared" si="57"/>
        <v>0.2</v>
      </c>
      <c r="U53" s="348">
        <f t="shared" si="58"/>
        <v>0.2025951477718802</v>
      </c>
      <c r="V53" s="4">
        <f t="shared" si="42"/>
        <v>0.17311173766775917</v>
      </c>
      <c r="W53" s="348">
        <f t="shared" si="10"/>
        <v>2.9967673718351069E-5</v>
      </c>
      <c r="X53" s="348">
        <f t="shared" si="43"/>
        <v>2.9967673718351069E-5</v>
      </c>
      <c r="Y53" s="4">
        <f t="shared" si="44"/>
        <v>0.39460400434914317</v>
      </c>
      <c r="Z53" s="348">
        <f t="shared" si="11"/>
        <v>4.6713696074513584E-4</v>
      </c>
      <c r="AA53" s="525">
        <f t="shared" si="45"/>
        <v>4.6713696074513584E-4</v>
      </c>
      <c r="AB53" s="348">
        <f t="shared" si="46"/>
        <v>0.55957679525443793</v>
      </c>
      <c r="AC53" s="348">
        <f t="shared" si="59"/>
        <v>2.5050095182978173E-3</v>
      </c>
      <c r="AD53" s="348">
        <f t="shared" si="60"/>
        <v>4.0598595674322668E-3</v>
      </c>
      <c r="AE53" s="348">
        <f t="shared" si="61"/>
        <v>3.1326609599999992E-2</v>
      </c>
      <c r="AF53" s="348">
        <f t="shared" si="62"/>
        <v>0</v>
      </c>
      <c r="AG53" s="348">
        <f t="shared" si="63"/>
        <v>3.7912372273479468E-2</v>
      </c>
      <c r="AH53" s="348">
        <f t="shared" si="64"/>
        <v>0.55654423357997695</v>
      </c>
      <c r="AI53" s="348">
        <f t="shared" si="65"/>
        <v>1.7035781616211816E-3</v>
      </c>
      <c r="AJ53" s="348">
        <f t="shared" si="66"/>
        <v>6.997168639999999E-3</v>
      </c>
      <c r="AK53" s="348">
        <f t="shared" si="67"/>
        <v>8.7040089527266728E-3</v>
      </c>
      <c r="AL53" s="348">
        <f t="shared" si="68"/>
        <v>6.997168639999999E-3</v>
      </c>
      <c r="AM53" s="348">
        <f t="shared" si="69"/>
        <v>1.2016566143999999E-2</v>
      </c>
      <c r="AN53" s="348">
        <f t="shared" si="70"/>
        <v>1.557169184295878E-2</v>
      </c>
      <c r="AO53" s="348">
        <f t="shared" si="71"/>
        <v>1.452E-5</v>
      </c>
      <c r="AP53" s="348">
        <f t="shared" si="72"/>
        <v>0.10709952</v>
      </c>
      <c r="AQ53" s="348">
        <f t="shared" si="26"/>
        <v>4.9827049411764704E-2</v>
      </c>
      <c r="AR53" s="348">
        <f t="shared" si="73"/>
        <v>2.5963519999999997E-2</v>
      </c>
      <c r="AS53" s="348">
        <f t="shared" si="74"/>
        <v>0.10711404000000001</v>
      </c>
      <c r="AT53" s="348">
        <f t="shared" si="75"/>
        <v>0.39140810025950856</v>
      </c>
      <c r="AU53">
        <f t="shared" si="76"/>
        <v>2.5409999999999999</v>
      </c>
      <c r="AV53" s="526">
        <f t="shared" si="47"/>
        <v>0.86652331910252534</v>
      </c>
      <c r="AW53" s="534">
        <f t="shared" si="77"/>
        <v>2.5213818260685708</v>
      </c>
      <c r="AX53" s="534">
        <f t="shared" si="78"/>
        <v>0.69682116791356696</v>
      </c>
      <c r="AY53" s="9"/>
      <c r="AZ53" s="4">
        <f t="shared" si="48"/>
        <v>86.652331910252528</v>
      </c>
      <c r="BA53" s="348">
        <f t="shared" si="79"/>
        <v>0.2025951477718802</v>
      </c>
      <c r="BB53" s="348">
        <f t="shared" si="80"/>
        <v>5.8632947370206141E-2</v>
      </c>
      <c r="BC53" s="348">
        <f t="shared" si="81"/>
        <v>4.5843305928519471E-2</v>
      </c>
      <c r="BD53" s="348">
        <f t="shared" si="82"/>
        <v>1.2669475780246672E-2</v>
      </c>
      <c r="BE53" s="348">
        <f t="shared" si="83"/>
        <v>1.557169184295878E-2</v>
      </c>
    </row>
    <row r="54" spans="1:64" x14ac:dyDescent="0.25">
      <c r="A54" s="23" t="s">
        <v>73</v>
      </c>
      <c r="B54" s="5">
        <f>Qrr_Q2*1000000000</f>
        <v>10.199999999999999</v>
      </c>
      <c r="C54" s="427" t="s">
        <v>65</v>
      </c>
      <c r="D54" s="21" t="s">
        <v>110</v>
      </c>
      <c r="G54">
        <v>45</v>
      </c>
      <c r="H54" s="531">
        <f t="shared" si="49"/>
        <v>6.6</v>
      </c>
      <c r="I54" s="4">
        <f t="shared" si="50"/>
        <v>1</v>
      </c>
      <c r="J54" s="348">
        <f t="shared" si="84"/>
        <v>0.78749999999999998</v>
      </c>
      <c r="K54" s="348">
        <f t="shared" si="51"/>
        <v>0.78749999999999998</v>
      </c>
      <c r="L54" s="4">
        <f t="shared" si="52"/>
        <v>0.4375</v>
      </c>
      <c r="M54" s="348">
        <f t="shared" si="53"/>
        <v>0.50277861989828443</v>
      </c>
      <c r="N54" s="4">
        <f t="shared" si="54"/>
        <v>0.59971152063129396</v>
      </c>
      <c r="O54" s="4">
        <f t="shared" si="39"/>
        <v>1.087355760315647</v>
      </c>
      <c r="P54" s="4">
        <f t="shared" si="40"/>
        <v>0.487644239684353</v>
      </c>
      <c r="Q54" s="4">
        <f t="shared" si="55"/>
        <v>0</v>
      </c>
      <c r="R54" s="4">
        <f t="shared" si="41"/>
        <v>0.80630478666454553</v>
      </c>
      <c r="S54" s="348">
        <f t="shared" si="56"/>
        <v>2.6655223768924483E-3</v>
      </c>
      <c r="T54" s="348">
        <f t="shared" si="57"/>
        <v>0.2</v>
      </c>
      <c r="U54" s="348">
        <f t="shared" si="58"/>
        <v>0.20270874835327063</v>
      </c>
      <c r="V54" s="4">
        <f t="shared" si="42"/>
        <v>0.1731218039362987</v>
      </c>
      <c r="W54" s="348">
        <f t="shared" si="10"/>
        <v>2.9971158998158249E-5</v>
      </c>
      <c r="X54" s="348">
        <f t="shared" si="43"/>
        <v>2.9971158998158249E-5</v>
      </c>
      <c r="Y54" s="4">
        <f t="shared" si="44"/>
        <v>0.40314616802383085</v>
      </c>
      <c r="Z54" s="348">
        <f t="shared" si="11"/>
        <v>4.8758049837689655E-4</v>
      </c>
      <c r="AA54" s="525">
        <f t="shared" si="45"/>
        <v>4.8758049837689655E-4</v>
      </c>
      <c r="AB54" s="348">
        <f t="shared" si="46"/>
        <v>0.57172559978904347</v>
      </c>
      <c r="AC54" s="348">
        <f t="shared" si="59"/>
        <v>2.614961291633132E-3</v>
      </c>
      <c r="AD54" s="348">
        <f t="shared" si="60"/>
        <v>4.1521291030557272E-3</v>
      </c>
      <c r="AE54" s="348">
        <f t="shared" si="61"/>
        <v>3.1326609599999992E-2</v>
      </c>
      <c r="AF54" s="348">
        <f t="shared" si="62"/>
        <v>0</v>
      </c>
      <c r="AG54" s="348">
        <f t="shared" si="63"/>
        <v>3.8115627590655142E-2</v>
      </c>
      <c r="AH54" s="348">
        <f t="shared" si="64"/>
        <v>0.56855716295199088</v>
      </c>
      <c r="AI54" s="348">
        <f t="shared" si="65"/>
        <v>1.7779148614920917E-3</v>
      </c>
      <c r="AJ54" s="348">
        <f t="shared" si="66"/>
        <v>7.1561951999999989E-3</v>
      </c>
      <c r="AK54" s="348">
        <f t="shared" si="67"/>
        <v>8.9376059280213208E-3</v>
      </c>
      <c r="AL54" s="348">
        <f t="shared" si="68"/>
        <v>7.1561951999999989E-3</v>
      </c>
      <c r="AM54" s="348">
        <f t="shared" si="69"/>
        <v>1.2289669919999998E-2</v>
      </c>
      <c r="AN54" s="348">
        <f t="shared" si="70"/>
        <v>1.6253185224953958E-2</v>
      </c>
      <c r="AO54" s="348">
        <f t="shared" si="71"/>
        <v>1.452E-5</v>
      </c>
      <c r="AP54" s="348">
        <f t="shared" si="72"/>
        <v>0.10709952</v>
      </c>
      <c r="AQ54" s="348">
        <f t="shared" si="26"/>
        <v>4.9827049411764704E-2</v>
      </c>
      <c r="AR54" s="348">
        <f t="shared" si="73"/>
        <v>2.5963519999999997E-2</v>
      </c>
      <c r="AS54" s="348">
        <f t="shared" si="74"/>
        <v>0.10711404000000001</v>
      </c>
      <c r="AT54" s="348">
        <f t="shared" si="75"/>
        <v>0.39309262387427613</v>
      </c>
      <c r="AU54">
        <f t="shared" si="76"/>
        <v>2.5987499999999999</v>
      </c>
      <c r="AV54" s="526">
        <f t="shared" si="47"/>
        <v>0.86861186456216666</v>
      </c>
      <c r="AW54" s="534">
        <f t="shared" si="77"/>
        <v>2.5424745355820328</v>
      </c>
      <c r="AX54" s="534">
        <f t="shared" si="78"/>
        <v>0.71462583508917255</v>
      </c>
      <c r="AY54" s="9"/>
      <c r="AZ54" s="4">
        <f t="shared" si="48"/>
        <v>86.861186456216672</v>
      </c>
      <c r="BA54" s="348">
        <f t="shared" si="79"/>
        <v>0.20270874835327063</v>
      </c>
      <c r="BB54" s="348">
        <f t="shared" si="80"/>
        <v>5.9342903438676459E-2</v>
      </c>
      <c r="BC54" s="348">
        <f t="shared" si="81"/>
        <v>4.6226809737855139E-2</v>
      </c>
      <c r="BD54" s="348">
        <f t="shared" si="82"/>
        <v>1.2993197001621319E-2</v>
      </c>
      <c r="BE54" s="348">
        <f t="shared" si="83"/>
        <v>1.6253185224953958E-2</v>
      </c>
    </row>
    <row r="55" spans="1:64" x14ac:dyDescent="0.25">
      <c r="A55" s="23" t="s">
        <v>74</v>
      </c>
      <c r="B55" s="5">
        <f>Trr_Q2*1000000000</f>
        <v>40</v>
      </c>
      <c r="C55" s="427" t="s">
        <v>75</v>
      </c>
      <c r="D55" s="76" t="s">
        <v>106</v>
      </c>
      <c r="G55">
        <v>46</v>
      </c>
      <c r="H55" s="531">
        <f t="shared" si="49"/>
        <v>6.6</v>
      </c>
      <c r="I55" s="4">
        <f t="shared" si="50"/>
        <v>1</v>
      </c>
      <c r="J55" s="348">
        <f t="shared" si="84"/>
        <v>0.80500000000000005</v>
      </c>
      <c r="K55" s="348">
        <f t="shared" si="51"/>
        <v>0.80500000000000005</v>
      </c>
      <c r="L55" s="4">
        <f t="shared" si="52"/>
        <v>0.44722222222222224</v>
      </c>
      <c r="M55" s="348">
        <f t="shared" si="53"/>
        <v>0.50284019801718394</v>
      </c>
      <c r="N55" s="4">
        <f t="shared" si="54"/>
        <v>0.59974637301347344</v>
      </c>
      <c r="O55" s="4">
        <f t="shared" si="39"/>
        <v>1.1048731865067367</v>
      </c>
      <c r="P55" s="4">
        <f t="shared" si="40"/>
        <v>0.50512681349326338</v>
      </c>
      <c r="Q55" s="4">
        <f t="shared" si="55"/>
        <v>0</v>
      </c>
      <c r="R55" s="4">
        <f t="shared" si="41"/>
        <v>0.82340733702214575</v>
      </c>
      <c r="S55" s="348">
        <f t="shared" si="56"/>
        <v>2.779798534913796E-3</v>
      </c>
      <c r="T55" s="348">
        <f t="shared" si="57"/>
        <v>0.2</v>
      </c>
      <c r="U55" s="348">
        <f t="shared" si="58"/>
        <v>0.20282490352448673</v>
      </c>
      <c r="V55" s="4">
        <f t="shared" si="42"/>
        <v>0.17313186495241531</v>
      </c>
      <c r="W55" s="348">
        <f t="shared" si="10"/>
        <v>2.9974642661901375E-5</v>
      </c>
      <c r="X55" s="348">
        <f t="shared" si="43"/>
        <v>2.9974642661901375E-5</v>
      </c>
      <c r="Y55" s="4">
        <f t="shared" si="44"/>
        <v>0.41169702625712423</v>
      </c>
      <c r="Z55" s="348">
        <f t="shared" si="11"/>
        <v>5.0848332428687774E-4</v>
      </c>
      <c r="AA55" s="525">
        <f t="shared" si="45"/>
        <v>5.0848332428687774E-4</v>
      </c>
      <c r="AB55" s="348">
        <f t="shared" si="46"/>
        <v>0.58388823808301749</v>
      </c>
      <c r="AC55" s="348">
        <f t="shared" si="59"/>
        <v>2.7274037965735244E-3</v>
      </c>
      <c r="AD55" s="348">
        <f t="shared" si="60"/>
        <v>4.2443986386791876E-3</v>
      </c>
      <c r="AE55" s="348">
        <f t="shared" si="61"/>
        <v>3.1326609599999992E-2</v>
      </c>
      <c r="AF55" s="348">
        <f t="shared" si="62"/>
        <v>0</v>
      </c>
      <c r="AG55" s="348">
        <f t="shared" si="63"/>
        <v>3.8321405983850192E-2</v>
      </c>
      <c r="AH55" s="348">
        <f t="shared" si="64"/>
        <v>0.58058088849893352</v>
      </c>
      <c r="AI55" s="348">
        <f t="shared" si="65"/>
        <v>1.8539079244961607E-3</v>
      </c>
      <c r="AJ55" s="348">
        <f t="shared" si="66"/>
        <v>7.3152217599999998E-3</v>
      </c>
      <c r="AK55" s="348">
        <f t="shared" si="67"/>
        <v>9.1728709292795193E-3</v>
      </c>
      <c r="AL55" s="348">
        <f t="shared" si="68"/>
        <v>7.3152217599999998E-3</v>
      </c>
      <c r="AM55" s="348">
        <f t="shared" si="69"/>
        <v>1.2562773696E-2</v>
      </c>
      <c r="AN55" s="348">
        <f t="shared" si="70"/>
        <v>1.6949991066547539E-2</v>
      </c>
      <c r="AO55" s="348">
        <f t="shared" si="71"/>
        <v>1.452E-5</v>
      </c>
      <c r="AP55" s="348">
        <f t="shared" si="72"/>
        <v>0.10709952</v>
      </c>
      <c r="AQ55" s="348">
        <f t="shared" si="26"/>
        <v>4.9827049411764704E-2</v>
      </c>
      <c r="AR55" s="348">
        <f t="shared" si="73"/>
        <v>2.5963519999999997E-2</v>
      </c>
      <c r="AS55" s="348">
        <f t="shared" si="74"/>
        <v>0.10711404000000001</v>
      </c>
      <c r="AT55" s="348">
        <f t="shared" si="75"/>
        <v>0.39479966492711283</v>
      </c>
      <c r="AU55">
        <f t="shared" si="76"/>
        <v>2.6564999999999999</v>
      </c>
      <c r="AV55" s="526">
        <f t="shared" si="47"/>
        <v>0.87061262141339257</v>
      </c>
      <c r="AW55" s="534">
        <f t="shared" si="77"/>
        <v>2.5637060142765606</v>
      </c>
      <c r="AX55" s="534">
        <f t="shared" si="78"/>
        <v>0.73252224369277363</v>
      </c>
      <c r="AY55" s="9"/>
      <c r="AZ55" s="4">
        <f t="shared" si="48"/>
        <v>87.061262141339256</v>
      </c>
      <c r="BA55" s="348">
        <f t="shared" si="79"/>
        <v>0.20282490352448673</v>
      </c>
      <c r="BB55" s="348">
        <f t="shared" si="80"/>
        <v>6.0057050609129713E-2</v>
      </c>
      <c r="BC55" s="348">
        <f t="shared" si="81"/>
        <v>4.661283662321019E-2</v>
      </c>
      <c r="BD55" s="348">
        <f t="shared" si="82"/>
        <v>1.331858624895952E-2</v>
      </c>
      <c r="BE55" s="348">
        <f t="shared" si="83"/>
        <v>1.6949991066547539E-2</v>
      </c>
    </row>
    <row r="56" spans="1:64" ht="15.5" x14ac:dyDescent="0.4">
      <c r="A56" s="433" t="s">
        <v>455</v>
      </c>
      <c r="B56" s="5">
        <f>ThetaJA_Q2</f>
        <v>55</v>
      </c>
      <c r="C56" s="428" t="s">
        <v>202</v>
      </c>
      <c r="D56" s="76" t="s">
        <v>103</v>
      </c>
      <c r="E56" s="2"/>
      <c r="G56">
        <v>47</v>
      </c>
      <c r="H56" s="531">
        <f t="shared" si="49"/>
        <v>6.6</v>
      </c>
      <c r="I56" s="4">
        <f t="shared" si="50"/>
        <v>1</v>
      </c>
      <c r="J56" s="348">
        <f t="shared" si="84"/>
        <v>0.82250000000000001</v>
      </c>
      <c r="K56" s="348">
        <f t="shared" si="51"/>
        <v>0.82250000000000001</v>
      </c>
      <c r="L56" s="4">
        <f t="shared" si="52"/>
        <v>0.45694444444444443</v>
      </c>
      <c r="M56" s="348">
        <f t="shared" si="53"/>
        <v>0.50290176880923854</v>
      </c>
      <c r="N56" s="4">
        <f t="shared" si="54"/>
        <v>0.59978120720397377</v>
      </c>
      <c r="O56" s="4">
        <f t="shared" si="39"/>
        <v>1.1223906036019868</v>
      </c>
      <c r="P56" s="4">
        <f t="shared" si="40"/>
        <v>0.52260939639801318</v>
      </c>
      <c r="Q56" s="4">
        <f t="shared" si="55"/>
        <v>0</v>
      </c>
      <c r="R56" s="4">
        <f t="shared" si="41"/>
        <v>0.84052624867376269</v>
      </c>
      <c r="S56" s="348">
        <f t="shared" si="56"/>
        <v>2.8965859363093102E-3</v>
      </c>
      <c r="T56" s="348">
        <f t="shared" si="57"/>
        <v>0.2</v>
      </c>
      <c r="U56" s="348">
        <f t="shared" si="58"/>
        <v>0.2029436134256303</v>
      </c>
      <c r="V56" s="4">
        <f t="shared" si="42"/>
        <v>0.17314192071704648</v>
      </c>
      <c r="W56" s="348">
        <f t="shared" si="10"/>
        <v>2.997812470958801E-5</v>
      </c>
      <c r="X56" s="348">
        <f t="shared" si="43"/>
        <v>2.997812470958801E-5</v>
      </c>
      <c r="Y56" s="4">
        <f t="shared" si="44"/>
        <v>0.42025604682586776</v>
      </c>
      <c r="Z56" s="348">
        <f t="shared" si="11"/>
        <v>5.2984543468111785E-4</v>
      </c>
      <c r="AA56" s="525">
        <f t="shared" si="45"/>
        <v>5.2984543468111785E-4</v>
      </c>
      <c r="AB56" s="348">
        <f t="shared" si="46"/>
        <v>0.5960639577071748</v>
      </c>
      <c r="AC56" s="348">
        <f t="shared" si="59"/>
        <v>2.8423379334203253E-3</v>
      </c>
      <c r="AD56" s="348">
        <f t="shared" si="60"/>
        <v>4.336668174302648E-3</v>
      </c>
      <c r="AE56" s="348">
        <f t="shared" si="61"/>
        <v>3.1326609599999992E-2</v>
      </c>
      <c r="AF56" s="348">
        <f t="shared" si="62"/>
        <v>0</v>
      </c>
      <c r="AG56" s="348">
        <f t="shared" si="63"/>
        <v>3.8529708887412528E-2</v>
      </c>
      <c r="AH56" s="348">
        <f t="shared" si="64"/>
        <v>0.59261465813127445</v>
      </c>
      <c r="AI56" s="348">
        <f t="shared" si="65"/>
        <v>1.9315567316762598E-3</v>
      </c>
      <c r="AJ56" s="348">
        <f t="shared" si="66"/>
        <v>7.4742483199999989E-3</v>
      </c>
      <c r="AK56" s="348">
        <f t="shared" si="67"/>
        <v>9.4098036769961913E-3</v>
      </c>
      <c r="AL56" s="348">
        <f t="shared" si="68"/>
        <v>7.4742483199999989E-3</v>
      </c>
      <c r="AM56" s="348">
        <f t="shared" si="69"/>
        <v>1.2835877471999995E-2</v>
      </c>
      <c r="AN56" s="348">
        <f t="shared" si="70"/>
        <v>1.7662109367739699E-2</v>
      </c>
      <c r="AO56" s="348">
        <f t="shared" si="71"/>
        <v>1.452E-5</v>
      </c>
      <c r="AP56" s="348">
        <f t="shared" si="72"/>
        <v>0.10709952</v>
      </c>
      <c r="AQ56" s="348">
        <f t="shared" si="26"/>
        <v>4.9827049411764704E-2</v>
      </c>
      <c r="AR56" s="348">
        <f t="shared" si="73"/>
        <v>2.5963519999999997E-2</v>
      </c>
      <c r="AS56" s="348">
        <f t="shared" si="74"/>
        <v>0.10711404000000001</v>
      </c>
      <c r="AT56" s="348">
        <f t="shared" si="75"/>
        <v>0.39652922470916946</v>
      </c>
      <c r="AU56">
        <f t="shared" si="76"/>
        <v>2.7142499999999998</v>
      </c>
      <c r="AV56" s="526">
        <f t="shared" si="47"/>
        <v>0.8725305796182814</v>
      </c>
      <c r="AW56" s="534">
        <f t="shared" si="77"/>
        <v>2.5850763410412889</v>
      </c>
      <c r="AX56" s="534">
        <f t="shared" si="78"/>
        <v>0.7505103783515904</v>
      </c>
      <c r="AY56" s="9"/>
      <c r="AZ56" s="4">
        <f t="shared" si="48"/>
        <v>87.253057961828134</v>
      </c>
      <c r="BA56" s="348">
        <f t="shared" si="79"/>
        <v>0.2029436134256303</v>
      </c>
      <c r="BB56" s="348">
        <f t="shared" si="80"/>
        <v>6.0775390036408715E-2</v>
      </c>
      <c r="BC56" s="348">
        <f t="shared" si="81"/>
        <v>4.7001388018932527E-2</v>
      </c>
      <c r="BD56" s="348">
        <f t="shared" si="82"/>
        <v>1.3645643242756189E-2</v>
      </c>
      <c r="BE56" s="348">
        <f t="shared" si="83"/>
        <v>1.7662109367739699E-2</v>
      </c>
      <c r="BK56" s="18"/>
      <c r="BL56" s="19"/>
    </row>
    <row r="57" spans="1:64" ht="13" x14ac:dyDescent="0.3">
      <c r="A57" s="24" t="s">
        <v>221</v>
      </c>
      <c r="B57" s="15" t="s">
        <v>111</v>
      </c>
      <c r="C57" s="24" t="s">
        <v>76</v>
      </c>
      <c r="D57" s="24" t="s">
        <v>210</v>
      </c>
      <c r="G57">
        <v>48</v>
      </c>
      <c r="H57" s="531">
        <f t="shared" si="49"/>
        <v>6.6</v>
      </c>
      <c r="I57" s="4">
        <f t="shared" si="50"/>
        <v>1</v>
      </c>
      <c r="J57" s="348">
        <f t="shared" si="84"/>
        <v>0.84</v>
      </c>
      <c r="K57" s="348">
        <f t="shared" si="51"/>
        <v>0.84</v>
      </c>
      <c r="L57" s="4">
        <f t="shared" si="52"/>
        <v>0.46666666666666667</v>
      </c>
      <c r="M57" s="348">
        <f t="shared" si="53"/>
        <v>0.50296333227575574</v>
      </c>
      <c r="N57" s="4">
        <f t="shared" si="54"/>
        <v>0.59981602320604155</v>
      </c>
      <c r="O57" s="4">
        <f t="shared" si="39"/>
        <v>1.1399080116030207</v>
      </c>
      <c r="P57" s="4">
        <f t="shared" si="40"/>
        <v>0.54009198839697925</v>
      </c>
      <c r="Q57" s="4">
        <f t="shared" si="55"/>
        <v>0</v>
      </c>
      <c r="R57" s="4">
        <f t="shared" si="41"/>
        <v>0.85766054190526086</v>
      </c>
      <c r="S57" s="348">
        <f t="shared" si="56"/>
        <v>3.0158845810790251E-3</v>
      </c>
      <c r="T57" s="348">
        <f t="shared" si="57"/>
        <v>0.2</v>
      </c>
      <c r="U57" s="348">
        <f t="shared" si="58"/>
        <v>0.20306487819988875</v>
      </c>
      <c r="V57" s="4">
        <f t="shared" si="42"/>
        <v>0.17315197123112946</v>
      </c>
      <c r="W57" s="348">
        <f t="shared" si="10"/>
        <v>2.9981605141225886E-5</v>
      </c>
      <c r="X57" s="348">
        <f t="shared" si="43"/>
        <v>2.9981605141225886E-5</v>
      </c>
      <c r="Y57" s="4">
        <f t="shared" si="44"/>
        <v>0.42882273947923433</v>
      </c>
      <c r="Z57" s="348">
        <f t="shared" si="11"/>
        <v>5.5166682568342585E-4</v>
      </c>
      <c r="AA57" s="525">
        <f t="shared" si="45"/>
        <v>5.5166682568342585E-4</v>
      </c>
      <c r="AB57" s="348">
        <f t="shared" si="46"/>
        <v>0.60825206558020017</v>
      </c>
      <c r="AC57" s="348">
        <f t="shared" si="59"/>
        <v>2.9597646022606412E-3</v>
      </c>
      <c r="AD57" s="348">
        <f t="shared" si="60"/>
        <v>4.4289377099261092E-3</v>
      </c>
      <c r="AE57" s="348">
        <f t="shared" si="61"/>
        <v>3.1326609599999992E-2</v>
      </c>
      <c r="AF57" s="348">
        <f t="shared" si="62"/>
        <v>0</v>
      </c>
      <c r="AG57" s="348">
        <f t="shared" si="63"/>
        <v>3.8740537744089996E-2</v>
      </c>
      <c r="AH57" s="348">
        <f t="shared" si="64"/>
        <v>0.60465777912687568</v>
      </c>
      <c r="AI57" s="348">
        <f t="shared" si="65"/>
        <v>2.0108606642225504E-3</v>
      </c>
      <c r="AJ57" s="348">
        <f t="shared" si="66"/>
        <v>7.6332748799999989E-3</v>
      </c>
      <c r="AK57" s="348">
        <f t="shared" si="67"/>
        <v>9.648403895312985E-3</v>
      </c>
      <c r="AL57" s="348">
        <f t="shared" si="68"/>
        <v>7.6332748799999989E-3</v>
      </c>
      <c r="AM57" s="348">
        <f t="shared" si="69"/>
        <v>1.3108981247999998E-2</v>
      </c>
      <c r="AN57" s="348">
        <f t="shared" si="70"/>
        <v>1.8389540128530644E-2</v>
      </c>
      <c r="AO57" s="348">
        <f t="shared" si="71"/>
        <v>1.452E-5</v>
      </c>
      <c r="AP57" s="348">
        <f t="shared" si="72"/>
        <v>0.10709952</v>
      </c>
      <c r="AQ57" s="348">
        <f t="shared" si="26"/>
        <v>4.9827049411764704E-2</v>
      </c>
      <c r="AR57" s="348">
        <f t="shared" si="73"/>
        <v>2.5963519999999997E-2</v>
      </c>
      <c r="AS57" s="348">
        <f t="shared" si="74"/>
        <v>0.10711404000000001</v>
      </c>
      <c r="AT57" s="348">
        <f t="shared" si="75"/>
        <v>0.39828130452664701</v>
      </c>
      <c r="AU57">
        <f t="shared" si="76"/>
        <v>2.7719999999999998</v>
      </c>
      <c r="AV57" s="526">
        <f t="shared" si="47"/>
        <v>0.87437035825244724</v>
      </c>
      <c r="AW57" s="534">
        <f t="shared" si="77"/>
        <v>2.60658559522735</v>
      </c>
      <c r="AX57" s="534">
        <f t="shared" si="78"/>
        <v>0.76859022389341414</v>
      </c>
      <c r="AY57" s="9"/>
      <c r="AZ57" s="4">
        <f t="shared" si="48"/>
        <v>87.43703582524472</v>
      </c>
      <c r="BA57" s="348">
        <f t="shared" si="79"/>
        <v>0.20306487819988875</v>
      </c>
      <c r="BB57" s="348">
        <f t="shared" si="80"/>
        <v>6.1497922887402981E-2</v>
      </c>
      <c r="BC57" s="348">
        <f t="shared" si="81"/>
        <v>4.7392465367769997E-2</v>
      </c>
      <c r="BD57" s="348">
        <f t="shared" si="82"/>
        <v>1.3974367707152983E-2</v>
      </c>
      <c r="BE57" s="348">
        <f t="shared" si="83"/>
        <v>1.8389540128530644E-2</v>
      </c>
      <c r="BK57" s="18"/>
      <c r="BL57" s="19"/>
    </row>
    <row r="58" spans="1:64" x14ac:dyDescent="0.25">
      <c r="A58" s="23" t="s">
        <v>192</v>
      </c>
      <c r="B58" s="73">
        <f>VfdSky_Q2</f>
        <v>0</v>
      </c>
      <c r="C58" s="427" t="s">
        <v>0</v>
      </c>
      <c r="D58" s="76" t="s">
        <v>195</v>
      </c>
      <c r="G58">
        <v>49</v>
      </c>
      <c r="H58" s="531">
        <f t="shared" si="49"/>
        <v>6.6</v>
      </c>
      <c r="I58" s="4">
        <f t="shared" si="50"/>
        <v>1</v>
      </c>
      <c r="J58" s="348">
        <f t="shared" si="84"/>
        <v>0.85750000000000004</v>
      </c>
      <c r="K58" s="348">
        <f t="shared" si="51"/>
        <v>0.85750000000000004</v>
      </c>
      <c r="L58" s="4">
        <f t="shared" si="52"/>
        <v>0.47638888888888886</v>
      </c>
      <c r="M58" s="348">
        <f t="shared" si="53"/>
        <v>0.50302488841804305</v>
      </c>
      <c r="N58" s="4">
        <f t="shared" si="54"/>
        <v>0.59985082102292253</v>
      </c>
      <c r="O58" s="4">
        <f t="shared" si="39"/>
        <v>1.1574254105114612</v>
      </c>
      <c r="P58" s="4">
        <f t="shared" si="40"/>
        <v>0.55757458948853877</v>
      </c>
      <c r="Q58" s="4">
        <f t="shared" si="55"/>
        <v>0</v>
      </c>
      <c r="R58" s="4">
        <f t="shared" si="41"/>
        <v>0.8748093129115756</v>
      </c>
      <c r="S58" s="348">
        <f t="shared" si="56"/>
        <v>3.1376944692229742E-3</v>
      </c>
      <c r="T58" s="348">
        <f t="shared" si="57"/>
        <v>0.2</v>
      </c>
      <c r="U58" s="348">
        <f t="shared" si="58"/>
        <v>0.2031886979935352</v>
      </c>
      <c r="V58" s="4">
        <f t="shared" si="42"/>
        <v>0.17316201649560117</v>
      </c>
      <c r="W58" s="348">
        <f t="shared" si="10"/>
        <v>2.9985083956822853E-5</v>
      </c>
      <c r="X58" s="348">
        <f t="shared" si="43"/>
        <v>2.9985083956822853E-5</v>
      </c>
      <c r="Y58" s="4">
        <f t="shared" si="44"/>
        <v>0.43739665192112442</v>
      </c>
      <c r="Z58" s="348">
        <f t="shared" si="11"/>
        <v>5.7394749333542785E-4</v>
      </c>
      <c r="AA58" s="525">
        <f t="shared" si="45"/>
        <v>5.7394749333542785E-4</v>
      </c>
      <c r="AB58" s="348">
        <f t="shared" si="46"/>
        <v>0.6204519222880418</v>
      </c>
      <c r="AC58" s="348">
        <f t="shared" si="59"/>
        <v>3.07968470296741E-3</v>
      </c>
      <c r="AD58" s="348">
        <f t="shared" si="60"/>
        <v>4.5212072455495696E-3</v>
      </c>
      <c r="AE58" s="348">
        <f t="shared" si="61"/>
        <v>3.1326609599999992E-2</v>
      </c>
      <c r="AF58" s="348">
        <f t="shared" si="62"/>
        <v>0</v>
      </c>
      <c r="AG58" s="348">
        <f t="shared" si="63"/>
        <v>3.8953894005044412E-2</v>
      </c>
      <c r="AH58" s="348">
        <f t="shared" si="64"/>
        <v>0.61670961244810896</v>
      </c>
      <c r="AI58" s="348">
        <f t="shared" si="65"/>
        <v>2.091819103472432E-3</v>
      </c>
      <c r="AJ58" s="348">
        <f t="shared" si="66"/>
        <v>7.7923014399999997E-3</v>
      </c>
      <c r="AK58" s="348">
        <f t="shared" si="67"/>
        <v>9.8886713120152868E-3</v>
      </c>
      <c r="AL58" s="348">
        <f t="shared" si="68"/>
        <v>7.7923014399999997E-3</v>
      </c>
      <c r="AM58" s="348">
        <f t="shared" si="69"/>
        <v>1.3382085023999998E-2</v>
      </c>
      <c r="AN58" s="348">
        <f t="shared" si="70"/>
        <v>1.9132283348920576E-2</v>
      </c>
      <c r="AO58" s="348">
        <f t="shared" si="71"/>
        <v>1.452E-5</v>
      </c>
      <c r="AP58" s="348">
        <f t="shared" si="72"/>
        <v>0.10709952</v>
      </c>
      <c r="AQ58" s="348">
        <f t="shared" si="26"/>
        <v>4.9827049411764704E-2</v>
      </c>
      <c r="AR58" s="348">
        <f t="shared" si="73"/>
        <v>2.5963519999999997E-2</v>
      </c>
      <c r="AS58" s="348">
        <f t="shared" si="74"/>
        <v>0.10711404000000001</v>
      </c>
      <c r="AT58" s="348">
        <f t="shared" si="75"/>
        <v>0.40005590570080773</v>
      </c>
      <c r="AU58">
        <f t="shared" si="76"/>
        <v>2.8297499999999998</v>
      </c>
      <c r="AV58" s="526">
        <f t="shared" si="47"/>
        <v>0.8761362393341704</v>
      </c>
      <c r="AW58" s="534">
        <f t="shared" si="77"/>
        <v>2.628233856648643</v>
      </c>
      <c r="AX58" s="534">
        <f t="shared" si="78"/>
        <v>0.78676176534644082</v>
      </c>
      <c r="AY58" s="9"/>
      <c r="AZ58" s="4">
        <f t="shared" si="48"/>
        <v>87.613623933417045</v>
      </c>
      <c r="BA58" s="348">
        <f t="shared" si="79"/>
        <v>0.2031886979935352</v>
      </c>
      <c r="BB58" s="348">
        <f t="shared" si="80"/>
        <v>6.2224650341059701E-2</v>
      </c>
      <c r="BC58" s="348">
        <f t="shared" si="81"/>
        <v>4.7786070120884414E-2</v>
      </c>
      <c r="BD58" s="348">
        <f t="shared" si="82"/>
        <v>1.4304759369935287E-2</v>
      </c>
      <c r="BE58" s="348">
        <f t="shared" si="83"/>
        <v>1.9132283348920576E-2</v>
      </c>
      <c r="BK58" s="18"/>
      <c r="BL58" s="19"/>
    </row>
    <row r="59" spans="1:64" x14ac:dyDescent="0.25">
      <c r="A59" s="23" t="s">
        <v>193</v>
      </c>
      <c r="B59" s="73">
        <f>QrrSky_Q2*1000000000</f>
        <v>0</v>
      </c>
      <c r="C59" s="427" t="s">
        <v>65</v>
      </c>
      <c r="D59" s="76" t="s">
        <v>196</v>
      </c>
      <c r="G59">
        <v>50</v>
      </c>
      <c r="H59" s="531">
        <f t="shared" si="49"/>
        <v>6.6</v>
      </c>
      <c r="I59" s="4">
        <f t="shared" si="50"/>
        <v>1</v>
      </c>
      <c r="J59" s="348">
        <f t="shared" si="84"/>
        <v>0.875</v>
      </c>
      <c r="K59" s="348">
        <f t="shared" si="51"/>
        <v>0.875</v>
      </c>
      <c r="L59" s="4">
        <f t="shared" si="52"/>
        <v>0.4861111111111111</v>
      </c>
      <c r="M59" s="348">
        <f t="shared" si="53"/>
        <v>0.50308643723740742</v>
      </c>
      <c r="N59" s="4">
        <f t="shared" si="54"/>
        <v>0.59988560065786178</v>
      </c>
      <c r="O59" s="4">
        <f t="shared" si="39"/>
        <v>1.1749428003289308</v>
      </c>
      <c r="P59" s="4">
        <f t="shared" si="40"/>
        <v>0.57505719967106916</v>
      </c>
      <c r="Q59" s="4">
        <f t="shared" si="55"/>
        <v>0</v>
      </c>
      <c r="R59" s="4">
        <f t="shared" si="41"/>
        <v>0.89197172665751401</v>
      </c>
      <c r="S59" s="348">
        <f t="shared" si="56"/>
        <v>3.262015600741186E-3</v>
      </c>
      <c r="T59" s="348">
        <f t="shared" si="57"/>
        <v>0.2</v>
      </c>
      <c r="U59" s="348">
        <f t="shared" si="58"/>
        <v>0.20331507295592904</v>
      </c>
      <c r="V59" s="4">
        <f t="shared" si="42"/>
        <v>0.17317205651139844</v>
      </c>
      <c r="W59" s="348">
        <f t="shared" si="10"/>
        <v>2.9988561156386978E-5</v>
      </c>
      <c r="X59" s="348">
        <f t="shared" si="43"/>
        <v>2.9988561156386978E-5</v>
      </c>
      <c r="Y59" s="4">
        <f t="shared" si="44"/>
        <v>0.44597736624056689</v>
      </c>
      <c r="Z59" s="348">
        <f t="shared" si="11"/>
        <v>5.9668743359661818E-4</v>
      </c>
      <c r="AA59" s="525">
        <f t="shared" si="45"/>
        <v>5.9668743359661818E-4</v>
      </c>
      <c r="AB59" s="348">
        <f t="shared" si="46"/>
        <v>0.63266293703672327</v>
      </c>
      <c r="AC59" s="348">
        <f t="shared" si="59"/>
        <v>3.2020991351994631E-3</v>
      </c>
      <c r="AD59" s="348">
        <f t="shared" si="60"/>
        <v>4.6134767811730299E-3</v>
      </c>
      <c r="AE59" s="348">
        <f t="shared" si="61"/>
        <v>3.1326609599999992E-2</v>
      </c>
      <c r="AF59" s="348">
        <f t="shared" si="62"/>
        <v>0</v>
      </c>
      <c r="AG59" s="348">
        <f t="shared" si="63"/>
        <v>3.9169779129865578E-2</v>
      </c>
      <c r="AH59" s="348">
        <f t="shared" si="64"/>
        <v>0.62876956769269143</v>
      </c>
      <c r="AI59" s="348">
        <f t="shared" si="65"/>
        <v>2.1744314309104975E-3</v>
      </c>
      <c r="AJ59" s="348">
        <f t="shared" si="66"/>
        <v>7.9513279999999988E-3</v>
      </c>
      <c r="AK59" s="348">
        <f t="shared" si="67"/>
        <v>1.013060565852927E-2</v>
      </c>
      <c r="AL59" s="348">
        <f t="shared" si="68"/>
        <v>7.9513279999999988E-3</v>
      </c>
      <c r="AM59" s="348">
        <f t="shared" si="69"/>
        <v>1.3655188799999997E-2</v>
      </c>
      <c r="AN59" s="348">
        <f t="shared" si="70"/>
        <v>1.9890339028909673E-2</v>
      </c>
      <c r="AO59" s="348">
        <f t="shared" si="71"/>
        <v>1.452E-5</v>
      </c>
      <c r="AP59" s="348">
        <f t="shared" si="72"/>
        <v>0.10709952</v>
      </c>
      <c r="AQ59" s="348">
        <f t="shared" si="26"/>
        <v>4.9827049411764704E-2</v>
      </c>
      <c r="AR59" s="348">
        <f t="shared" si="73"/>
        <v>2.5963519999999997E-2</v>
      </c>
      <c r="AS59" s="348">
        <f t="shared" si="74"/>
        <v>0.10711404000000001</v>
      </c>
      <c r="AT59" s="348">
        <f t="shared" si="75"/>
        <v>0.40185302956798657</v>
      </c>
      <c r="AU59">
        <f t="shared" si="76"/>
        <v>2.8874999999999997</v>
      </c>
      <c r="AV59" s="526">
        <f t="shared" si="47"/>
        <v>0.87783219801713863</v>
      </c>
      <c r="AW59" s="534">
        <f t="shared" si="77"/>
        <v>2.6500212055826071</v>
      </c>
      <c r="AX59" s="534">
        <f t="shared" si="78"/>
        <v>0.80502498793910982</v>
      </c>
      <c r="AY59" s="9"/>
      <c r="AZ59" s="4">
        <f t="shared" si="48"/>
        <v>87.783219801713869</v>
      </c>
      <c r="BA59" s="348">
        <f t="shared" si="79"/>
        <v>0.20331507295592904</v>
      </c>
      <c r="BB59" s="348">
        <f t="shared" si="80"/>
        <v>6.2955573588394848E-2</v>
      </c>
      <c r="BC59" s="348">
        <f t="shared" si="81"/>
        <v>4.8182203737865581E-2</v>
      </c>
      <c r="BD59" s="348">
        <f t="shared" si="82"/>
        <v>1.463681796252927E-2</v>
      </c>
      <c r="BE59" s="348">
        <f t="shared" si="83"/>
        <v>1.9890339028909673E-2</v>
      </c>
      <c r="BK59" s="18"/>
      <c r="BL59" s="19"/>
    </row>
    <row r="60" spans="1:64" ht="13" x14ac:dyDescent="0.3">
      <c r="A60" s="23" t="s">
        <v>194</v>
      </c>
      <c r="B60" s="73">
        <f>Ireverse</f>
        <v>0</v>
      </c>
      <c r="C60" s="427" t="s">
        <v>64</v>
      </c>
      <c r="D60" s="76" t="s">
        <v>197</v>
      </c>
      <c r="E60" s="2"/>
      <c r="G60">
        <v>51</v>
      </c>
      <c r="H60" s="531">
        <f t="shared" si="49"/>
        <v>6.6</v>
      </c>
      <c r="I60" s="4">
        <f t="shared" si="50"/>
        <v>1</v>
      </c>
      <c r="J60" s="348">
        <f t="shared" si="84"/>
        <v>0.89249999999999996</v>
      </c>
      <c r="K60" s="348">
        <f t="shared" si="51"/>
        <v>0.89249999999999996</v>
      </c>
      <c r="L60" s="4">
        <f t="shared" si="52"/>
        <v>0.49583333333333335</v>
      </c>
      <c r="M60" s="348">
        <f t="shared" si="53"/>
        <v>0.50314797873515527</v>
      </c>
      <c r="N60" s="4">
        <f t="shared" si="54"/>
        <v>0.59992036211410349</v>
      </c>
      <c r="O60" s="4">
        <f t="shared" si="39"/>
        <v>1.1924601810570516</v>
      </c>
      <c r="P60" s="4">
        <f t="shared" si="40"/>
        <v>0.59253981894294827</v>
      </c>
      <c r="Q60" s="4">
        <f t="shared" si="55"/>
        <v>0</v>
      </c>
      <c r="R60" s="4">
        <f t="shared" si="41"/>
        <v>0.90914701052136027</v>
      </c>
      <c r="S60" s="348">
        <f t="shared" si="56"/>
        <v>3.3888479756336975E-3</v>
      </c>
      <c r="T60" s="348">
        <f t="shared" si="57"/>
        <v>0.2</v>
      </c>
      <c r="U60" s="348">
        <f t="shared" si="58"/>
        <v>0.20344400323951634</v>
      </c>
      <c r="V60" s="4">
        <f t="shared" si="42"/>
        <v>0.17318209127945772</v>
      </c>
      <c r="W60" s="348">
        <f t="shared" si="10"/>
        <v>2.9992036739926426E-5</v>
      </c>
      <c r="X60" s="348">
        <f t="shared" si="43"/>
        <v>2.9992036739926426E-5</v>
      </c>
      <c r="Y60" s="4">
        <f t="shared" si="44"/>
        <v>0.45456449573352009</v>
      </c>
      <c r="Z60" s="348">
        <f t="shared" si="11"/>
        <v>6.1988664234440818E-4</v>
      </c>
      <c r="AA60" s="525">
        <f t="shared" si="45"/>
        <v>6.1988664234440818E-4</v>
      </c>
      <c r="AB60" s="348">
        <f t="shared" si="46"/>
        <v>0.64488456315855436</v>
      </c>
      <c r="AC60" s="348">
        <f t="shared" si="59"/>
        <v>3.3270087984015959E-3</v>
      </c>
      <c r="AD60" s="348">
        <f t="shared" si="60"/>
        <v>4.7057463167964903E-3</v>
      </c>
      <c r="AE60" s="348">
        <f t="shared" si="61"/>
        <v>3.1326609599999992E-2</v>
      </c>
      <c r="AF60" s="348">
        <f t="shared" si="62"/>
        <v>0</v>
      </c>
      <c r="AG60" s="348">
        <f t="shared" si="63"/>
        <v>3.9388194586585476E-2</v>
      </c>
      <c r="AH60" s="348">
        <f t="shared" si="64"/>
        <v>0.64083709859817484</v>
      </c>
      <c r="AI60" s="348">
        <f t="shared" si="65"/>
        <v>2.2586970281684975E-3</v>
      </c>
      <c r="AJ60" s="348">
        <f t="shared" si="66"/>
        <v>8.1103545599999979E-3</v>
      </c>
      <c r="AK60" s="348">
        <f t="shared" si="67"/>
        <v>1.0374206669918985E-2</v>
      </c>
      <c r="AL60" s="348">
        <f t="shared" si="68"/>
        <v>8.1103545599999979E-3</v>
      </c>
      <c r="AM60" s="348">
        <f t="shared" si="69"/>
        <v>1.3928292575999994E-2</v>
      </c>
      <c r="AN60" s="348">
        <f t="shared" si="70"/>
        <v>2.066370716849816E-2</v>
      </c>
      <c r="AO60" s="348">
        <f t="shared" si="71"/>
        <v>1.452E-5</v>
      </c>
      <c r="AP60" s="348">
        <f t="shared" si="72"/>
        <v>0.10709952</v>
      </c>
      <c r="AQ60" s="348">
        <f t="shared" si="26"/>
        <v>4.9827049411764704E-2</v>
      </c>
      <c r="AR60" s="348">
        <f t="shared" si="73"/>
        <v>2.5963519999999997E-2</v>
      </c>
      <c r="AS60" s="348">
        <f t="shared" si="74"/>
        <v>0.10711404000000001</v>
      </c>
      <c r="AT60" s="348">
        <f t="shared" si="75"/>
        <v>0.40367267747960328</v>
      </c>
      <c r="AU60">
        <f t="shared" si="76"/>
        <v>2.9452499999999997</v>
      </c>
      <c r="AV60" s="526">
        <f t="shared" si="47"/>
        <v>0.87946192959480118</v>
      </c>
      <c r="AW60" s="534">
        <f t="shared" si="77"/>
        <v>2.6719477227710011</v>
      </c>
      <c r="AX60" s="534">
        <f t="shared" si="78"/>
        <v>0.82337987709994409</v>
      </c>
      <c r="AY60" s="9"/>
      <c r="AZ60" s="4">
        <f t="shared" si="48"/>
        <v>87.946192959480115</v>
      </c>
      <c r="BA60" s="348">
        <f t="shared" si="79"/>
        <v>0.20344400323951634</v>
      </c>
      <c r="BB60" s="348">
        <f t="shared" si="80"/>
        <v>6.3690693832504461E-2</v>
      </c>
      <c r="BC60" s="348">
        <f t="shared" si="81"/>
        <v>4.8580867686745473E-2</v>
      </c>
      <c r="BD60" s="348">
        <f t="shared" si="82"/>
        <v>1.4970543219998984E-2</v>
      </c>
      <c r="BE60" s="348">
        <f t="shared" si="83"/>
        <v>2.066370716849816E-2</v>
      </c>
      <c r="BK60" s="18"/>
      <c r="BL60" s="19"/>
    </row>
    <row r="61" spans="1:64" ht="13" x14ac:dyDescent="0.3">
      <c r="A61" s="24" t="s">
        <v>117</v>
      </c>
      <c r="B61" s="15" t="s">
        <v>111</v>
      </c>
      <c r="C61" s="24" t="s">
        <v>76</v>
      </c>
      <c r="D61" s="24" t="s">
        <v>210</v>
      </c>
      <c r="G61">
        <v>52</v>
      </c>
      <c r="H61" s="531">
        <f t="shared" si="49"/>
        <v>6.6</v>
      </c>
      <c r="I61" s="4">
        <f t="shared" si="50"/>
        <v>1</v>
      </c>
      <c r="J61" s="348">
        <f t="shared" si="84"/>
        <v>0.91</v>
      </c>
      <c r="K61" s="348">
        <f t="shared" si="51"/>
        <v>0.91</v>
      </c>
      <c r="L61" s="4">
        <f t="shared" si="52"/>
        <v>0.50555555555555565</v>
      </c>
      <c r="M61" s="348">
        <f t="shared" si="53"/>
        <v>0.50320951291259308</v>
      </c>
      <c r="N61" s="4">
        <f t="shared" si="54"/>
        <v>0.59995510539489127</v>
      </c>
      <c r="O61" s="4">
        <f t="shared" si="39"/>
        <v>1.2099775526974457</v>
      </c>
      <c r="P61" s="4">
        <f t="shared" si="40"/>
        <v>0.61002244730255439</v>
      </c>
      <c r="Q61" s="4">
        <f t="shared" si="55"/>
        <v>0</v>
      </c>
      <c r="R61" s="4">
        <f t="shared" si="41"/>
        <v>0.92633444862395653</v>
      </c>
      <c r="S61" s="348">
        <f t="shared" si="56"/>
        <v>3.5181915939005428E-3</v>
      </c>
      <c r="T61" s="348">
        <f t="shared" si="57"/>
        <v>0.2</v>
      </c>
      <c r="U61" s="348">
        <f t="shared" si="58"/>
        <v>0.20357548899983041</v>
      </c>
      <c r="V61" s="4">
        <f t="shared" si="42"/>
        <v>0.17319212080071539</v>
      </c>
      <c r="W61" s="348">
        <f t="shared" si="10"/>
        <v>2.9995510707449593E-5</v>
      </c>
      <c r="X61" s="348">
        <f t="shared" si="43"/>
        <v>2.9995510707449593E-5</v>
      </c>
      <c r="Y61" s="4">
        <f t="shared" si="44"/>
        <v>0.46315768206741253</v>
      </c>
      <c r="Z61" s="348">
        <f t="shared" si="11"/>
        <v>6.435451153741752E-4</v>
      </c>
      <c r="AA61" s="525">
        <f t="shared" si="45"/>
        <v>6.435451153741752E-4</v>
      </c>
      <c r="AB61" s="348">
        <f t="shared" si="46"/>
        <v>0.6571162941029377</v>
      </c>
      <c r="AC61" s="348">
        <f t="shared" si="59"/>
        <v>3.4544145918046286E-3</v>
      </c>
      <c r="AD61" s="348">
        <f t="shared" si="60"/>
        <v>4.7980158524199516E-3</v>
      </c>
      <c r="AE61" s="348">
        <f t="shared" si="61"/>
        <v>3.1326609599999992E-2</v>
      </c>
      <c r="AF61" s="348">
        <f t="shared" si="62"/>
        <v>0</v>
      </c>
      <c r="AG61" s="348">
        <f t="shared" si="63"/>
        <v>3.9609141851692467E-2</v>
      </c>
      <c r="AH61" s="348">
        <f t="shared" si="64"/>
        <v>0.65291169903124813</v>
      </c>
      <c r="AI61" s="348">
        <f t="shared" si="65"/>
        <v>2.3446152770252911E-3</v>
      </c>
      <c r="AJ61" s="348">
        <f t="shared" si="66"/>
        <v>8.2693811199999988E-3</v>
      </c>
      <c r="AK61" s="348">
        <f t="shared" si="67"/>
        <v>1.0619474084883436E-2</v>
      </c>
      <c r="AL61" s="348">
        <f t="shared" si="68"/>
        <v>8.2693811199999988E-3</v>
      </c>
      <c r="AM61" s="348">
        <f t="shared" si="69"/>
        <v>1.4201396351999998E-2</v>
      </c>
      <c r="AN61" s="348">
        <f t="shared" si="70"/>
        <v>2.1452387767686241E-2</v>
      </c>
      <c r="AO61" s="348">
        <f t="shared" si="71"/>
        <v>1.452E-5</v>
      </c>
      <c r="AP61" s="348">
        <f t="shared" si="72"/>
        <v>0.10709952</v>
      </c>
      <c r="AQ61" s="348">
        <f t="shared" si="26"/>
        <v>4.9827049411764704E-2</v>
      </c>
      <c r="AR61" s="348">
        <f t="shared" si="73"/>
        <v>2.5963519999999997E-2</v>
      </c>
      <c r="AS61" s="348">
        <f t="shared" si="74"/>
        <v>0.10711404000000001</v>
      </c>
      <c r="AT61" s="348">
        <f t="shared" si="75"/>
        <v>0.40551485080217425</v>
      </c>
      <c r="AU61">
        <f t="shared" si="76"/>
        <v>3.0030000000000001</v>
      </c>
      <c r="AV61" s="526">
        <f t="shared" si="47"/>
        <v>0.88102887370235794</v>
      </c>
      <c r="AW61" s="534">
        <f t="shared" si="77"/>
        <v>2.6940134894206857</v>
      </c>
      <c r="AX61" s="534">
        <f t="shared" si="78"/>
        <v>0.84182641845738904</v>
      </c>
      <c r="AY61" s="9"/>
      <c r="AZ61" s="4">
        <f t="shared" si="48"/>
        <v>88.102887370235791</v>
      </c>
      <c r="BA61" s="348">
        <f t="shared" si="79"/>
        <v>0.20357548899983041</v>
      </c>
      <c r="BB61" s="348">
        <f t="shared" si="80"/>
        <v>6.4430012288575908E-2</v>
      </c>
      <c r="BC61" s="348">
        <f t="shared" si="81"/>
        <v>4.8982063444012465E-2</v>
      </c>
      <c r="BD61" s="348">
        <f t="shared" si="82"/>
        <v>1.5305934881043436E-2</v>
      </c>
      <c r="BE61" s="348">
        <f t="shared" si="83"/>
        <v>2.1452387767686241E-2</v>
      </c>
      <c r="BK61" s="18"/>
      <c r="BL61" s="19"/>
    </row>
    <row r="62" spans="1:64" ht="15.5" x14ac:dyDescent="0.4">
      <c r="A62" s="433" t="s">
        <v>454</v>
      </c>
      <c r="B62" s="74">
        <v>30</v>
      </c>
      <c r="C62" s="428" t="s">
        <v>202</v>
      </c>
      <c r="D62" s="76" t="s">
        <v>103</v>
      </c>
      <c r="G62">
        <v>53</v>
      </c>
      <c r="H62" s="531">
        <f t="shared" si="49"/>
        <v>6.6</v>
      </c>
      <c r="I62" s="4">
        <f t="shared" si="50"/>
        <v>1</v>
      </c>
      <c r="J62" s="348">
        <f t="shared" si="84"/>
        <v>0.92749999999999999</v>
      </c>
      <c r="K62" s="348">
        <f t="shared" si="51"/>
        <v>0.92749999999999999</v>
      </c>
      <c r="L62" s="4">
        <f t="shared" si="52"/>
        <v>0.51527777777777772</v>
      </c>
      <c r="M62" s="348">
        <f t="shared" si="53"/>
        <v>0.50327103977102705</v>
      </c>
      <c r="N62" s="4">
        <f t="shared" si="54"/>
        <v>0.59998983050346799</v>
      </c>
      <c r="O62" s="4">
        <f t="shared" si="39"/>
        <v>1.227494915251734</v>
      </c>
      <c r="P62" s="4">
        <f t="shared" si="40"/>
        <v>0.62750508474826594</v>
      </c>
      <c r="Q62" s="4">
        <f t="shared" si="55"/>
        <v>0</v>
      </c>
      <c r="R62" s="4">
        <f t="shared" si="41"/>
        <v>0.94353337675938365</v>
      </c>
      <c r="S62" s="348">
        <f t="shared" si="56"/>
        <v>3.6500464555417563E-3</v>
      </c>
      <c r="T62" s="348">
        <f t="shared" si="57"/>
        <v>0.2</v>
      </c>
      <c r="U62" s="348">
        <f t="shared" si="58"/>
        <v>0.20370953039549219</v>
      </c>
      <c r="V62" s="4">
        <f t="shared" si="42"/>
        <v>0.17320214507610759</v>
      </c>
      <c r="W62" s="348">
        <f t="shared" si="10"/>
        <v>2.9998983058965025E-5</v>
      </c>
      <c r="X62" s="348">
        <f t="shared" si="43"/>
        <v>2.9998983058965025E-5</v>
      </c>
      <c r="Y62" s="4">
        <f t="shared" si="44"/>
        <v>0.4717565927464823</v>
      </c>
      <c r="Z62" s="348">
        <f t="shared" si="11"/>
        <v>6.6766284839931106E-4</v>
      </c>
      <c r="AA62" s="525">
        <f t="shared" si="45"/>
        <v>6.6766284839931106E-4</v>
      </c>
      <c r="AB62" s="348">
        <f t="shared" si="46"/>
        <v>0.66935765985247619</v>
      </c>
      <c r="AC62" s="348">
        <f t="shared" si="59"/>
        <v>3.5843174144254658E-3</v>
      </c>
      <c r="AD62" s="348">
        <f t="shared" si="60"/>
        <v>4.8902853880434111E-3</v>
      </c>
      <c r="AE62" s="348">
        <f t="shared" si="61"/>
        <v>3.1326609599999992E-2</v>
      </c>
      <c r="AF62" s="348">
        <f t="shared" si="62"/>
        <v>0</v>
      </c>
      <c r="AG62" s="348">
        <f t="shared" si="63"/>
        <v>3.9832622410145589E-2</v>
      </c>
      <c r="AH62" s="348">
        <f t="shared" si="64"/>
        <v>0.6649928994025287</v>
      </c>
      <c r="AI62" s="348">
        <f t="shared" si="65"/>
        <v>2.432185559406799E-3</v>
      </c>
      <c r="AJ62" s="348">
        <f t="shared" si="66"/>
        <v>8.4284076799999996E-3</v>
      </c>
      <c r="AK62" s="348">
        <f t="shared" si="67"/>
        <v>1.0866407645753697E-2</v>
      </c>
      <c r="AL62" s="348">
        <f t="shared" si="68"/>
        <v>8.4284076799999996E-3</v>
      </c>
      <c r="AM62" s="348">
        <f t="shared" si="69"/>
        <v>1.4474500127999999E-2</v>
      </c>
      <c r="AN62" s="348">
        <f t="shared" si="70"/>
        <v>2.2256380826474128E-2</v>
      </c>
      <c r="AO62" s="348">
        <f t="shared" si="71"/>
        <v>1.452E-5</v>
      </c>
      <c r="AP62" s="348">
        <f t="shared" si="72"/>
        <v>0.10709952</v>
      </c>
      <c r="AQ62" s="348">
        <f t="shared" si="26"/>
        <v>4.9827049411764704E-2</v>
      </c>
      <c r="AR62" s="348">
        <f t="shared" si="73"/>
        <v>2.5963519999999997E-2</v>
      </c>
      <c r="AS62" s="348">
        <f t="shared" si="74"/>
        <v>0.10711404000000001</v>
      </c>
      <c r="AT62" s="348">
        <f t="shared" si="75"/>
        <v>0.40737955091732397</v>
      </c>
      <c r="AU62">
        <f t="shared" si="76"/>
        <v>3.0607499999999996</v>
      </c>
      <c r="AV62" s="526">
        <f t="shared" si="47"/>
        <v>0.8825362360498985</v>
      </c>
      <c r="AW62" s="534">
        <f t="shared" si="77"/>
        <v>2.7162185872044073</v>
      </c>
      <c r="AX62" s="534">
        <f t="shared" si="78"/>
        <v>0.86036459783965336</v>
      </c>
      <c r="AY62" s="9"/>
      <c r="AZ62" s="4">
        <f t="shared" si="48"/>
        <v>88.253623604989855</v>
      </c>
      <c r="BA62" s="348">
        <f t="shared" si="79"/>
        <v>0.20370953039549219</v>
      </c>
      <c r="BB62" s="348">
        <f t="shared" si="80"/>
        <v>6.5173530183899278E-2</v>
      </c>
      <c r="BC62" s="348">
        <f t="shared" si="81"/>
        <v>4.9385792494625588E-2</v>
      </c>
      <c r="BD62" s="348">
        <f t="shared" si="82"/>
        <v>1.5642992687993698E-2</v>
      </c>
      <c r="BE62" s="348">
        <f t="shared" si="83"/>
        <v>2.2256380826474128E-2</v>
      </c>
      <c r="BK62" s="18"/>
      <c r="BL62" s="19"/>
    </row>
    <row r="63" spans="1:64" x14ac:dyDescent="0.25">
      <c r="A63" s="23" t="s">
        <v>118</v>
      </c>
      <c r="B63" s="74">
        <v>2</v>
      </c>
      <c r="C63" s="428" t="s">
        <v>202</v>
      </c>
      <c r="D63" s="21" t="s">
        <v>103</v>
      </c>
      <c r="G63">
        <v>54</v>
      </c>
      <c r="H63" s="531">
        <f t="shared" si="49"/>
        <v>6.6</v>
      </c>
      <c r="I63" s="4">
        <f t="shared" si="50"/>
        <v>1</v>
      </c>
      <c r="J63" s="348">
        <f t="shared" si="84"/>
        <v>0.94499999999999995</v>
      </c>
      <c r="K63" s="348">
        <f t="shared" si="51"/>
        <v>0.94499999999999995</v>
      </c>
      <c r="L63" s="4">
        <f t="shared" si="52"/>
        <v>0.52500000000000002</v>
      </c>
      <c r="M63" s="348">
        <f t="shared" si="53"/>
        <v>0.50333255931176268</v>
      </c>
      <c r="N63" s="4">
        <f t="shared" si="54"/>
        <v>0.60002453744307538</v>
      </c>
      <c r="O63" s="4">
        <f t="shared" si="39"/>
        <v>1.2450122687215377</v>
      </c>
      <c r="P63" s="4">
        <f t="shared" si="40"/>
        <v>0.64498773127846221</v>
      </c>
      <c r="Q63" s="4">
        <f t="shared" si="55"/>
        <v>0</v>
      </c>
      <c r="R63" s="4">
        <f t="shared" si="41"/>
        <v>0.96074317785476959</v>
      </c>
      <c r="S63" s="348">
        <f t="shared" si="56"/>
        <v>3.7844125605573735E-3</v>
      </c>
      <c r="T63" s="348">
        <f t="shared" si="57"/>
        <v>0.2</v>
      </c>
      <c r="U63" s="348">
        <f t="shared" si="58"/>
        <v>0.20384612758821063</v>
      </c>
      <c r="V63" s="4">
        <f t="shared" si="42"/>
        <v>0.17321216410657014</v>
      </c>
      <c r="W63" s="348">
        <f t="shared" si="10"/>
        <v>3.0002453794481384E-5</v>
      </c>
      <c r="X63" s="348">
        <f t="shared" si="43"/>
        <v>3.0002453794481384E-5</v>
      </c>
      <c r="Y63" s="4">
        <f t="shared" si="44"/>
        <v>0.48036091884168097</v>
      </c>
      <c r="Z63" s="348">
        <f t="shared" si="11"/>
        <v>6.9223983705127203E-4</v>
      </c>
      <c r="AA63" s="525">
        <f t="shared" si="45"/>
        <v>6.9223983705127203E-4</v>
      </c>
      <c r="AB63" s="348">
        <f t="shared" si="46"/>
        <v>0.68160822371315044</v>
      </c>
      <c r="AC63" s="348">
        <f t="shared" si="59"/>
        <v>3.7167181650671691E-3</v>
      </c>
      <c r="AD63" s="348">
        <f t="shared" si="60"/>
        <v>4.9825549236668723E-3</v>
      </c>
      <c r="AE63" s="348">
        <f t="shared" si="61"/>
        <v>3.1326609599999992E-2</v>
      </c>
      <c r="AF63" s="348">
        <f t="shared" si="62"/>
        <v>0</v>
      </c>
      <c r="AG63" s="348">
        <f t="shared" si="63"/>
        <v>4.0058637755388961E-2</v>
      </c>
      <c r="AH63" s="348">
        <f t="shared" si="64"/>
        <v>0.6770802634555857</v>
      </c>
      <c r="AI63" s="348">
        <f t="shared" si="65"/>
        <v>2.5214072573859691E-3</v>
      </c>
      <c r="AJ63" s="348">
        <f t="shared" si="66"/>
        <v>8.5874342399999987E-3</v>
      </c>
      <c r="AK63" s="348">
        <f t="shared" si="67"/>
        <v>1.1115007098490054E-2</v>
      </c>
      <c r="AL63" s="348">
        <f t="shared" si="68"/>
        <v>8.5874342399999987E-3</v>
      </c>
      <c r="AM63" s="348">
        <f t="shared" si="69"/>
        <v>1.4747603903999996E-2</v>
      </c>
      <c r="AN63" s="348">
        <f t="shared" si="70"/>
        <v>2.307568634486204E-2</v>
      </c>
      <c r="AO63" s="348">
        <f t="shared" si="71"/>
        <v>1.452E-5</v>
      </c>
      <c r="AP63" s="348">
        <f t="shared" si="72"/>
        <v>0.10709952</v>
      </c>
      <c r="AQ63" s="348">
        <f t="shared" si="26"/>
        <v>4.9827049411764704E-2</v>
      </c>
      <c r="AR63" s="348">
        <f t="shared" si="73"/>
        <v>2.5963519999999997E-2</v>
      </c>
      <c r="AS63" s="348">
        <f t="shared" si="74"/>
        <v>0.10711404000000001</v>
      </c>
      <c r="AT63" s="348">
        <f t="shared" si="75"/>
        <v>0.40926677922179744</v>
      </c>
      <c r="AU63">
        <f t="shared" si="76"/>
        <v>3.1184999999999996</v>
      </c>
      <c r="AV63" s="526">
        <f t="shared" si="47"/>
        <v>0.88398700797560115</v>
      </c>
      <c r="AW63" s="534">
        <f t="shared" si="77"/>
        <v>2.7385630982615927</v>
      </c>
      <c r="AX63" s="534">
        <f t="shared" si="78"/>
        <v>0.87899440127455286</v>
      </c>
      <c r="AY63" s="9"/>
      <c r="AZ63" s="4">
        <f t="shared" si="48"/>
        <v>88.39870079756011</v>
      </c>
      <c r="BA63" s="348">
        <f t="shared" si="79"/>
        <v>0.20384612758821063</v>
      </c>
      <c r="BB63" s="348">
        <f t="shared" si="80"/>
        <v>6.5921248757879011E-2</v>
      </c>
      <c r="BC63" s="348">
        <f t="shared" si="81"/>
        <v>4.9792056332028961E-2</v>
      </c>
      <c r="BD63" s="348">
        <f t="shared" si="82"/>
        <v>1.5981716386810053E-2</v>
      </c>
      <c r="BE63" s="348">
        <f t="shared" si="83"/>
        <v>2.307568634486204E-2</v>
      </c>
      <c r="BK63" s="18"/>
      <c r="BL63" s="19"/>
    </row>
    <row r="64" spans="1:64" x14ac:dyDescent="0.25">
      <c r="A64" s="75"/>
      <c r="B64" s="30"/>
      <c r="G64">
        <v>55</v>
      </c>
      <c r="H64" s="531">
        <f t="shared" si="49"/>
        <v>6.6</v>
      </c>
      <c r="I64" s="4">
        <f t="shared" si="50"/>
        <v>1</v>
      </c>
      <c r="J64" s="348">
        <f t="shared" si="84"/>
        <v>0.96250000000000002</v>
      </c>
      <c r="K64" s="348">
        <f t="shared" si="51"/>
        <v>0.96250000000000002</v>
      </c>
      <c r="L64" s="4">
        <f t="shared" si="52"/>
        <v>0.53472222222222232</v>
      </c>
      <c r="M64" s="348">
        <f t="shared" si="53"/>
        <v>0.50339407153610549</v>
      </c>
      <c r="N64" s="4">
        <f t="shared" si="54"/>
        <v>0.60005922621695473</v>
      </c>
      <c r="O64" s="4">
        <f t="shared" si="39"/>
        <v>1.2625296131084773</v>
      </c>
      <c r="P64" s="4">
        <f t="shared" si="40"/>
        <v>0.66247038689152271</v>
      </c>
      <c r="Q64" s="4">
        <f t="shared" si="55"/>
        <v>0</v>
      </c>
      <c r="R64" s="4">
        <f t="shared" si="41"/>
        <v>0.97796327789646964</v>
      </c>
      <c r="S64" s="348">
        <f t="shared" si="56"/>
        <v>3.92128990894743E-3</v>
      </c>
      <c r="T64" s="348">
        <f t="shared" si="57"/>
        <v>0.2</v>
      </c>
      <c r="U64" s="348">
        <f t="shared" si="58"/>
        <v>0.20398528074278349</v>
      </c>
      <c r="V64" s="4">
        <f t="shared" si="42"/>
        <v>0.17322217789303868</v>
      </c>
      <c r="W64" s="348">
        <f t="shared" si="10"/>
        <v>3.0005922914007538E-5</v>
      </c>
      <c r="X64" s="348">
        <f t="shared" si="43"/>
        <v>3.0005922914007538E-5</v>
      </c>
      <c r="Y64" s="4">
        <f t="shared" si="44"/>
        <v>0.48897037295376344</v>
      </c>
      <c r="Z64" s="348">
        <f t="shared" si="11"/>
        <v>7.1727607687962765E-4</v>
      </c>
      <c r="AA64" s="525">
        <f t="shared" si="45"/>
        <v>7.1727607687962765E-4</v>
      </c>
      <c r="AB64" s="348">
        <f t="shared" si="46"/>
        <v>0.69386757943420008</v>
      </c>
      <c r="AC64" s="348">
        <f t="shared" si="59"/>
        <v>3.8516177423190078E-3</v>
      </c>
      <c r="AD64" s="348">
        <f t="shared" si="60"/>
        <v>5.0748244592903335E-3</v>
      </c>
      <c r="AE64" s="348">
        <f t="shared" si="61"/>
        <v>3.1326609599999992E-2</v>
      </c>
      <c r="AF64" s="348">
        <f t="shared" si="62"/>
        <v>0</v>
      </c>
      <c r="AG64" s="348">
        <f t="shared" si="63"/>
        <v>4.0287189389366186E-2</v>
      </c>
      <c r="AH64" s="348">
        <f t="shared" si="64"/>
        <v>0.68917338538580519</v>
      </c>
      <c r="AI64" s="348">
        <f t="shared" si="65"/>
        <v>2.6122797531827236E-3</v>
      </c>
      <c r="AJ64" s="348">
        <f t="shared" si="66"/>
        <v>8.7464607999999996E-3</v>
      </c>
      <c r="AK64" s="348">
        <f t="shared" si="67"/>
        <v>1.1365272192679158E-2</v>
      </c>
      <c r="AL64" s="348">
        <f t="shared" si="68"/>
        <v>8.7464607999999996E-3</v>
      </c>
      <c r="AM64" s="348">
        <f t="shared" si="69"/>
        <v>1.5020707679999997E-2</v>
      </c>
      <c r="AN64" s="348">
        <f t="shared" si="70"/>
        <v>2.3910304322850188E-2</v>
      </c>
      <c r="AO64" s="348">
        <f t="shared" si="71"/>
        <v>1.452E-5</v>
      </c>
      <c r="AP64" s="348">
        <f t="shared" si="72"/>
        <v>0.10709952</v>
      </c>
      <c r="AQ64" s="348">
        <f t="shared" si="26"/>
        <v>4.9827049411764704E-2</v>
      </c>
      <c r="AR64" s="348">
        <f t="shared" si="73"/>
        <v>2.5963519999999997E-2</v>
      </c>
      <c r="AS64" s="348">
        <f t="shared" si="74"/>
        <v>0.10711404000000001</v>
      </c>
      <c r="AT64" s="348">
        <f t="shared" si="75"/>
        <v>0.41117653712747271</v>
      </c>
      <c r="AU64">
        <f t="shared" si="76"/>
        <v>3.17625</v>
      </c>
      <c r="AV64" s="526">
        <f t="shared" si="47"/>
        <v>0.88538398406989804</v>
      </c>
      <c r="AW64" s="534">
        <f t="shared" si="77"/>
        <v>2.7610471051991405</v>
      </c>
      <c r="AX64" s="534">
        <f t="shared" si="78"/>
        <v>0.8977158149893536</v>
      </c>
      <c r="AY64" s="9"/>
      <c r="AZ64" s="4">
        <f t="shared" si="48"/>
        <v>88.538398406989799</v>
      </c>
      <c r="BA64" s="348">
        <f t="shared" si="79"/>
        <v>0.20398528074278349</v>
      </c>
      <c r="BB64" s="348">
        <f t="shared" si="80"/>
        <v>6.6673169262045348E-2</v>
      </c>
      <c r="BC64" s="348">
        <f t="shared" si="81"/>
        <v>5.0200856458166188E-2</v>
      </c>
      <c r="BD64" s="348">
        <f t="shared" si="82"/>
        <v>1.6322105727079157E-2</v>
      </c>
      <c r="BE64" s="348">
        <f t="shared" si="83"/>
        <v>2.3910304322850188E-2</v>
      </c>
      <c r="BK64" s="18"/>
      <c r="BL64" s="19"/>
    </row>
    <row r="65" spans="1:64" x14ac:dyDescent="0.25">
      <c r="G65">
        <v>56</v>
      </c>
      <c r="H65" s="531">
        <f t="shared" si="49"/>
        <v>6.6</v>
      </c>
      <c r="I65" s="4">
        <f t="shared" si="50"/>
        <v>1</v>
      </c>
      <c r="J65" s="348">
        <f t="shared" si="84"/>
        <v>0.98</v>
      </c>
      <c r="K65" s="348">
        <f t="shared" si="51"/>
        <v>0.98</v>
      </c>
      <c r="L65" s="4">
        <f t="shared" si="52"/>
        <v>0.54444444444444451</v>
      </c>
      <c r="M65" s="348">
        <f t="shared" si="53"/>
        <v>0.50345557644536054</v>
      </c>
      <c r="N65" s="4">
        <f t="shared" si="54"/>
        <v>0.60009389682834646</v>
      </c>
      <c r="O65" s="4">
        <f t="shared" si="39"/>
        <v>1.2800469484141732</v>
      </c>
      <c r="P65" s="4">
        <f t="shared" si="40"/>
        <v>0.67995305158582675</v>
      </c>
      <c r="Q65" s="4">
        <f t="shared" si="55"/>
        <v>0</v>
      </c>
      <c r="R65" s="4">
        <f t="shared" si="41"/>
        <v>0.99519314226814903</v>
      </c>
      <c r="S65" s="348">
        <f t="shared" si="56"/>
        <v>4.0606785007119639E-3</v>
      </c>
      <c r="T65" s="348">
        <f t="shared" si="57"/>
        <v>0.2</v>
      </c>
      <c r="U65" s="348">
        <f t="shared" si="58"/>
        <v>0.20412699002709742</v>
      </c>
      <c r="V65" s="4">
        <f t="shared" si="42"/>
        <v>0.17323218643644869</v>
      </c>
      <c r="W65" s="348">
        <f t="shared" si="10"/>
        <v>3.0009390417552518E-5</v>
      </c>
      <c r="X65" s="348">
        <f t="shared" si="43"/>
        <v>3.0009390417552518E-5</v>
      </c>
      <c r="Y65" s="4">
        <f t="shared" si="44"/>
        <v>0.49758468738232847</v>
      </c>
      <c r="Z65" s="348">
        <f t="shared" si="11"/>
        <v>7.427715633521087E-4</v>
      </c>
      <c r="AA65" s="525">
        <f t="shared" si="45"/>
        <v>7.427715633521087E-4</v>
      </c>
      <c r="AB65" s="348">
        <f t="shared" si="46"/>
        <v>0.70613534861920546</v>
      </c>
      <c r="AC65" s="348">
        <f t="shared" si="59"/>
        <v>3.9890170445565348E-3</v>
      </c>
      <c r="AD65" s="348">
        <f t="shared" si="60"/>
        <v>5.1670939949137931E-3</v>
      </c>
      <c r="AE65" s="348">
        <f t="shared" si="61"/>
        <v>3.1326609599999992E-2</v>
      </c>
      <c r="AF65" s="348">
        <f t="shared" si="62"/>
        <v>0</v>
      </c>
      <c r="AG65" s="348">
        <f t="shared" si="63"/>
        <v>4.0518278822534941E-2</v>
      </c>
      <c r="AH65" s="348">
        <f t="shared" si="64"/>
        <v>0.70127188725057654</v>
      </c>
      <c r="AI65" s="348">
        <f t="shared" si="65"/>
        <v>2.7048024291639193E-3</v>
      </c>
      <c r="AJ65" s="348">
        <f t="shared" si="66"/>
        <v>8.9054873599999987E-3</v>
      </c>
      <c r="AK65" s="348">
        <f t="shared" si="67"/>
        <v>1.1617202681531198E-2</v>
      </c>
      <c r="AL65" s="348">
        <f t="shared" si="68"/>
        <v>8.9054873599999987E-3</v>
      </c>
      <c r="AM65" s="348">
        <f t="shared" si="69"/>
        <v>1.5293811455999997E-2</v>
      </c>
      <c r="AN65" s="348">
        <f t="shared" si="70"/>
        <v>2.4760234760438808E-2</v>
      </c>
      <c r="AO65" s="348">
        <f t="shared" si="71"/>
        <v>1.452E-5</v>
      </c>
      <c r="AP65" s="348">
        <f t="shared" si="72"/>
        <v>0.10709952</v>
      </c>
      <c r="AQ65" s="348">
        <f t="shared" si="26"/>
        <v>4.9827049411764704E-2</v>
      </c>
      <c r="AR65" s="348">
        <f t="shared" si="73"/>
        <v>2.5963519999999997E-2</v>
      </c>
      <c r="AS65" s="348">
        <f t="shared" si="74"/>
        <v>0.10711404000000001</v>
      </c>
      <c r="AT65" s="348">
        <f t="shared" si="75"/>
        <v>0.41310882606137211</v>
      </c>
      <c r="AU65">
        <f t="shared" si="76"/>
        <v>3.234</v>
      </c>
      <c r="AV65" s="526">
        <f t="shared" si="47"/>
        <v>0.88672977808904563</v>
      </c>
      <c r="AW65" s="534">
        <f t="shared" si="77"/>
        <v>2.783670691092222</v>
      </c>
      <c r="AX65" s="534">
        <f t="shared" si="78"/>
        <v>0.91652882541061587</v>
      </c>
      <c r="AY65" s="9"/>
      <c r="AZ65" s="4">
        <f t="shared" si="48"/>
        <v>88.672977808904562</v>
      </c>
      <c r="BA65" s="348">
        <f t="shared" si="79"/>
        <v>0.20412699002709742</v>
      </c>
      <c r="BB65" s="348">
        <f t="shared" si="80"/>
        <v>6.7429292960066139E-2</v>
      </c>
      <c r="BC65" s="348">
        <f t="shared" si="81"/>
        <v>5.0612194383494943E-2</v>
      </c>
      <c r="BD65" s="348">
        <f t="shared" si="82"/>
        <v>1.6664160462011197E-2</v>
      </c>
      <c r="BE65" s="348">
        <f t="shared" si="83"/>
        <v>2.4760234760438808E-2</v>
      </c>
      <c r="BK65" s="18"/>
      <c r="BL65" s="19"/>
    </row>
    <row r="66" spans="1:64" ht="13" x14ac:dyDescent="0.3">
      <c r="A66" s="11" t="s">
        <v>77</v>
      </c>
      <c r="B66" s="31"/>
      <c r="C66" s="31"/>
      <c r="G66">
        <v>57</v>
      </c>
      <c r="H66" s="531">
        <f t="shared" si="49"/>
        <v>6.6</v>
      </c>
      <c r="I66" s="4">
        <f t="shared" si="50"/>
        <v>1</v>
      </c>
      <c r="J66" s="348">
        <f t="shared" si="84"/>
        <v>0.99750000000000005</v>
      </c>
      <c r="K66" s="348">
        <f t="shared" si="51"/>
        <v>0.99750000000000005</v>
      </c>
      <c r="L66" s="4">
        <f t="shared" si="52"/>
        <v>0.5541666666666667</v>
      </c>
      <c r="M66" s="348">
        <f t="shared" si="53"/>
        <v>0.50351707404083279</v>
      </c>
      <c r="N66" s="4">
        <f t="shared" si="54"/>
        <v>0.60012854928049031</v>
      </c>
      <c r="O66" s="4">
        <f t="shared" si="39"/>
        <v>1.2975642746402452</v>
      </c>
      <c r="P66" s="4">
        <f t="shared" si="40"/>
        <v>0.69743572535975495</v>
      </c>
      <c r="Q66" s="4">
        <f t="shared" si="55"/>
        <v>0</v>
      </c>
      <c r="R66" s="4">
        <f t="shared" si="41"/>
        <v>1.0124322724533852</v>
      </c>
      <c r="S66" s="348">
        <f t="shared" si="56"/>
        <v>4.2025783358510139E-3</v>
      </c>
      <c r="T66" s="348">
        <f t="shared" si="57"/>
        <v>0.2</v>
      </c>
      <c r="U66" s="348">
        <f t="shared" si="58"/>
        <v>0.20427125561212883</v>
      </c>
      <c r="V66" s="4">
        <f t="shared" si="42"/>
        <v>0.17324218973773534</v>
      </c>
      <c r="W66" s="348">
        <f t="shared" si="10"/>
        <v>3.0012856305125491E-5</v>
      </c>
      <c r="X66" s="348">
        <f t="shared" si="43"/>
        <v>3.0012856305125491E-5</v>
      </c>
      <c r="Y66" s="4">
        <f t="shared" si="44"/>
        <v>0.50620361247711987</v>
      </c>
      <c r="Z66" s="348">
        <f t="shared" si="11"/>
        <v>7.6872629185465856E-4</v>
      </c>
      <c r="AA66" s="525">
        <f t="shared" si="45"/>
        <v>7.6872629185465856E-4</v>
      </c>
      <c r="AB66" s="348">
        <f t="shared" si="46"/>
        <v>0.71841117839487034</v>
      </c>
      <c r="AC66" s="348">
        <f t="shared" si="59"/>
        <v>4.1289169699416503E-3</v>
      </c>
      <c r="AD66" s="348">
        <f t="shared" si="60"/>
        <v>5.2593635305372543E-3</v>
      </c>
      <c r="AE66" s="348">
        <f t="shared" si="61"/>
        <v>3.1326609599999992E-2</v>
      </c>
      <c r="AF66" s="348">
        <f t="shared" si="62"/>
        <v>0</v>
      </c>
      <c r="AG66" s="348">
        <f t="shared" si="63"/>
        <v>4.0751907573881543E-2</v>
      </c>
      <c r="AH66" s="348">
        <f t="shared" si="64"/>
        <v>0.71337541663728454</v>
      </c>
      <c r="AI66" s="348">
        <f t="shared" si="65"/>
        <v>2.7989746678433059E-3</v>
      </c>
      <c r="AJ66" s="348">
        <f t="shared" si="66"/>
        <v>9.0645139199999995E-3</v>
      </c>
      <c r="AK66" s="348">
        <f t="shared" si="67"/>
        <v>1.1870798321877108E-2</v>
      </c>
      <c r="AL66" s="348">
        <f t="shared" si="68"/>
        <v>9.0645139199999995E-3</v>
      </c>
      <c r="AM66" s="348">
        <f t="shared" si="69"/>
        <v>1.5566915231999998E-2</v>
      </c>
      <c r="AN66" s="348">
        <f t="shared" si="70"/>
        <v>2.562547765762814E-2</v>
      </c>
      <c r="AO66" s="348">
        <f t="shared" si="71"/>
        <v>1.452E-5</v>
      </c>
      <c r="AP66" s="348">
        <f t="shared" si="72"/>
        <v>0.10709952</v>
      </c>
      <c r="AQ66" s="348">
        <f t="shared" si="26"/>
        <v>4.9827049411764704E-2</v>
      </c>
      <c r="AR66" s="348">
        <f t="shared" si="73"/>
        <v>2.5963519999999997E-2</v>
      </c>
      <c r="AS66" s="348">
        <f t="shared" si="74"/>
        <v>0.10711404000000001</v>
      </c>
      <c r="AT66" s="348">
        <f t="shared" si="75"/>
        <v>0.41506364746567542</v>
      </c>
      <c r="AU66">
        <f t="shared" si="76"/>
        <v>3.29175</v>
      </c>
      <c r="AV66" s="526">
        <f t="shared" si="47"/>
        <v>0.88802683734871546</v>
      </c>
      <c r="AW66" s="534">
        <f t="shared" si="77"/>
        <v>2.8064339394850846</v>
      </c>
      <c r="AX66" s="534">
        <f t="shared" si="78"/>
        <v>0.93543341916404099</v>
      </c>
      <c r="AY66" s="9"/>
      <c r="AZ66" s="4">
        <f t="shared" si="48"/>
        <v>88.80268373487155</v>
      </c>
      <c r="BA66" s="348">
        <f t="shared" si="79"/>
        <v>0.20427125561212883</v>
      </c>
      <c r="BB66" s="348">
        <f t="shared" si="80"/>
        <v>6.8189621127758657E-2</v>
      </c>
      <c r="BC66" s="348">
        <f t="shared" si="81"/>
        <v>5.102607162700154E-2</v>
      </c>
      <c r="BD66" s="348">
        <f t="shared" si="82"/>
        <v>1.7007880348437109E-2</v>
      </c>
      <c r="BE66" s="348">
        <f t="shared" si="83"/>
        <v>2.562547765762814E-2</v>
      </c>
      <c r="BK66" s="18"/>
      <c r="BL66" s="19"/>
    </row>
    <row r="67" spans="1:64" ht="13" x14ac:dyDescent="0.3">
      <c r="A67" s="14" t="s">
        <v>55</v>
      </c>
      <c r="B67" s="15" t="s">
        <v>7</v>
      </c>
      <c r="C67" s="15" t="s">
        <v>76</v>
      </c>
      <c r="G67">
        <v>58</v>
      </c>
      <c r="H67" s="531">
        <f t="shared" si="49"/>
        <v>6.6</v>
      </c>
      <c r="I67" s="4">
        <f t="shared" si="50"/>
        <v>1</v>
      </c>
      <c r="J67" s="348">
        <f t="shared" si="84"/>
        <v>1.0149999999999999</v>
      </c>
      <c r="K67" s="348">
        <f t="shared" si="51"/>
        <v>1.0149999999999999</v>
      </c>
      <c r="L67" s="4">
        <f t="shared" si="52"/>
        <v>0.56388888888888888</v>
      </c>
      <c r="M67" s="348">
        <f t="shared" si="53"/>
        <v>0.50357856432382642</v>
      </c>
      <c r="N67" s="4">
        <f t="shared" si="54"/>
        <v>0.60016318357662501</v>
      </c>
      <c r="O67" s="4">
        <f t="shared" si="39"/>
        <v>1.3150815917883123</v>
      </c>
      <c r="P67" s="4">
        <f t="shared" si="40"/>
        <v>0.7149184082116874</v>
      </c>
      <c r="Q67" s="4">
        <f t="shared" si="55"/>
        <v>0</v>
      </c>
      <c r="R67" s="4">
        <f t="shared" si="41"/>
        <v>1.0296802030614824</v>
      </c>
      <c r="S67" s="348">
        <f t="shared" si="56"/>
        <v>4.3469894143646163E-3</v>
      </c>
      <c r="T67" s="348">
        <f t="shared" si="57"/>
        <v>0.2</v>
      </c>
      <c r="U67" s="348">
        <f t="shared" si="58"/>
        <v>0.20441807767194423</v>
      </c>
      <c r="V67" s="4">
        <f t="shared" si="42"/>
        <v>0.17325218779783363</v>
      </c>
      <c r="W67" s="348">
        <f t="shared" si="10"/>
        <v>3.0016320576735813E-5</v>
      </c>
      <c r="X67" s="348">
        <f t="shared" si="43"/>
        <v>3.0016320576735813E-5</v>
      </c>
      <c r="Y67" s="4">
        <f t="shared" si="44"/>
        <v>0.51482691515093315</v>
      </c>
      <c r="Z67" s="348">
        <f t="shared" si="11"/>
        <v>7.9514025769147846E-4</v>
      </c>
      <c r="AA67" s="525">
        <f t="shared" si="45"/>
        <v>7.9514025769147846E-4</v>
      </c>
      <c r="AB67" s="348">
        <f t="shared" si="46"/>
        <v>0.73069473930830398</v>
      </c>
      <c r="AC67" s="348">
        <f t="shared" si="59"/>
        <v>4.2713184164226425E-3</v>
      </c>
      <c r="AD67" s="348">
        <f t="shared" si="60"/>
        <v>5.3516330661607138E-3</v>
      </c>
      <c r="AE67" s="348">
        <f t="shared" si="61"/>
        <v>3.1326609599999992E-2</v>
      </c>
      <c r="AF67" s="348">
        <f t="shared" si="62"/>
        <v>0</v>
      </c>
      <c r="AG67" s="348">
        <f t="shared" si="63"/>
        <v>4.0988077170935625E-2</v>
      </c>
      <c r="AH67" s="348">
        <f t="shared" si="64"/>
        <v>0.72548364455989311</v>
      </c>
      <c r="AI67" s="348">
        <f t="shared" si="65"/>
        <v>2.8947958518814793E-3</v>
      </c>
      <c r="AJ67" s="348">
        <f t="shared" si="66"/>
        <v>9.2235404799999986E-3</v>
      </c>
      <c r="AK67" s="348">
        <f t="shared" si="67"/>
        <v>1.2126058874165771E-2</v>
      </c>
      <c r="AL67" s="348">
        <f t="shared" si="68"/>
        <v>9.2235404799999986E-3</v>
      </c>
      <c r="AM67" s="348">
        <f t="shared" si="69"/>
        <v>1.5840019007999997E-2</v>
      </c>
      <c r="AN67" s="348">
        <f t="shared" si="70"/>
        <v>2.6506033014418395E-2</v>
      </c>
      <c r="AO67" s="348">
        <f t="shared" si="71"/>
        <v>1.452E-5</v>
      </c>
      <c r="AP67" s="348">
        <f t="shared" si="72"/>
        <v>0.10709952</v>
      </c>
      <c r="AQ67" s="348">
        <f t="shared" si="26"/>
        <v>4.9827049411764704E-2</v>
      </c>
      <c r="AR67" s="348">
        <f t="shared" si="73"/>
        <v>2.5963519999999997E-2</v>
      </c>
      <c r="AS67" s="348">
        <f t="shared" si="74"/>
        <v>0.10711404000000001</v>
      </c>
      <c r="AT67" s="348">
        <f t="shared" si="75"/>
        <v>0.41704100279773226</v>
      </c>
      <c r="AU67">
        <f t="shared" si="76"/>
        <v>3.3494999999999995</v>
      </c>
      <c r="AV67" s="526">
        <f t="shared" si="47"/>
        <v>0.88927745576433115</v>
      </c>
      <c r="AW67" s="534">
        <f t="shared" si="77"/>
        <v>2.8293369343918591</v>
      </c>
      <c r="AX67" s="534">
        <f t="shared" si="78"/>
        <v>0.95442958307431724</v>
      </c>
      <c r="AY67" s="9"/>
      <c r="AZ67" s="4">
        <f t="shared" si="48"/>
        <v>88.927745576433111</v>
      </c>
      <c r="BA67" s="348">
        <f t="shared" si="79"/>
        <v>0.20441807767194423</v>
      </c>
      <c r="BB67" s="348">
        <f t="shared" si="80"/>
        <v>6.8954155053101387E-2</v>
      </c>
      <c r="BC67" s="348">
        <f t="shared" si="81"/>
        <v>5.1442489716215622E-2</v>
      </c>
      <c r="BD67" s="348">
        <f t="shared" si="82"/>
        <v>1.7353265146805769E-2</v>
      </c>
      <c r="BE67" s="348">
        <f t="shared" si="83"/>
        <v>2.6506033014418395E-2</v>
      </c>
      <c r="BK67" s="18"/>
      <c r="BL67" s="19"/>
    </row>
    <row r="68" spans="1:64" x14ac:dyDescent="0.25">
      <c r="A68" s="32" t="s">
        <v>205</v>
      </c>
      <c r="B68" s="436">
        <f>D1_Vinmin</f>
        <v>0.65999999999999992</v>
      </c>
      <c r="C68" s="21" t="s">
        <v>18</v>
      </c>
      <c r="G68">
        <v>59</v>
      </c>
      <c r="H68" s="531">
        <f t="shared" si="49"/>
        <v>6.6</v>
      </c>
      <c r="I68" s="4">
        <f t="shared" si="50"/>
        <v>1</v>
      </c>
      <c r="J68" s="348">
        <f t="shared" si="84"/>
        <v>1.0325</v>
      </c>
      <c r="K68" s="348">
        <f t="shared" si="51"/>
        <v>1.0325</v>
      </c>
      <c r="L68" s="4">
        <f t="shared" si="52"/>
        <v>0.57361111111111118</v>
      </c>
      <c r="M68" s="348">
        <f t="shared" si="53"/>
        <v>0.50364004729564593</v>
      </c>
      <c r="N68" s="4">
        <f t="shared" si="54"/>
        <v>0.60019779971998899</v>
      </c>
      <c r="O68" s="4">
        <f t="shared" si="39"/>
        <v>1.3325988998599945</v>
      </c>
      <c r="P68" s="4">
        <f t="shared" si="40"/>
        <v>0.73240110014000548</v>
      </c>
      <c r="Q68" s="4">
        <f t="shared" si="55"/>
        <v>0</v>
      </c>
      <c r="R68" s="4">
        <f t="shared" si="41"/>
        <v>1.0469364991404173</v>
      </c>
      <c r="S68" s="348">
        <f t="shared" si="56"/>
        <v>4.4939117362528111E-3</v>
      </c>
      <c r="T68" s="348">
        <f t="shared" si="57"/>
        <v>0.2</v>
      </c>
      <c r="U68" s="348">
        <f t="shared" si="58"/>
        <v>0.20456745638370066</v>
      </c>
      <c r="V68" s="4">
        <f t="shared" si="42"/>
        <v>0.17326218061767837</v>
      </c>
      <c r="W68" s="348">
        <f t="shared" si="10"/>
        <v>3.0019783232393003E-5</v>
      </c>
      <c r="X68" s="348">
        <f t="shared" si="43"/>
        <v>3.0019783232393003E-5</v>
      </c>
      <c r="Y68" s="4">
        <f t="shared" si="44"/>
        <v>0.52345437753608803</v>
      </c>
      <c r="Z68" s="348">
        <f t="shared" si="11"/>
        <v>8.2201345608508009E-4</v>
      </c>
      <c r="AA68" s="525">
        <f t="shared" si="45"/>
        <v>8.2201345608508009E-4</v>
      </c>
      <c r="AB68" s="348">
        <f t="shared" si="46"/>
        <v>0.74298572342729874</v>
      </c>
      <c r="AC68" s="348">
        <f t="shared" si="59"/>
        <v>4.4162222817342913E-3</v>
      </c>
      <c r="AD68" s="348">
        <f t="shared" si="60"/>
        <v>5.443902601784175E-3</v>
      </c>
      <c r="AE68" s="348">
        <f t="shared" si="61"/>
        <v>3.1326609599999992E-2</v>
      </c>
      <c r="AF68" s="348">
        <f t="shared" si="62"/>
        <v>0</v>
      </c>
      <c r="AG68" s="348">
        <f t="shared" si="63"/>
        <v>4.1226789149784941E-2</v>
      </c>
      <c r="AH68" s="348">
        <f t="shared" si="64"/>
        <v>0.73759626355859931</v>
      </c>
      <c r="AI68" s="348">
        <f t="shared" si="65"/>
        <v>2.9922653640858366E-3</v>
      </c>
      <c r="AJ68" s="348">
        <f t="shared" si="66"/>
        <v>9.3825670399999995E-3</v>
      </c>
      <c r="AK68" s="348">
        <f t="shared" si="67"/>
        <v>1.2382984102461277E-2</v>
      </c>
      <c r="AL68" s="348">
        <f t="shared" si="68"/>
        <v>9.3825670399999995E-3</v>
      </c>
      <c r="AM68" s="348">
        <f t="shared" si="69"/>
        <v>1.6113122783999997E-2</v>
      </c>
      <c r="AN68" s="348">
        <f t="shared" si="70"/>
        <v>2.7401900830809831E-2</v>
      </c>
      <c r="AO68" s="348">
        <f t="shared" si="71"/>
        <v>1.452E-5</v>
      </c>
      <c r="AP68" s="348">
        <f t="shared" si="72"/>
        <v>0.10709952</v>
      </c>
      <c r="AQ68" s="348">
        <f t="shared" si="26"/>
        <v>4.9827049411764704E-2</v>
      </c>
      <c r="AR68" s="348">
        <f t="shared" si="73"/>
        <v>2.5963519999999997E-2</v>
      </c>
      <c r="AS68" s="348">
        <f t="shared" si="74"/>
        <v>0.10711404000000001</v>
      </c>
      <c r="AT68" s="348">
        <f t="shared" si="75"/>
        <v>0.41904089353007423</v>
      </c>
      <c r="AU68">
        <f t="shared" si="76"/>
        <v>3.4072499999999999</v>
      </c>
      <c r="AV68" s="526">
        <f t="shared" si="47"/>
        <v>0.89048378568429387</v>
      </c>
      <c r="AW68" s="534">
        <f t="shared" si="77"/>
        <v>2.8523797602973717</v>
      </c>
      <c r="AX68" s="534">
        <f t="shared" si="78"/>
        <v>0.97351730416497007</v>
      </c>
      <c r="AY68" s="9"/>
      <c r="AZ68" s="4">
        <f t="shared" si="48"/>
        <v>89.048378568429385</v>
      </c>
      <c r="BA68" s="348">
        <f t="shared" si="79"/>
        <v>0.20456745638370066</v>
      </c>
      <c r="BB68" s="348">
        <f t="shared" si="80"/>
        <v>6.9722896036246207E-2</v>
      </c>
      <c r="BC68" s="348">
        <f t="shared" si="81"/>
        <v>5.186145018722494E-2</v>
      </c>
      <c r="BD68" s="348">
        <f t="shared" si="82"/>
        <v>1.7700314621181275E-2</v>
      </c>
      <c r="BE68" s="348">
        <f t="shared" si="83"/>
        <v>2.7401900830809831E-2</v>
      </c>
      <c r="BK68" s="18"/>
      <c r="BL68" s="19"/>
    </row>
    <row r="69" spans="1:64" x14ac:dyDescent="0.25">
      <c r="A69" s="23" t="s">
        <v>78</v>
      </c>
      <c r="B69" s="436">
        <f>1-B68</f>
        <v>0.34000000000000008</v>
      </c>
      <c r="C69" s="21" t="s">
        <v>18</v>
      </c>
      <c r="G69">
        <v>60</v>
      </c>
      <c r="H69" s="531">
        <f t="shared" si="49"/>
        <v>6.6</v>
      </c>
      <c r="I69" s="4">
        <f t="shared" si="50"/>
        <v>1</v>
      </c>
      <c r="J69" s="348">
        <f t="shared" si="84"/>
        <v>1.05</v>
      </c>
      <c r="K69" s="348">
        <f t="shared" si="51"/>
        <v>1.05</v>
      </c>
      <c r="L69" s="4">
        <f t="shared" si="52"/>
        <v>0.58333333333333337</v>
      </c>
      <c r="M69" s="348">
        <f t="shared" si="53"/>
        <v>0.50370152295759496</v>
      </c>
      <c r="N69" s="4">
        <f t="shared" si="54"/>
        <v>0.6002323977138192</v>
      </c>
      <c r="O69" s="4">
        <f t="shared" si="39"/>
        <v>1.3501161988569097</v>
      </c>
      <c r="P69" s="4">
        <f t="shared" si="40"/>
        <v>0.74988380114309039</v>
      </c>
      <c r="Q69" s="4">
        <f t="shared" si="55"/>
        <v>0</v>
      </c>
      <c r="R69" s="4">
        <f t="shared" si="41"/>
        <v>1.0642007537453197</v>
      </c>
      <c r="S69" s="348">
        <f t="shared" si="56"/>
        <v>4.6433453015156372E-3</v>
      </c>
      <c r="T69" s="348">
        <f t="shared" si="57"/>
        <v>0.2</v>
      </c>
      <c r="U69" s="348">
        <f t="shared" si="58"/>
        <v>0.20471939192764654</v>
      </c>
      <c r="V69" s="4">
        <f t="shared" si="42"/>
        <v>0.17327216819820401</v>
      </c>
      <c r="W69" s="348">
        <f t="shared" si="10"/>
        <v>3.0023244272106703E-5</v>
      </c>
      <c r="X69" s="348">
        <f t="shared" si="43"/>
        <v>3.0023244272106703E-5</v>
      </c>
      <c r="Y69" s="4">
        <f t="shared" si="44"/>
        <v>0.53208579576866899</v>
      </c>
      <c r="Z69" s="348">
        <f t="shared" si="11"/>
        <v>8.4934588217633322E-4</v>
      </c>
      <c r="AA69" s="525">
        <f t="shared" si="45"/>
        <v>8.4934588217633322E-4</v>
      </c>
      <c r="AB69" s="348">
        <f t="shared" si="46"/>
        <v>0.75528384262126014</v>
      </c>
      <c r="AC69" s="348">
        <f t="shared" si="59"/>
        <v>4.5636294633978917E-3</v>
      </c>
      <c r="AD69" s="348">
        <f t="shared" si="60"/>
        <v>5.5361721374076363E-3</v>
      </c>
      <c r="AE69" s="348">
        <f t="shared" si="61"/>
        <v>3.1326609599999992E-2</v>
      </c>
      <c r="AF69" s="348">
        <f t="shared" si="62"/>
        <v>0</v>
      </c>
      <c r="AG69" s="348">
        <f t="shared" si="63"/>
        <v>4.1468045055090164E-2</v>
      </c>
      <c r="AH69" s="348">
        <f t="shared" si="64"/>
        <v>0.74971298598021519</v>
      </c>
      <c r="AI69" s="348">
        <f t="shared" si="65"/>
        <v>3.0913825874105366E-3</v>
      </c>
      <c r="AJ69" s="348">
        <f t="shared" si="66"/>
        <v>9.5415935999999986E-3</v>
      </c>
      <c r="AK69" s="348">
        <f t="shared" si="67"/>
        <v>1.2641573774440166E-2</v>
      </c>
      <c r="AL69" s="348">
        <f t="shared" si="68"/>
        <v>9.5415935999999986E-3</v>
      </c>
      <c r="AM69" s="348">
        <f t="shared" si="69"/>
        <v>1.6386226559999998E-2</v>
      </c>
      <c r="AN69" s="348">
        <f t="shared" si="70"/>
        <v>2.8313081106802668E-2</v>
      </c>
      <c r="AO69" s="348">
        <f t="shared" si="71"/>
        <v>1.452E-5</v>
      </c>
      <c r="AP69" s="348">
        <f t="shared" si="72"/>
        <v>0.10709952</v>
      </c>
      <c r="AQ69" s="348">
        <f t="shared" si="26"/>
        <v>4.9827049411764704E-2</v>
      </c>
      <c r="AR69" s="348">
        <f t="shared" si="73"/>
        <v>2.5963519999999997E-2</v>
      </c>
      <c r="AS69" s="348">
        <f t="shared" si="74"/>
        <v>0.10711404000000001</v>
      </c>
      <c r="AT69" s="348">
        <f t="shared" si="75"/>
        <v>0.42106332115042799</v>
      </c>
      <c r="AU69">
        <f t="shared" si="76"/>
        <v>3.4649999999999999</v>
      </c>
      <c r="AV69" s="526">
        <f t="shared" si="47"/>
        <v>0.89164784864447943</v>
      </c>
      <c r="AW69" s="534">
        <f t="shared" si="77"/>
        <v>2.8755625021579592</v>
      </c>
      <c r="AX69" s="534">
        <f t="shared" si="78"/>
        <v>0.99269656965820907</v>
      </c>
      <c r="AY69" s="9"/>
      <c r="AZ69" s="4">
        <f t="shared" si="48"/>
        <v>89.164784864447938</v>
      </c>
      <c r="BA69" s="348">
        <f t="shared" si="79"/>
        <v>0.20471939192764654</v>
      </c>
      <c r="BB69" s="348">
        <f t="shared" si="80"/>
        <v>7.0495845389530326E-2</v>
      </c>
      <c r="BC69" s="348">
        <f t="shared" si="81"/>
        <v>5.2282954584690164E-2</v>
      </c>
      <c r="BD69" s="348">
        <f t="shared" si="82"/>
        <v>1.8049028539240165E-2</v>
      </c>
      <c r="BE69" s="348">
        <f t="shared" si="83"/>
        <v>2.8313081106802668E-2</v>
      </c>
      <c r="BK69" s="18"/>
      <c r="BL69" s="19"/>
    </row>
    <row r="70" spans="1:64" x14ac:dyDescent="0.25">
      <c r="A70" s="33" t="s">
        <v>206</v>
      </c>
      <c r="B70" s="436">
        <f>Iripple_Vinnom</f>
        <v>0.60335491567306632</v>
      </c>
      <c r="C70" s="21" t="s">
        <v>1</v>
      </c>
      <c r="G70">
        <v>61</v>
      </c>
      <c r="H70" s="531">
        <f t="shared" si="49"/>
        <v>6.6</v>
      </c>
      <c r="I70" s="4">
        <f t="shared" si="50"/>
        <v>1</v>
      </c>
      <c r="J70" s="348">
        <f t="shared" si="84"/>
        <v>1.0674999999999999</v>
      </c>
      <c r="K70" s="348">
        <f t="shared" si="51"/>
        <v>1.0674999999999999</v>
      </c>
      <c r="L70" s="4">
        <f t="shared" si="52"/>
        <v>0.59305555555555545</v>
      </c>
      <c r="M70" s="348">
        <f t="shared" si="53"/>
        <v>0.50376299131097713</v>
      </c>
      <c r="N70" s="4">
        <f t="shared" si="54"/>
        <v>0.6002669775613525</v>
      </c>
      <c r="O70" s="4">
        <f t="shared" si="39"/>
        <v>1.367633488780676</v>
      </c>
      <c r="P70" s="4">
        <f t="shared" si="40"/>
        <v>0.76736651121932364</v>
      </c>
      <c r="Q70" s="4">
        <f t="shared" si="55"/>
        <v>0</v>
      </c>
      <c r="R70" s="4">
        <f t="shared" si="41"/>
        <v>1.0814725857347871</v>
      </c>
      <c r="S70" s="348">
        <f t="shared" si="56"/>
        <v>4.7952901101531338E-3</v>
      </c>
      <c r="T70" s="348">
        <f t="shared" si="57"/>
        <v>0.2</v>
      </c>
      <c r="U70" s="348">
        <f t="shared" si="58"/>
        <v>0.20487388448712193</v>
      </c>
      <c r="V70" s="4">
        <f t="shared" si="42"/>
        <v>0.17328215054034496</v>
      </c>
      <c r="W70" s="348">
        <f t="shared" si="10"/>
        <v>3.0026703695886775E-5</v>
      </c>
      <c r="X70" s="348">
        <f t="shared" si="43"/>
        <v>3.0026703695886775E-5</v>
      </c>
      <c r="Y70" s="4">
        <f t="shared" si="44"/>
        <v>0.54072097888668136</v>
      </c>
      <c r="Z70" s="348">
        <f t="shared" si="11"/>
        <v>8.7713753102451272E-4</v>
      </c>
      <c r="AA70" s="525">
        <f t="shared" si="45"/>
        <v>8.7713753102451272E-4</v>
      </c>
      <c r="AB70" s="348">
        <f t="shared" si="46"/>
        <v>0.76758882700321263</v>
      </c>
      <c r="AC70" s="348">
        <f t="shared" si="59"/>
        <v>4.7135408587213427E-3</v>
      </c>
      <c r="AD70" s="348">
        <f t="shared" si="60"/>
        <v>5.6284416730310958E-3</v>
      </c>
      <c r="AE70" s="348">
        <f t="shared" si="61"/>
        <v>3.1326609599999992E-2</v>
      </c>
      <c r="AF70" s="348">
        <f t="shared" si="62"/>
        <v>0</v>
      </c>
      <c r="AG70" s="348">
        <f t="shared" si="63"/>
        <v>4.1711846440099822E-2</v>
      </c>
      <c r="AH70" s="348">
        <f t="shared" si="64"/>
        <v>0.76183354241968015</v>
      </c>
      <c r="AI70" s="348">
        <f t="shared" si="65"/>
        <v>3.1921469049564521E-3</v>
      </c>
      <c r="AJ70" s="348">
        <f t="shared" si="66"/>
        <v>9.7006201599999977E-3</v>
      </c>
      <c r="AK70" s="348">
        <f t="shared" si="67"/>
        <v>1.2901827661388717E-2</v>
      </c>
      <c r="AL70" s="348">
        <f t="shared" si="68"/>
        <v>9.7006201599999977E-3</v>
      </c>
      <c r="AM70" s="348">
        <f t="shared" si="69"/>
        <v>1.6659330335999995E-2</v>
      </c>
      <c r="AN70" s="348">
        <f t="shared" si="70"/>
        <v>2.923957384239716E-2</v>
      </c>
      <c r="AO70" s="348">
        <f t="shared" si="71"/>
        <v>1.452E-5</v>
      </c>
      <c r="AP70" s="348">
        <f t="shared" si="72"/>
        <v>0.10709952</v>
      </c>
      <c r="AQ70" s="348">
        <f t="shared" si="26"/>
        <v>4.9827049411764704E-2</v>
      </c>
      <c r="AR70" s="348">
        <f t="shared" si="73"/>
        <v>2.5963519999999997E-2</v>
      </c>
      <c r="AS70" s="348">
        <f t="shared" si="74"/>
        <v>0.10711404000000001</v>
      </c>
      <c r="AT70" s="348">
        <f t="shared" si="75"/>
        <v>0.42310828716172805</v>
      </c>
      <c r="AU70">
        <f t="shared" si="76"/>
        <v>3.5227499999999994</v>
      </c>
      <c r="AV70" s="526">
        <f t="shared" si="47"/>
        <v>0.89277154515701784</v>
      </c>
      <c r="AW70" s="534">
        <f t="shared" si="77"/>
        <v>2.89888524540229</v>
      </c>
      <c r="AX70" s="534">
        <f t="shared" si="78"/>
        <v>1.0119673669747795</v>
      </c>
      <c r="AY70" s="9"/>
      <c r="AZ70" s="4">
        <f t="shared" si="48"/>
        <v>89.277154515701781</v>
      </c>
      <c r="BA70" s="348">
        <f t="shared" si="79"/>
        <v>0.20487388448712193</v>
      </c>
      <c r="BB70" s="348">
        <f t="shared" si="80"/>
        <v>7.1273004437488532E-2</v>
      </c>
      <c r="BC70" s="348">
        <f t="shared" si="81"/>
        <v>5.2707004461859816E-2</v>
      </c>
      <c r="BD70" s="348">
        <f t="shared" si="82"/>
        <v>1.8399406672268716E-2</v>
      </c>
      <c r="BE70" s="348">
        <f t="shared" si="83"/>
        <v>2.923957384239716E-2</v>
      </c>
      <c r="BK70" s="18"/>
      <c r="BL70" s="19"/>
    </row>
    <row r="71" spans="1:64" ht="13" x14ac:dyDescent="0.3">
      <c r="A71" s="14" t="s">
        <v>59</v>
      </c>
      <c r="B71" s="15" t="s">
        <v>7</v>
      </c>
      <c r="C71" s="17" t="s">
        <v>76</v>
      </c>
      <c r="G71">
        <v>62</v>
      </c>
      <c r="H71" s="531">
        <f t="shared" si="49"/>
        <v>6.6</v>
      </c>
      <c r="I71" s="4">
        <f t="shared" si="50"/>
        <v>1</v>
      </c>
      <c r="J71" s="348">
        <f t="shared" si="84"/>
        <v>1.085</v>
      </c>
      <c r="K71" s="348">
        <f t="shared" si="51"/>
        <v>1.085</v>
      </c>
      <c r="L71" s="4">
        <f t="shared" si="52"/>
        <v>0.60277777777777775</v>
      </c>
      <c r="M71" s="348">
        <f t="shared" si="53"/>
        <v>0.50382445235709583</v>
      </c>
      <c r="N71" s="4">
        <f t="shared" si="54"/>
        <v>0.60030153926582464</v>
      </c>
      <c r="O71" s="4">
        <f t="shared" si="39"/>
        <v>1.3851507696329124</v>
      </c>
      <c r="P71" s="4">
        <f t="shared" si="40"/>
        <v>0.78484923036708765</v>
      </c>
      <c r="Q71" s="4">
        <f t="shared" si="55"/>
        <v>0</v>
      </c>
      <c r="R71" s="4">
        <f t="shared" si="41"/>
        <v>1.0987516377706763</v>
      </c>
      <c r="S71" s="348">
        <f t="shared" si="56"/>
        <v>4.9497461621653477E-3</v>
      </c>
      <c r="T71" s="348">
        <f t="shared" si="57"/>
        <v>0.2</v>
      </c>
      <c r="U71" s="348">
        <f t="shared" si="58"/>
        <v>0.20503093424855912</v>
      </c>
      <c r="V71" s="4">
        <f t="shared" si="42"/>
        <v>0.17329212764503529</v>
      </c>
      <c r="W71" s="348">
        <f t="shared" si="10"/>
        <v>3.0030161503743209E-5</v>
      </c>
      <c r="X71" s="348">
        <f t="shared" si="43"/>
        <v>3.0030161503743209E-5</v>
      </c>
      <c r="Y71" s="4">
        <f t="shared" si="44"/>
        <v>0.54935974782994756</v>
      </c>
      <c r="Z71" s="348">
        <f t="shared" si="11"/>
        <v>9.0538839760735072E-4</v>
      </c>
      <c r="AA71" s="525">
        <f t="shared" si="45"/>
        <v>9.0538839760735072E-4</v>
      </c>
      <c r="AB71" s="348">
        <f t="shared" si="46"/>
        <v>0.7799004235156568</v>
      </c>
      <c r="AC71" s="348">
        <f t="shared" si="59"/>
        <v>4.8659573647992071E-3</v>
      </c>
      <c r="AD71" s="348">
        <f t="shared" si="60"/>
        <v>5.720711208654557E-3</v>
      </c>
      <c r="AE71" s="348">
        <f t="shared" si="61"/>
        <v>3.1326609599999992E-2</v>
      </c>
      <c r="AF71" s="348">
        <f t="shared" si="62"/>
        <v>0</v>
      </c>
      <c r="AG71" s="348">
        <f t="shared" si="63"/>
        <v>4.1958194866665285E-2</v>
      </c>
      <c r="AH71" s="348">
        <f t="shared" si="64"/>
        <v>0.77395768030548195</v>
      </c>
      <c r="AI71" s="348">
        <f t="shared" si="65"/>
        <v>3.294557699971134E-3</v>
      </c>
      <c r="AJ71" s="348">
        <f t="shared" si="66"/>
        <v>9.8596467199999985E-3</v>
      </c>
      <c r="AK71" s="348">
        <f t="shared" si="67"/>
        <v>1.3163745538200268E-2</v>
      </c>
      <c r="AL71" s="348">
        <f t="shared" si="68"/>
        <v>9.8596467199999985E-3</v>
      </c>
      <c r="AM71" s="348">
        <f t="shared" si="69"/>
        <v>1.6932434111999996E-2</v>
      </c>
      <c r="AN71" s="348">
        <f t="shared" si="70"/>
        <v>3.0181379037593589E-2</v>
      </c>
      <c r="AO71" s="348">
        <f t="shared" si="71"/>
        <v>1.452E-5</v>
      </c>
      <c r="AP71" s="348">
        <f t="shared" si="72"/>
        <v>0.10709952</v>
      </c>
      <c r="AQ71" s="348">
        <f t="shared" si="26"/>
        <v>4.9827049411764704E-2</v>
      </c>
      <c r="AR71" s="348">
        <f t="shared" si="73"/>
        <v>2.5963519999999997E-2</v>
      </c>
      <c r="AS71" s="348">
        <f t="shared" si="74"/>
        <v>0.10711404000000001</v>
      </c>
      <c r="AT71" s="348">
        <f t="shared" si="75"/>
        <v>0.42517579308212938</v>
      </c>
      <c r="AU71">
        <f t="shared" si="76"/>
        <v>3.5804999999999998</v>
      </c>
      <c r="AV71" s="526">
        <f t="shared" si="47"/>
        <v>0.89385666363303418</v>
      </c>
      <c r="AW71" s="534">
        <f t="shared" si="77"/>
        <v>2.9223480759321903</v>
      </c>
      <c r="AX71" s="534">
        <f t="shared" si="78"/>
        <v>1.0313296837338148</v>
      </c>
      <c r="AY71" s="9"/>
      <c r="AZ71" s="4">
        <f t="shared" si="48"/>
        <v>89.385666363303415</v>
      </c>
      <c r="BA71" s="348">
        <f t="shared" si="79"/>
        <v>0.20503093424855912</v>
      </c>
      <c r="BB71" s="348">
        <f t="shared" si="80"/>
        <v>7.2054374516865555E-2</v>
      </c>
      <c r="BC71" s="348">
        <f t="shared" si="81"/>
        <v>5.3133601380585281E-2</v>
      </c>
      <c r="BD71" s="348">
        <f t="shared" si="82"/>
        <v>1.8751448795160268E-2</v>
      </c>
      <c r="BE71" s="348">
        <f t="shared" si="83"/>
        <v>3.0181379037593589E-2</v>
      </c>
      <c r="BK71" s="18"/>
      <c r="BL71" s="19"/>
    </row>
    <row r="72" spans="1:64" x14ac:dyDescent="0.25">
      <c r="A72" s="32" t="s">
        <v>88</v>
      </c>
      <c r="B72" s="437">
        <f>(Qgd_Q1+Qgs_Q1/2)*(RdsonDRT+Rgate1)/(VCC-Vsp_Q1)*1000000000</f>
        <v>1.1991633257800243</v>
      </c>
      <c r="C72" s="21" t="s">
        <v>75</v>
      </c>
      <c r="D72" s="113" t="s">
        <v>492</v>
      </c>
      <c r="G72">
        <v>63</v>
      </c>
      <c r="H72" s="531">
        <f t="shared" si="49"/>
        <v>6.6</v>
      </c>
      <c r="I72" s="4">
        <f t="shared" si="50"/>
        <v>1</v>
      </c>
      <c r="J72" s="348">
        <f t="shared" si="84"/>
        <v>1.1025</v>
      </c>
      <c r="K72" s="348">
        <f t="shared" si="51"/>
        <v>1.1025</v>
      </c>
      <c r="L72" s="4">
        <f t="shared" si="52"/>
        <v>0.61250000000000004</v>
      </c>
      <c r="M72" s="348">
        <f t="shared" si="53"/>
        <v>0.50388590609725381</v>
      </c>
      <c r="N72" s="4">
        <f t="shared" si="54"/>
        <v>0.60033608283047035</v>
      </c>
      <c r="O72" s="4">
        <f t="shared" si="39"/>
        <v>1.4026680414152353</v>
      </c>
      <c r="P72" s="4">
        <f t="shared" si="40"/>
        <v>0.8023319585847648</v>
      </c>
      <c r="Q72" s="4">
        <f t="shared" si="55"/>
        <v>0</v>
      </c>
      <c r="R72" s="4">
        <f t="shared" si="41"/>
        <v>1.1160375744999298</v>
      </c>
      <c r="S72" s="348">
        <f t="shared" si="56"/>
        <v>5.1067134575523134E-3</v>
      </c>
      <c r="T72" s="348">
        <f t="shared" si="57"/>
        <v>0.2</v>
      </c>
      <c r="U72" s="348">
        <f t="shared" si="58"/>
        <v>0.20519054140148332</v>
      </c>
      <c r="V72" s="4">
        <f t="shared" si="42"/>
        <v>0.17330209951320877</v>
      </c>
      <c r="W72" s="348">
        <f t="shared" si="10"/>
        <v>3.0033617695686116E-5</v>
      </c>
      <c r="X72" s="348">
        <f t="shared" si="43"/>
        <v>3.0033617695686116E-5</v>
      </c>
      <c r="Y72" s="4">
        <f t="shared" si="44"/>
        <v>0.55800193453102009</v>
      </c>
      <c r="Z72" s="348">
        <f t="shared" si="11"/>
        <v>9.3409847682108258E-4</v>
      </c>
      <c r="AA72" s="525">
        <f t="shared" si="45"/>
        <v>9.3409847682108258E-4</v>
      </c>
      <c r="AB72" s="348">
        <f t="shared" si="46"/>
        <v>0.79221839464512211</v>
      </c>
      <c r="AC72" s="348">
        <f t="shared" si="59"/>
        <v>5.0208798785127563E-3</v>
      </c>
      <c r="AD72" s="348">
        <f t="shared" si="60"/>
        <v>5.8129807442780183E-3</v>
      </c>
      <c r="AE72" s="348">
        <f t="shared" si="61"/>
        <v>3.1326609599999992E-2</v>
      </c>
      <c r="AF72" s="348">
        <f t="shared" si="62"/>
        <v>0</v>
      </c>
      <c r="AG72" s="348">
        <f t="shared" si="63"/>
        <v>4.2207091905255845E-2</v>
      </c>
      <c r="AH72" s="348">
        <f t="shared" si="64"/>
        <v>0.78608516261381745</v>
      </c>
      <c r="AI72" s="348">
        <f t="shared" si="65"/>
        <v>3.3986143558487544E-3</v>
      </c>
      <c r="AJ72" s="348">
        <f t="shared" si="66"/>
        <v>1.0018673279999999E-2</v>
      </c>
      <c r="AK72" s="348">
        <f t="shared" si="67"/>
        <v>1.3427327183372494E-2</v>
      </c>
      <c r="AL72" s="348">
        <f t="shared" si="68"/>
        <v>1.0018673279999999E-2</v>
      </c>
      <c r="AM72" s="348">
        <f t="shared" si="69"/>
        <v>1.7205537888E-2</v>
      </c>
      <c r="AN72" s="348">
        <f t="shared" si="70"/>
        <v>3.1138496692392159E-2</v>
      </c>
      <c r="AO72" s="348">
        <f t="shared" si="71"/>
        <v>1.452E-5</v>
      </c>
      <c r="AP72" s="348">
        <f t="shared" si="72"/>
        <v>0.10709952</v>
      </c>
      <c r="AQ72" s="348">
        <f t="shared" si="26"/>
        <v>4.9827049411764704E-2</v>
      </c>
      <c r="AR72" s="348">
        <f t="shared" si="73"/>
        <v>2.5963519999999997E-2</v>
      </c>
      <c r="AS72" s="348">
        <f t="shared" si="74"/>
        <v>0.10711404000000001</v>
      </c>
      <c r="AT72" s="348">
        <f t="shared" si="75"/>
        <v>0.42726584044502058</v>
      </c>
      <c r="AU72">
        <f t="shared" si="76"/>
        <v>3.6382499999999998</v>
      </c>
      <c r="AV72" s="526">
        <f t="shared" si="47"/>
        <v>0.89490488852744177</v>
      </c>
      <c r="AW72" s="534">
        <f t="shared" si="77"/>
        <v>2.9459510801234718</v>
      </c>
      <c r="AX72" s="534">
        <f t="shared" si="78"/>
        <v>1.0507835077526873</v>
      </c>
      <c r="AY72" s="9"/>
      <c r="AZ72" s="4">
        <f t="shared" si="48"/>
        <v>89.490488852744178</v>
      </c>
      <c r="BA72" s="348">
        <f t="shared" si="79"/>
        <v>0.20519054140148332</v>
      </c>
      <c r="BB72" s="348">
        <f t="shared" si="80"/>
        <v>7.2839956976628345E-2</v>
      </c>
      <c r="BC72" s="348">
        <f t="shared" si="81"/>
        <v>5.3562746911335848E-2</v>
      </c>
      <c r="BD72" s="348">
        <f t="shared" si="82"/>
        <v>1.9105154686412495E-2</v>
      </c>
      <c r="BE72" s="348">
        <f t="shared" si="83"/>
        <v>3.1138496692392159E-2</v>
      </c>
      <c r="BK72" s="18"/>
      <c r="BL72" s="19"/>
    </row>
    <row r="73" spans="1:64" x14ac:dyDescent="0.25">
      <c r="A73" s="33" t="s">
        <v>89</v>
      </c>
      <c r="B73" s="437">
        <f>(Qgd_Q1+Qgs_Q1/2)*(RdsonDRT2+Rgate1)/(Vsp_Q1)*1000000000</f>
        <v>2.7392632089190498</v>
      </c>
      <c r="C73" s="21" t="s">
        <v>75</v>
      </c>
      <c r="D73" s="113" t="s">
        <v>493</v>
      </c>
      <c r="G73">
        <v>64</v>
      </c>
      <c r="H73" s="531">
        <f t="shared" ref="H73:H109" si="85">Vin</f>
        <v>6.6</v>
      </c>
      <c r="I73" s="4">
        <f t="shared" ref="I73:I109" si="86">MODE</f>
        <v>1</v>
      </c>
      <c r="J73" s="348">
        <f t="shared" si="84"/>
        <v>1.1200000000000001</v>
      </c>
      <c r="K73" s="348">
        <f t="shared" ref="K73:K109" si="87">Iout*G73/100/Number_of_Phases</f>
        <v>1.1200000000000001</v>
      </c>
      <c r="L73" s="4">
        <f t="shared" ref="L73:L104" si="88">Vout*K73/(Vin*Efficiency)</f>
        <v>0.62222222222222234</v>
      </c>
      <c r="M73" s="348">
        <f t="shared" ref="M73:M109" si="89">(Vout+(Rdson2+Rs+Rdcr)*K73)/(Vin+(Rs+Rdson2-Rdson1)*K73)</f>
        <v>0.5039473525327538</v>
      </c>
      <c r="N73" s="4">
        <f t="shared" ref="N73:N104" si="90">(Vin-(Rdson1+Rdcr)*K73-Vout)*M73/(Fsw*Lf)</f>
        <v>0.6003706082585244</v>
      </c>
      <c r="O73" s="4">
        <f t="shared" si="39"/>
        <v>1.4201853041292622</v>
      </c>
      <c r="P73" s="4">
        <f t="shared" si="40"/>
        <v>0.81981469587073796</v>
      </c>
      <c r="Q73" s="4">
        <f t="shared" ref="Q73:Q104" si="91">IF(MIN(Vin, -P73/(Coss_Q1+Coss_Q2)*0.00000002)&lt;0, 0, MIN(Vin, -P73/(Coss_Q1+Coss_Q2)*0.00000002))</f>
        <v>0</v>
      </c>
      <c r="R73" s="4">
        <f t="shared" si="41"/>
        <v>1.1333300808995259</v>
      </c>
      <c r="S73" s="348">
        <f t="shared" ref="S73:S104" si="92">R73^2*Rdcr</f>
        <v>5.2661919963140763E-3</v>
      </c>
      <c r="T73" s="348">
        <f t="shared" ref="T73:T109" si="93">Core_Loss_Ch1</f>
        <v>0.2</v>
      </c>
      <c r="U73" s="348">
        <f t="shared" ref="U73:U104" si="94">(T73+S73*(1+Ltc*(Ta-25)))/(1-S73*Ltc*ThetaCa)</f>
        <v>0.20535270613851311</v>
      </c>
      <c r="V73" s="4">
        <f t="shared" si="42"/>
        <v>0.17331206614579922</v>
      </c>
      <c r="W73" s="348">
        <f t="shared" si="10"/>
        <v>3.0037072271725883E-5</v>
      </c>
      <c r="X73" s="348">
        <f t="shared" si="43"/>
        <v>3.0037072271725883E-5</v>
      </c>
      <c r="Y73" s="4">
        <f t="shared" si="44"/>
        <v>0.56664738108765556</v>
      </c>
      <c r="Z73" s="348">
        <f t="shared" si="11"/>
        <v>9.6326776348049624E-4</v>
      </c>
      <c r="AA73" s="525">
        <f t="shared" si="45"/>
        <v>9.6326776348049624E-4</v>
      </c>
      <c r="AB73" s="348">
        <f t="shared" si="46"/>
        <v>0.8045425172520454</v>
      </c>
      <c r="AC73" s="348">
        <f t="shared" ref="AC73:AC104" si="95">Rdson1*AB73^2</f>
        <v>5.1783092965300625E-3</v>
      </c>
      <c r="AD73" s="348">
        <f t="shared" ref="AD73:AD109" si="96">(Vin*K73/2)*Fsw*(Tr_buck+Tf_buck)</f>
        <v>5.9052502799014786E-3</v>
      </c>
      <c r="AE73" s="348">
        <f t="shared" ref="AE73:AE109" si="97">(0.5*Coss_Q1*(Vin-Q73)^2-0.5*Coss_Q2*(Vin-Q73)^2+(Qoss_Q2*(Vin-Q73)/Vin)*Vin)*Fsw</f>
        <v>3.1326609599999992E-2</v>
      </c>
      <c r="AF73" s="348">
        <f t="shared" ref="AF73:AF109" si="98">IF(K73&gt;N73/2,0,ABS(K73-N73/2)*Vsd_Q1*Deadtime*Fsw)</f>
        <v>0</v>
      </c>
      <c r="AG73" s="348">
        <f t="shared" ref="AG73:AG104" si="99">(AF73+AE73+AD73+AC73*(1+RdsonTopTc*Ta-RdsonTopTc*25))/(1-AC73*RdsonTopTc*ThetaJA_Q1)</f>
        <v>4.2458539134973869E-2</v>
      </c>
      <c r="AH73" s="348">
        <f t="shared" ref="AH73:AH109" si="100">SQRT((1-M73))*SQRT(K73^2+(N73^2)/12)</f>
        <v>0.79821576669812055</v>
      </c>
      <c r="AI73" s="348">
        <f t="shared" ref="AI73:AI104" si="101">Rdson2*AH73^2</f>
        <v>3.5043162561300763E-3</v>
      </c>
      <c r="AJ73" s="348">
        <f t="shared" ref="AJ73:AJ109" si="102">IF(K73&lt;N73/2,Deadtime*Fsw*IF(VfdSky_Q2&gt;0,0,Vsd_Q2)*(K73+N73/2),2*Deadtime*Fsw*IF(VfdSky_Q2&gt;0,0,Vsd_Q2)*K73)</f>
        <v>1.017769984E-2</v>
      </c>
      <c r="AK73" s="348">
        <f t="shared" ref="AK73:AK104" si="103">(AJ73+AI73*(1+RdsonBotTc*Ta-RdsonBotTc*25))/(1-AI73*RdsonBotTc*ThetaJA_Q2)</f>
        <v>1.3692572379004793E-2</v>
      </c>
      <c r="AL73" s="348">
        <f t="shared" ref="AL73:AL109" si="104">2*Deadtime*Fsw*IF(VfdSky_Q2&gt;0,VfdSky_Q2,Vsd_Q2)*K73</f>
        <v>1.017769984E-2</v>
      </c>
      <c r="AM73" s="348">
        <f t="shared" ref="AM73:AM109" si="105">IF(QrrSky_Q2&gt;0,QrrSky_Q2,Qrr_Q2*K73/(Iout/Number_of_Phases))*Fsw*Vin</f>
        <v>1.7478641663999997E-2</v>
      </c>
      <c r="AN73" s="348">
        <f t="shared" ref="AN73:AN109" si="106">Rs*R73^2</f>
        <v>3.2110926806793151E-2</v>
      </c>
      <c r="AO73" s="348">
        <f t="shared" ref="AO73:AO109" si="107">Iq*Vin</f>
        <v>1.452E-5</v>
      </c>
      <c r="AP73" s="348">
        <f t="shared" ref="AP73:AP109" si="108">IF(Ext_VCC=1,  (Qg_Q1+Qg_Q2)*Fsw*VCC, (Qg_Q1+Qg_Q2)*Fsw*Vin)</f>
        <v>0.10709952</v>
      </c>
      <c r="AQ73" s="348">
        <f t="shared" ref="AQ73:AQ109" si="109">(Vin-VCC)*Fsw*(Qg_Q1+Qg_Q2)+(RdsonDRT+RdsonDRT2)*Fsw*Qg_Q1*VCC/(RdsonDRT+2*Rgate1+RdsonDRT2)+(RdsonDRB+RdsonDRB2)*Fsw*Qg_Q2*VCC/(RdsonDRB+2*Rgate2+RdsonDRB2)</f>
        <v>4.9827049411764704E-2</v>
      </c>
      <c r="AR73" s="348">
        <f t="shared" ref="AR73:AR109" si="110">(Qg_Q1+Qg_Q2)*Fsw*(Vin-VCC)</f>
        <v>2.5963519999999997E-2</v>
      </c>
      <c r="AS73" s="348">
        <f t="shared" si="74"/>
        <v>0.10711404000000001</v>
      </c>
      <c r="AT73" s="348">
        <f t="shared" ref="AT73:AT104" si="111" xml:space="preserve"> SUM(U73,X73,AA73,AG73,AK73,AL73,AM73,AS73,AN73)</f>
        <v>0.42937843079903715</v>
      </c>
      <c r="AU73">
        <f t="shared" ref="AU73:AU109" si="112">Vout*K73</f>
        <v>3.6960000000000002</v>
      </c>
      <c r="AV73" s="526">
        <f t="shared" si="47"/>
        <v>0.89591780778378893</v>
      </c>
      <c r="AW73" s="534">
        <f t="shared" ref="AW73:AW109" si="113">ThetaJA_Q1*BC73</f>
        <v>2.9696943448267628</v>
      </c>
      <c r="AX73" s="534">
        <f t="shared" ref="AX73:AX109" si="114">ThetaJA_Q2*BD73</f>
        <v>1.0703288270468636</v>
      </c>
      <c r="AY73" s="9"/>
      <c r="AZ73" s="4">
        <f t="shared" si="48"/>
        <v>89.59178077837889</v>
      </c>
      <c r="BA73" s="348">
        <f t="shared" ref="BA73:BA109" si="115">U73</f>
        <v>0.20535270613851311</v>
      </c>
      <c r="BB73" s="348">
        <f t="shared" si="80"/>
        <v>7.3629753177978652E-2</v>
      </c>
      <c r="BC73" s="348">
        <f t="shared" si="81"/>
        <v>5.3994442633213867E-2</v>
      </c>
      <c r="BD73" s="348">
        <f t="shared" si="82"/>
        <v>1.9460524128124792E-2</v>
      </c>
      <c r="BE73" s="348">
        <f t="shared" si="83"/>
        <v>3.2110926806793151E-2</v>
      </c>
      <c r="BK73" s="18"/>
      <c r="BL73" s="19"/>
    </row>
    <row r="74" spans="1:64" ht="13" x14ac:dyDescent="0.3">
      <c r="A74" s="14" t="s">
        <v>114</v>
      </c>
      <c r="B74" s="15" t="s">
        <v>7</v>
      </c>
      <c r="C74" s="17" t="s">
        <v>76</v>
      </c>
      <c r="G74">
        <v>65</v>
      </c>
      <c r="H74" s="531">
        <f t="shared" si="85"/>
        <v>6.6</v>
      </c>
      <c r="I74" s="4">
        <f t="shared" si="86"/>
        <v>1</v>
      </c>
      <c r="J74" s="348">
        <f t="shared" ref="J74:J109" si="116">Iout*G74/100</f>
        <v>1.1375</v>
      </c>
      <c r="K74" s="348">
        <f t="shared" si="87"/>
        <v>1.1375</v>
      </c>
      <c r="L74" s="4">
        <f t="shared" si="88"/>
        <v>0.63194444444444442</v>
      </c>
      <c r="M74" s="348">
        <f t="shared" si="89"/>
        <v>0.50400879166489798</v>
      </c>
      <c r="N74" s="4">
        <f t="shared" si="90"/>
        <v>0.60040511555321974</v>
      </c>
      <c r="O74" s="4">
        <f t="shared" ref="O74:O109" si="117">K74+N74/2</f>
        <v>1.4377025577766098</v>
      </c>
      <c r="P74" s="4">
        <f t="shared" ref="P74:P109" si="118">K74-N74/2</f>
        <v>0.83729744222339009</v>
      </c>
      <c r="Q74" s="4">
        <f t="shared" si="91"/>
        <v>0</v>
      </c>
      <c r="R74" s="4">
        <f t="shared" ref="R74:R109" si="119">SQRT(K74^2+(N74^2)/12)</f>
        <v>1.1506288607678292</v>
      </c>
      <c r="S74" s="348">
        <f t="shared" si="92"/>
        <v>5.428181778450677E-3</v>
      </c>
      <c r="T74" s="348">
        <f t="shared" si="93"/>
        <v>0.2</v>
      </c>
      <c r="U74" s="348">
        <f t="shared" si="94"/>
        <v>0.20551742865536118</v>
      </c>
      <c r="V74" s="4">
        <f t="shared" ref="V74:V109" si="120">N74/SQRT(12)</f>
        <v>0.1733220275437399</v>
      </c>
      <c r="W74" s="348">
        <f t="shared" ref="W74:W109" si="121">RCoutEsr*V74^2</f>
        <v>3.0040525231872935E-5</v>
      </c>
      <c r="X74" s="348">
        <f t="shared" ref="X74:X109" si="122">W74</f>
        <v>3.0040525231872935E-5</v>
      </c>
      <c r="Y74" s="4">
        <f t="shared" ref="Y74:Y109" si="123">SQRT(M74*(1-M74))*SQRT(K74^2+(N74^2)/12)</f>
        <v>0.57529593900849063</v>
      </c>
      <c r="Z74" s="348">
        <f t="shared" ref="Z74:Z109" si="124">RCinEsr*Y74^2</f>
        <v>9.9289625231898282E-4</v>
      </c>
      <c r="AA74" s="525">
        <f t="shared" ref="AA74:AA109" si="125">Z74</f>
        <v>9.9289625231898282E-4</v>
      </c>
      <c r="AB74" s="348">
        <f t="shared" ref="AB74:AB109" si="126">SQRT(M74)*SQRT(K74^2+(N74^2)/12)</f>
        <v>0.8168725815041501</v>
      </c>
      <c r="AC74" s="348">
        <f t="shared" si="95"/>
        <v>5.3382465153060353E-3</v>
      </c>
      <c r="AD74" s="348">
        <f t="shared" si="96"/>
        <v>5.9975198155249381E-3</v>
      </c>
      <c r="AE74" s="348">
        <f t="shared" si="97"/>
        <v>3.1326609599999992E-2</v>
      </c>
      <c r="AF74" s="348">
        <f t="shared" si="98"/>
        <v>0</v>
      </c>
      <c r="AG74" s="348">
        <f t="shared" si="99"/>
        <v>4.2712538143570025E-2</v>
      </c>
      <c r="AH74" s="348">
        <f t="shared" si="100"/>
        <v>0.81034928322212896</v>
      </c>
      <c r="AI74" s="348">
        <f t="shared" si="101"/>
        <v>3.6116627845023995E-3</v>
      </c>
      <c r="AJ74" s="348">
        <f t="shared" si="102"/>
        <v>1.0336726399999998E-2</v>
      </c>
      <c r="AK74" s="348">
        <f t="shared" si="103"/>
        <v>1.3959480910795626E-2</v>
      </c>
      <c r="AL74" s="348">
        <f t="shared" si="104"/>
        <v>1.0336726399999998E-2</v>
      </c>
      <c r="AM74" s="348">
        <f t="shared" si="105"/>
        <v>1.7751745439999994E-2</v>
      </c>
      <c r="AN74" s="348">
        <f t="shared" si="106"/>
        <v>3.3098669380796815E-2</v>
      </c>
      <c r="AO74" s="348">
        <f t="shared" si="107"/>
        <v>1.452E-5</v>
      </c>
      <c r="AP74" s="348">
        <f t="shared" si="108"/>
        <v>0.10709952</v>
      </c>
      <c r="AQ74" s="348">
        <f t="shared" si="109"/>
        <v>4.9827049411764704E-2</v>
      </c>
      <c r="AR74" s="348">
        <f t="shared" si="110"/>
        <v>2.5963519999999997E-2</v>
      </c>
      <c r="AS74" s="348">
        <f t="shared" si="74"/>
        <v>0.10711404000000001</v>
      </c>
      <c r="AT74" s="348">
        <f t="shared" si="111"/>
        <v>0.43151356570807448</v>
      </c>
      <c r="AU74">
        <f t="shared" si="112"/>
        <v>3.7537499999999997</v>
      </c>
      <c r="AV74" s="526">
        <f t="shared" ref="AV74:AV109" si="127">AU74/(AU74+AT74)</f>
        <v>0.89689691964834006</v>
      </c>
      <c r="AW74" s="534">
        <f t="shared" si="113"/>
        <v>2.9935779573683514</v>
      </c>
      <c r="AX74" s="534">
        <f t="shared" si="114"/>
        <v>1.0899656298297593</v>
      </c>
      <c r="AY74" s="9"/>
      <c r="AZ74" s="4">
        <f t="shared" ref="AZ74:AZ109" si="128">AV74*100</f>
        <v>89.689691964834012</v>
      </c>
      <c r="BA74" s="348">
        <f t="shared" si="115"/>
        <v>0.20551742865536118</v>
      </c>
      <c r="BB74" s="348">
        <f t="shared" ref="BB74:BB109" si="129">AG74+AK74+AM74</f>
        <v>7.4423764494365649E-2</v>
      </c>
      <c r="BC74" s="348">
        <f t="shared" ref="BC74:BC109" si="130">AG74+AM74*0.66</f>
        <v>5.4428690133970024E-2</v>
      </c>
      <c r="BD74" s="348">
        <f t="shared" ref="BD74:BD109" si="131">AK74+AM74*0.33</f>
        <v>1.9817556905995626E-2</v>
      </c>
      <c r="BE74" s="348">
        <f t="shared" ref="BE74:BE109" si="132">AN74</f>
        <v>3.3098669380796815E-2</v>
      </c>
      <c r="BK74" s="18"/>
      <c r="BL74" s="19"/>
    </row>
    <row r="75" spans="1:64" ht="13" x14ac:dyDescent="0.3">
      <c r="A75" s="34" t="s">
        <v>115</v>
      </c>
      <c r="B75" s="566">
        <f>AS9</f>
        <v>0.10711404000000001</v>
      </c>
      <c r="C75" s="78" t="s">
        <v>116</v>
      </c>
      <c r="G75">
        <v>66</v>
      </c>
      <c r="H75" s="531">
        <f t="shared" si="85"/>
        <v>6.6</v>
      </c>
      <c r="I75" s="4">
        <f t="shared" si="86"/>
        <v>1</v>
      </c>
      <c r="J75" s="348">
        <f t="shared" si="116"/>
        <v>1.155</v>
      </c>
      <c r="K75" s="348">
        <f t="shared" si="87"/>
        <v>1.155</v>
      </c>
      <c r="L75" s="4">
        <f t="shared" si="88"/>
        <v>0.64166666666666672</v>
      </c>
      <c r="M75" s="348">
        <f t="shared" si="89"/>
        <v>0.50407022349498853</v>
      </c>
      <c r="N75" s="4">
        <f t="shared" si="90"/>
        <v>0.60043960471778968</v>
      </c>
      <c r="O75" s="4">
        <f t="shared" si="117"/>
        <v>1.4552198023588949</v>
      </c>
      <c r="P75" s="4">
        <f t="shared" si="118"/>
        <v>0.85478019764110513</v>
      </c>
      <c r="Q75" s="4">
        <f t="shared" si="91"/>
        <v>0</v>
      </c>
      <c r="R75" s="4">
        <f t="shared" si="119"/>
        <v>1.1679336353475476</v>
      </c>
      <c r="S75" s="348">
        <f t="shared" si="92"/>
        <v>5.5926828039621658E-3</v>
      </c>
      <c r="T75" s="348">
        <f t="shared" si="93"/>
        <v>0.2</v>
      </c>
      <c r="U75" s="348">
        <f t="shared" si="94"/>
        <v>0.20568470915083464</v>
      </c>
      <c r="V75" s="4">
        <f t="shared" si="120"/>
        <v>0.17333198370796418</v>
      </c>
      <c r="W75" s="348">
        <f t="shared" si="121"/>
        <v>3.004397657613796E-5</v>
      </c>
      <c r="X75" s="348">
        <f t="shared" si="122"/>
        <v>3.004397657613796E-5</v>
      </c>
      <c r="Y75" s="4">
        <f t="shared" si="123"/>
        <v>0.58394746852451973</v>
      </c>
      <c r="Z75" s="348">
        <f t="shared" si="124"/>
        <v>1.0229839379885849E-3</v>
      </c>
      <c r="AA75" s="525">
        <f t="shared" si="125"/>
        <v>1.0229839379885849E-3</v>
      </c>
      <c r="AB75" s="348">
        <f t="shared" si="126"/>
        <v>0.82920838990287249</v>
      </c>
      <c r="AC75" s="348">
        <f t="shared" si="95"/>
        <v>5.500692431082514E-3</v>
      </c>
      <c r="AD75" s="348">
        <f t="shared" si="96"/>
        <v>6.0897893511483994E-3</v>
      </c>
      <c r="AE75" s="348">
        <f t="shared" si="97"/>
        <v>3.1326609599999992E-2</v>
      </c>
      <c r="AF75" s="348">
        <f t="shared" si="98"/>
        <v>0</v>
      </c>
      <c r="AG75" s="348">
        <f t="shared" si="99"/>
        <v>4.2969090527458578E-2</v>
      </c>
      <c r="AH75" s="348">
        <f t="shared" si="100"/>
        <v>0.82248551518602675</v>
      </c>
      <c r="AI75" s="348">
        <f t="shared" si="101"/>
        <v>3.7206533247995306E-3</v>
      </c>
      <c r="AJ75" s="348">
        <f t="shared" si="102"/>
        <v>1.0495752959999998E-2</v>
      </c>
      <c r="AK75" s="348">
        <f t="shared" si="103"/>
        <v>1.4228052568039922E-2</v>
      </c>
      <c r="AL75" s="348">
        <f t="shared" si="104"/>
        <v>1.0495752959999998E-2</v>
      </c>
      <c r="AM75" s="348">
        <f t="shared" si="105"/>
        <v>1.8024849215999995E-2</v>
      </c>
      <c r="AN75" s="348">
        <f t="shared" si="106"/>
        <v>3.4101724414403456E-2</v>
      </c>
      <c r="AO75" s="348">
        <f t="shared" si="107"/>
        <v>1.452E-5</v>
      </c>
      <c r="AP75" s="348">
        <f t="shared" si="108"/>
        <v>0.10709952</v>
      </c>
      <c r="AQ75" s="348">
        <f t="shared" si="109"/>
        <v>4.9827049411764704E-2</v>
      </c>
      <c r="AR75" s="348">
        <f t="shared" si="110"/>
        <v>2.5963519999999997E-2</v>
      </c>
      <c r="AS75" s="348">
        <f t="shared" ref="AS75:AS109" si="133">SUM(AO75:AP75)</f>
        <v>0.10711404000000001</v>
      </c>
      <c r="AT75" s="348">
        <f t="shared" si="111"/>
        <v>0.43367124675130136</v>
      </c>
      <c r="AU75">
        <f t="shared" si="112"/>
        <v>3.8114999999999997</v>
      </c>
      <c r="AV75" s="526">
        <f t="shared" si="127"/>
        <v>0.89784363891487851</v>
      </c>
      <c r="AW75" s="534">
        <f t="shared" si="113"/>
        <v>3.0176020055510215</v>
      </c>
      <c r="AX75" s="534">
        <f t="shared" si="114"/>
        <v>1.1096939045125958</v>
      </c>
      <c r="AY75" s="9"/>
      <c r="AZ75" s="4">
        <f t="shared" si="128"/>
        <v>89.784363891487857</v>
      </c>
      <c r="BA75" s="348">
        <f t="shared" si="115"/>
        <v>0.20568470915083464</v>
      </c>
      <c r="BB75" s="348">
        <f t="shared" si="129"/>
        <v>7.5221992311498495E-2</v>
      </c>
      <c r="BC75" s="348">
        <f t="shared" si="130"/>
        <v>5.4865491010018572E-2</v>
      </c>
      <c r="BD75" s="348">
        <f t="shared" si="131"/>
        <v>2.0176252809319922E-2</v>
      </c>
      <c r="BE75" s="348">
        <f t="shared" si="132"/>
        <v>3.4101724414403456E-2</v>
      </c>
      <c r="BK75" s="18"/>
      <c r="BL75" s="19"/>
    </row>
    <row r="76" spans="1:64" ht="13" x14ac:dyDescent="0.3">
      <c r="A76" s="34" t="s">
        <v>119</v>
      </c>
      <c r="B76" s="567">
        <f>B75*B62</f>
        <v>3.2134212000000004</v>
      </c>
      <c r="C76" s="427" t="s">
        <v>449</v>
      </c>
      <c r="G76">
        <v>67</v>
      </c>
      <c r="H76" s="531">
        <f t="shared" si="85"/>
        <v>6.6</v>
      </c>
      <c r="I76" s="4">
        <f t="shared" si="86"/>
        <v>1</v>
      </c>
      <c r="J76" s="348">
        <f t="shared" si="116"/>
        <v>1.1725000000000001</v>
      </c>
      <c r="K76" s="348">
        <f t="shared" si="87"/>
        <v>1.1725000000000001</v>
      </c>
      <c r="L76" s="4">
        <f t="shared" si="88"/>
        <v>0.65138888888888891</v>
      </c>
      <c r="M76" s="348">
        <f t="shared" si="89"/>
        <v>0.50413164802432697</v>
      </c>
      <c r="N76" s="4">
        <f t="shared" si="90"/>
        <v>0.60047407575546563</v>
      </c>
      <c r="O76" s="4">
        <f t="shared" si="117"/>
        <v>1.4727370378777329</v>
      </c>
      <c r="P76" s="4">
        <f t="shared" si="118"/>
        <v>0.87226296212226728</v>
      </c>
      <c r="Q76" s="4">
        <f t="shared" si="91"/>
        <v>0</v>
      </c>
      <c r="R76" s="4">
        <f t="shared" si="119"/>
        <v>1.1852441420671658</v>
      </c>
      <c r="S76" s="348">
        <f t="shared" si="92"/>
        <v>5.7596950728485792E-3</v>
      </c>
      <c r="T76" s="348">
        <f t="shared" si="93"/>
        <v>0.2</v>
      </c>
      <c r="U76" s="348">
        <f t="shared" si="94"/>
        <v>0.20585454782683593</v>
      </c>
      <c r="V76" s="4">
        <f t="shared" si="120"/>
        <v>0.17334193463940492</v>
      </c>
      <c r="W76" s="348">
        <f t="shared" si="121"/>
        <v>3.004742630453173E-5</v>
      </c>
      <c r="X76" s="348">
        <f t="shared" si="122"/>
        <v>3.004742630453173E-5</v>
      </c>
      <c r="Y76" s="4">
        <f t="shared" si="123"/>
        <v>0.59260183795981169</v>
      </c>
      <c r="Z76" s="348">
        <f t="shared" si="124"/>
        <v>1.0535308150600407E-3</v>
      </c>
      <c r="AA76" s="525">
        <f t="shared" si="125"/>
        <v>1.0535308150600407E-3</v>
      </c>
      <c r="AB76" s="348">
        <f t="shared" si="126"/>
        <v>0.84154975639354612</v>
      </c>
      <c r="AC76" s="348">
        <f t="shared" si="95"/>
        <v>5.6656479398882941E-3</v>
      </c>
      <c r="AD76" s="348">
        <f t="shared" si="96"/>
        <v>6.1820588867718606E-3</v>
      </c>
      <c r="AE76" s="348">
        <f t="shared" si="97"/>
        <v>3.1326609599999992E-2</v>
      </c>
      <c r="AF76" s="348">
        <f t="shared" si="98"/>
        <v>0</v>
      </c>
      <c r="AG76" s="348">
        <f t="shared" si="99"/>
        <v>4.3228197891732829E-2</v>
      </c>
      <c r="AH76" s="348">
        <f t="shared" si="100"/>
        <v>0.83462427703637698</v>
      </c>
      <c r="AI76" s="348">
        <f t="shared" si="101"/>
        <v>3.831287261001722E-3</v>
      </c>
      <c r="AJ76" s="348">
        <f t="shared" si="102"/>
        <v>1.0654779519999999E-2</v>
      </c>
      <c r="AK76" s="348">
        <f t="shared" si="103"/>
        <v>1.449828714362646E-2</v>
      </c>
      <c r="AL76" s="348">
        <f t="shared" si="104"/>
        <v>1.0654779519999999E-2</v>
      </c>
      <c r="AM76" s="348">
        <f t="shared" si="105"/>
        <v>1.8297952991999995E-2</v>
      </c>
      <c r="AN76" s="348">
        <f t="shared" si="106"/>
        <v>3.5120091907613296E-2</v>
      </c>
      <c r="AO76" s="348">
        <f t="shared" si="107"/>
        <v>1.452E-5</v>
      </c>
      <c r="AP76" s="348">
        <f t="shared" si="108"/>
        <v>0.10709952</v>
      </c>
      <c r="AQ76" s="348">
        <f t="shared" si="109"/>
        <v>4.9827049411764704E-2</v>
      </c>
      <c r="AR76" s="348">
        <f t="shared" si="110"/>
        <v>2.5963519999999997E-2</v>
      </c>
      <c r="AS76" s="348">
        <f t="shared" si="133"/>
        <v>0.10711404000000001</v>
      </c>
      <c r="AT76" s="348">
        <f t="shared" si="111"/>
        <v>0.43585147552317305</v>
      </c>
      <c r="AU76">
        <f t="shared" si="112"/>
        <v>3.8692500000000001</v>
      </c>
      <c r="AV76" s="526">
        <f t="shared" si="127"/>
        <v>0.89875930265494919</v>
      </c>
      <c r="AW76" s="534">
        <f t="shared" si="113"/>
        <v>3.0417665776549057</v>
      </c>
      <c r="AX76" s="534">
        <f t="shared" si="114"/>
        <v>1.1295136397042553</v>
      </c>
      <c r="AY76" s="9"/>
      <c r="AZ76" s="4">
        <f t="shared" si="128"/>
        <v>89.875930265494915</v>
      </c>
      <c r="BA76" s="348">
        <f t="shared" si="115"/>
        <v>0.20585454782683593</v>
      </c>
      <c r="BB76" s="348">
        <f t="shared" si="129"/>
        <v>7.6024438027359281E-2</v>
      </c>
      <c r="BC76" s="348">
        <f t="shared" si="130"/>
        <v>5.5304846866452831E-2</v>
      </c>
      <c r="BD76" s="348">
        <f t="shared" si="131"/>
        <v>2.0536611630986461E-2</v>
      </c>
      <c r="BE76" s="348">
        <f t="shared" si="132"/>
        <v>3.5120091907613296E-2</v>
      </c>
      <c r="BK76" s="18"/>
      <c r="BL76" s="19"/>
    </row>
    <row r="77" spans="1:64" ht="13" x14ac:dyDescent="0.3">
      <c r="A77" s="34" t="s">
        <v>207</v>
      </c>
      <c r="B77" s="567">
        <f>(Qg_Q1+Qg_Q2)*Fsw+Iq</f>
        <v>1.6229400000000001E-2</v>
      </c>
      <c r="C77" s="21" t="s">
        <v>1</v>
      </c>
      <c r="G77">
        <v>68</v>
      </c>
      <c r="H77" s="531">
        <f t="shared" si="85"/>
        <v>6.6</v>
      </c>
      <c r="I77" s="4">
        <f t="shared" si="86"/>
        <v>1</v>
      </c>
      <c r="J77" s="348">
        <f t="shared" si="116"/>
        <v>1.19</v>
      </c>
      <c r="K77" s="348">
        <f t="shared" si="87"/>
        <v>1.19</v>
      </c>
      <c r="L77" s="4">
        <f t="shared" si="88"/>
        <v>0.66111111111111109</v>
      </c>
      <c r="M77" s="348">
        <f t="shared" si="89"/>
        <v>0.50419306525421492</v>
      </c>
      <c r="N77" s="4">
        <f t="shared" si="90"/>
        <v>0.60050852866947924</v>
      </c>
      <c r="O77" s="4">
        <f t="shared" si="117"/>
        <v>1.4902542643347396</v>
      </c>
      <c r="P77" s="4">
        <f t="shared" si="118"/>
        <v>0.88974573566526027</v>
      </c>
      <c r="Q77" s="4">
        <f t="shared" si="91"/>
        <v>0</v>
      </c>
      <c r="R77" s="4">
        <f t="shared" si="119"/>
        <v>1.2025601333892062</v>
      </c>
      <c r="S77" s="348">
        <f t="shared" si="92"/>
        <v>5.9292185851099674E-3</v>
      </c>
      <c r="T77" s="348">
        <f t="shared" si="93"/>
        <v>0.2</v>
      </c>
      <c r="U77" s="348">
        <f t="shared" si="94"/>
        <v>0.20602694488836323</v>
      </c>
      <c r="V77" s="4">
        <f t="shared" si="120"/>
        <v>0.17335188033899498</v>
      </c>
      <c r="W77" s="348">
        <f t="shared" si="121"/>
        <v>3.0050874417065236E-5</v>
      </c>
      <c r="X77" s="348">
        <f t="shared" si="122"/>
        <v>3.0050874417065236E-5</v>
      </c>
      <c r="Y77" s="4">
        <f t="shared" si="123"/>
        <v>0.60125892315564033</v>
      </c>
      <c r="Z77" s="348">
        <f t="shared" si="124"/>
        <v>1.0845368780228407E-3</v>
      </c>
      <c r="AA77" s="525">
        <f t="shared" si="125"/>
        <v>1.0845368780228407E-3</v>
      </c>
      <c r="AB77" s="348">
        <f t="shared" si="126"/>
        <v>0.85389650555111385</v>
      </c>
      <c r="AC77" s="348">
        <f t="shared" si="95"/>
        <v>5.8331139375392277E-3</v>
      </c>
      <c r="AD77" s="348">
        <f t="shared" si="96"/>
        <v>6.2743284223953201E-3</v>
      </c>
      <c r="AE77" s="348">
        <f t="shared" si="97"/>
        <v>3.1326609599999992E-2</v>
      </c>
      <c r="AF77" s="348">
        <f t="shared" si="98"/>
        <v>0</v>
      </c>
      <c r="AG77" s="348">
        <f t="shared" si="99"/>
        <v>4.3489861850180528E-2</v>
      </c>
      <c r="AH77" s="348">
        <f t="shared" si="100"/>
        <v>0.84676539385160388</v>
      </c>
      <c r="AI77" s="348">
        <f t="shared" si="101"/>
        <v>3.9435639772356394E-3</v>
      </c>
      <c r="AJ77" s="348">
        <f t="shared" si="102"/>
        <v>1.0813806079999998E-2</v>
      </c>
      <c r="AK77" s="348">
        <f t="shared" si="103"/>
        <v>1.4770184434035301E-2</v>
      </c>
      <c r="AL77" s="348">
        <f t="shared" si="104"/>
        <v>1.0813806079999998E-2</v>
      </c>
      <c r="AM77" s="348">
        <f t="shared" si="105"/>
        <v>1.8571056767999996E-2</v>
      </c>
      <c r="AN77" s="348">
        <f t="shared" si="106"/>
        <v>3.6153771860426641E-2</v>
      </c>
      <c r="AO77" s="348">
        <f t="shared" si="107"/>
        <v>1.452E-5</v>
      </c>
      <c r="AP77" s="348">
        <f t="shared" si="108"/>
        <v>0.10709952</v>
      </c>
      <c r="AQ77" s="348">
        <f t="shared" si="109"/>
        <v>4.9827049411764704E-2</v>
      </c>
      <c r="AR77" s="348">
        <f t="shared" si="110"/>
        <v>2.5963519999999997E-2</v>
      </c>
      <c r="AS77" s="348">
        <f t="shared" si="133"/>
        <v>0.10711404000000001</v>
      </c>
      <c r="AT77" s="348">
        <f t="shared" si="111"/>
        <v>0.43805425363344563</v>
      </c>
      <c r="AU77">
        <f t="shared" si="112"/>
        <v>3.9269999999999996</v>
      </c>
      <c r="AV77" s="526">
        <f t="shared" si="127"/>
        <v>0.89964517548234091</v>
      </c>
      <c r="AW77" s="534">
        <f t="shared" si="113"/>
        <v>3.0660717624383289</v>
      </c>
      <c r="AX77" s="534">
        <f t="shared" si="114"/>
        <v>1.1494248242111416</v>
      </c>
      <c r="AY77" s="9"/>
      <c r="AZ77" s="4">
        <f t="shared" si="128"/>
        <v>89.964517548234085</v>
      </c>
      <c r="BA77" s="348">
        <f t="shared" si="115"/>
        <v>0.20602694488836323</v>
      </c>
      <c r="BB77" s="348">
        <f t="shared" si="129"/>
        <v>7.6831103052215827E-2</v>
      </c>
      <c r="BC77" s="348">
        <f t="shared" si="130"/>
        <v>5.5746759317060524E-2</v>
      </c>
      <c r="BD77" s="348">
        <f t="shared" si="131"/>
        <v>2.0898633167475301E-2</v>
      </c>
      <c r="BE77" s="348">
        <f t="shared" si="132"/>
        <v>3.6153771860426641E-2</v>
      </c>
      <c r="BK77" s="18"/>
      <c r="BL77" s="19"/>
    </row>
    <row r="78" spans="1:64" ht="13" x14ac:dyDescent="0.3">
      <c r="A78" s="34" t="s">
        <v>208</v>
      </c>
      <c r="B78" s="568">
        <f>Qrr_Q2*Fsw</f>
        <v>4.1379359999999992E-3</v>
      </c>
      <c r="C78" s="21" t="s">
        <v>1</v>
      </c>
      <c r="G78">
        <v>69</v>
      </c>
      <c r="H78" s="531">
        <f t="shared" si="85"/>
        <v>6.6</v>
      </c>
      <c r="I78" s="4">
        <f t="shared" si="86"/>
        <v>1</v>
      </c>
      <c r="J78" s="348">
        <f t="shared" si="116"/>
        <v>1.2075</v>
      </c>
      <c r="K78" s="348">
        <f t="shared" si="87"/>
        <v>1.2075</v>
      </c>
      <c r="L78" s="4">
        <f t="shared" si="88"/>
        <v>0.67083333333333339</v>
      </c>
      <c r="M78" s="348">
        <f t="shared" si="89"/>
        <v>0.50425447518595323</v>
      </c>
      <c r="N78" s="4">
        <f t="shared" si="90"/>
        <v>0.60054296346306069</v>
      </c>
      <c r="O78" s="4">
        <f t="shared" si="117"/>
        <v>1.5077714817315304</v>
      </c>
      <c r="P78" s="4">
        <f t="shared" si="118"/>
        <v>0.90722851826846962</v>
      </c>
      <c r="Q78" s="4">
        <f t="shared" si="91"/>
        <v>0</v>
      </c>
      <c r="R78" s="4">
        <f t="shared" si="119"/>
        <v>1.2198813757549336</v>
      </c>
      <c r="S78" s="348">
        <f t="shared" si="92"/>
        <v>6.1012533407463721E-3</v>
      </c>
      <c r="T78" s="348">
        <f t="shared" si="93"/>
        <v>0.2</v>
      </c>
      <c r="U78" s="348">
        <f t="shared" si="94"/>
        <v>0.20620190054351115</v>
      </c>
      <c r="V78" s="4">
        <f t="shared" si="120"/>
        <v>0.17336182080766685</v>
      </c>
      <c r="W78" s="348">
        <f t="shared" si="121"/>
        <v>3.0054320913749591E-5</v>
      </c>
      <c r="X78" s="348">
        <f t="shared" si="122"/>
        <v>3.0054320913749591E-5</v>
      </c>
      <c r="Y78" s="4">
        <f t="shared" si="123"/>
        <v>0.60991860694283584</v>
      </c>
      <c r="Z78" s="348">
        <f t="shared" si="124"/>
        <v>1.1160021212852686E-3</v>
      </c>
      <c r="AA78" s="525">
        <f t="shared" si="125"/>
        <v>1.1160021212852686E-3</v>
      </c>
      <c r="AB78" s="348">
        <f t="shared" si="126"/>
        <v>0.86624847183402409</v>
      </c>
      <c r="AC78" s="348">
        <f t="shared" si="95"/>
        <v>6.0030913196382563E-3</v>
      </c>
      <c r="AD78" s="348">
        <f t="shared" si="96"/>
        <v>6.3665979580187822E-3</v>
      </c>
      <c r="AE78" s="348">
        <f t="shared" si="97"/>
        <v>3.1326609599999992E-2</v>
      </c>
      <c r="AF78" s="348">
        <f t="shared" si="98"/>
        <v>0</v>
      </c>
      <c r="AG78" s="348">
        <f t="shared" si="99"/>
        <v>4.3754084025299449E-2</v>
      </c>
      <c r="AH78" s="348">
        <f t="shared" si="100"/>
        <v>0.85890870059568469</v>
      </c>
      <c r="AI78" s="348">
        <f t="shared" si="101"/>
        <v>4.0574828577743215E-3</v>
      </c>
      <c r="AJ78" s="348">
        <f t="shared" si="102"/>
        <v>1.0972832639999999E-2</v>
      </c>
      <c r="AK78" s="348">
        <f t="shared" si="103"/>
        <v>1.5043744239335246E-2</v>
      </c>
      <c r="AL78" s="348">
        <f t="shared" si="104"/>
        <v>1.0972832639999999E-2</v>
      </c>
      <c r="AM78" s="348">
        <f t="shared" si="105"/>
        <v>1.8844160543999997E-2</v>
      </c>
      <c r="AN78" s="348">
        <f t="shared" si="106"/>
        <v>3.720276427284374E-2</v>
      </c>
      <c r="AO78" s="348">
        <f t="shared" si="107"/>
        <v>1.452E-5</v>
      </c>
      <c r="AP78" s="348">
        <f t="shared" si="108"/>
        <v>0.10709952</v>
      </c>
      <c r="AQ78" s="348">
        <f t="shared" si="109"/>
        <v>4.9827049411764704E-2</v>
      </c>
      <c r="AR78" s="348">
        <f t="shared" si="110"/>
        <v>2.5963519999999997E-2</v>
      </c>
      <c r="AS78" s="348">
        <f t="shared" si="133"/>
        <v>0.10711404000000001</v>
      </c>
      <c r="AT78" s="348">
        <f t="shared" si="111"/>
        <v>0.44027958270718859</v>
      </c>
      <c r="AU78">
        <f t="shared" si="112"/>
        <v>3.98475</v>
      </c>
      <c r="AV78" s="526">
        <f t="shared" si="127"/>
        <v>0.90050245439538279</v>
      </c>
      <c r="AW78" s="534">
        <f t="shared" si="113"/>
        <v>3.0905176491386697</v>
      </c>
      <c r="AX78" s="534">
        <f t="shared" si="114"/>
        <v>1.1694274470370385</v>
      </c>
      <c r="AY78" s="9"/>
      <c r="AZ78" s="4">
        <f t="shared" si="128"/>
        <v>90.050245439538273</v>
      </c>
      <c r="BA78" s="348">
        <f t="shared" si="115"/>
        <v>0.20620190054351115</v>
      </c>
      <c r="BB78" s="348">
        <f t="shared" si="129"/>
        <v>7.7641988808634682E-2</v>
      </c>
      <c r="BC78" s="348">
        <f t="shared" si="130"/>
        <v>5.6191229984339446E-2</v>
      </c>
      <c r="BD78" s="348">
        <f t="shared" si="131"/>
        <v>2.1262317218855246E-2</v>
      </c>
      <c r="BE78" s="348">
        <f t="shared" si="132"/>
        <v>3.720276427284374E-2</v>
      </c>
      <c r="BK78" s="18"/>
      <c r="BL78" s="19"/>
    </row>
    <row r="79" spans="1:64" ht="13" x14ac:dyDescent="0.3">
      <c r="A79" s="34" t="s">
        <v>209</v>
      </c>
      <c r="B79" s="568">
        <f>Deadtime*Fsw*(Iripple_Vinnom/2)*(Vsd_Q2)/Vin</f>
        <v>2.076828067068784E-4</v>
      </c>
      <c r="C79" s="21"/>
      <c r="G79">
        <v>70</v>
      </c>
      <c r="H79" s="531">
        <f t="shared" si="85"/>
        <v>6.6</v>
      </c>
      <c r="I79" s="4">
        <f t="shared" si="86"/>
        <v>1</v>
      </c>
      <c r="J79" s="348">
        <f t="shared" si="116"/>
        <v>1.2250000000000001</v>
      </c>
      <c r="K79" s="348">
        <f t="shared" si="87"/>
        <v>1.2250000000000001</v>
      </c>
      <c r="L79" s="4">
        <f t="shared" si="88"/>
        <v>0.68055555555555569</v>
      </c>
      <c r="M79" s="348">
        <f t="shared" si="89"/>
        <v>0.50431587782084286</v>
      </c>
      <c r="N79" s="4">
        <f t="shared" si="90"/>
        <v>0.60057738013943973</v>
      </c>
      <c r="O79" s="4">
        <f t="shared" si="117"/>
        <v>1.52528869006972</v>
      </c>
      <c r="P79" s="4">
        <f t="shared" si="118"/>
        <v>0.92471130993028017</v>
      </c>
      <c r="Q79" s="4">
        <f t="shared" si="91"/>
        <v>0</v>
      </c>
      <c r="R79" s="4">
        <f t="shared" si="119"/>
        <v>1.2372076486162686</v>
      </c>
      <c r="S79" s="348">
        <f t="shared" si="92"/>
        <v>6.2757993397578446E-3</v>
      </c>
      <c r="T79" s="348">
        <f t="shared" si="93"/>
        <v>0.2</v>
      </c>
      <c r="U79" s="348">
        <f t="shared" si="94"/>
        <v>0.20637941500347132</v>
      </c>
      <c r="V79" s="4">
        <f t="shared" si="120"/>
        <v>0.17337175604635288</v>
      </c>
      <c r="W79" s="348">
        <f t="shared" si="121"/>
        <v>3.0057765794596098E-5</v>
      </c>
      <c r="X79" s="348">
        <f t="shared" si="122"/>
        <v>3.0057765794596098E-5</v>
      </c>
      <c r="Y79" s="4">
        <f t="shared" si="123"/>
        <v>0.61858077865774219</v>
      </c>
      <c r="Z79" s="348">
        <f t="shared" si="124"/>
        <v>1.1479265391744558E-3</v>
      </c>
      <c r="AA79" s="525">
        <f t="shared" si="125"/>
        <v>1.1479265391744558E-3</v>
      </c>
      <c r="AB79" s="348">
        <f t="shared" si="126"/>
        <v>0.87860549889978357</v>
      </c>
      <c r="AC79" s="348">
        <f t="shared" si="95"/>
        <v>6.1755809815755014E-3</v>
      </c>
      <c r="AD79" s="348">
        <f t="shared" si="96"/>
        <v>6.4588674936422426E-3</v>
      </c>
      <c r="AE79" s="348">
        <f t="shared" si="97"/>
        <v>3.1326609599999992E-2</v>
      </c>
      <c r="AF79" s="348">
        <f t="shared" si="98"/>
        <v>0</v>
      </c>
      <c r="AG79" s="348">
        <f t="shared" si="99"/>
        <v>4.402086604831304E-2</v>
      </c>
      <c r="AH79" s="348">
        <f t="shared" si="100"/>
        <v>0.8710540414335145</v>
      </c>
      <c r="AI79" s="348">
        <f t="shared" si="101"/>
        <v>4.1730432870371228E-3</v>
      </c>
      <c r="AJ79" s="348">
        <f t="shared" si="102"/>
        <v>1.11318592E-2</v>
      </c>
      <c r="AK79" s="348">
        <f t="shared" si="103"/>
        <v>1.5318966363181292E-2</v>
      </c>
      <c r="AL79" s="348">
        <f t="shared" si="104"/>
        <v>1.11318592E-2</v>
      </c>
      <c r="AM79" s="348">
        <f t="shared" si="105"/>
        <v>1.9117264319999997E-2</v>
      </c>
      <c r="AN79" s="348">
        <f t="shared" si="106"/>
        <v>3.8267069144864913E-2</v>
      </c>
      <c r="AO79" s="348">
        <f t="shared" si="107"/>
        <v>1.452E-5</v>
      </c>
      <c r="AP79" s="348">
        <f t="shared" si="108"/>
        <v>0.10709952</v>
      </c>
      <c r="AQ79" s="348">
        <f t="shared" si="109"/>
        <v>4.9827049411764704E-2</v>
      </c>
      <c r="AR79" s="348">
        <f t="shared" si="110"/>
        <v>2.5963519999999997E-2</v>
      </c>
      <c r="AS79" s="348">
        <f t="shared" si="133"/>
        <v>0.10711404000000001</v>
      </c>
      <c r="AT79" s="348">
        <f t="shared" si="111"/>
        <v>0.44252746438479962</v>
      </c>
      <c r="AU79">
        <f t="shared" si="112"/>
        <v>4.0425000000000004</v>
      </c>
      <c r="AV79" s="526">
        <f t="shared" si="127"/>
        <v>0.90133227323603482</v>
      </c>
      <c r="AW79" s="534">
        <f t="shared" si="113"/>
        <v>3.1151043274732171</v>
      </c>
      <c r="AX79" s="534">
        <f t="shared" si="114"/>
        <v>1.1895214973829711</v>
      </c>
      <c r="AY79" s="9"/>
      <c r="AZ79" s="4">
        <f t="shared" si="128"/>
        <v>90.133227323603478</v>
      </c>
      <c r="BA79" s="348">
        <f t="shared" si="115"/>
        <v>0.20637941500347132</v>
      </c>
      <c r="BB79" s="348">
        <f t="shared" si="129"/>
        <v>7.8457096731494327E-2</v>
      </c>
      <c r="BC79" s="348">
        <f t="shared" si="130"/>
        <v>5.6638260499513038E-2</v>
      </c>
      <c r="BD79" s="348">
        <f t="shared" si="131"/>
        <v>2.1627663588781293E-2</v>
      </c>
      <c r="BE79" s="348">
        <f t="shared" si="132"/>
        <v>3.8267069144864913E-2</v>
      </c>
      <c r="BK79" s="18"/>
      <c r="BL79" s="19"/>
    </row>
    <row r="80" spans="1:64" ht="13" x14ac:dyDescent="0.3">
      <c r="A80" s="34" t="s">
        <v>45</v>
      </c>
      <c r="B80" s="568">
        <f>SUM(B77:B79)</f>
        <v>2.0575018806706879E-2</v>
      </c>
      <c r="C80" s="21" t="s">
        <v>1</v>
      </c>
      <c r="G80">
        <v>71</v>
      </c>
      <c r="H80" s="531">
        <f t="shared" si="85"/>
        <v>6.6</v>
      </c>
      <c r="I80" s="4">
        <f t="shared" si="86"/>
        <v>1</v>
      </c>
      <c r="J80" s="348">
        <f t="shared" si="116"/>
        <v>1.2424999999999999</v>
      </c>
      <c r="K80" s="348">
        <f t="shared" si="87"/>
        <v>1.2424999999999999</v>
      </c>
      <c r="L80" s="4">
        <f t="shared" si="88"/>
        <v>0.69027777777777788</v>
      </c>
      <c r="M80" s="348">
        <f t="shared" si="89"/>
        <v>0.50437727316018421</v>
      </c>
      <c r="N80" s="4">
        <f t="shared" si="90"/>
        <v>0.60061177870184523</v>
      </c>
      <c r="O80" s="4">
        <f t="shared" si="117"/>
        <v>1.5428058893509227</v>
      </c>
      <c r="P80" s="4">
        <f t="shared" si="118"/>
        <v>0.94219411064907732</v>
      </c>
      <c r="Q80" s="4">
        <f t="shared" si="91"/>
        <v>0</v>
      </c>
      <c r="R80" s="4">
        <f t="shared" si="119"/>
        <v>1.2545387435466535</v>
      </c>
      <c r="S80" s="348">
        <f t="shared" si="92"/>
        <v>6.4528565821444245E-3</v>
      </c>
      <c r="T80" s="348">
        <f t="shared" si="93"/>
        <v>0.2</v>
      </c>
      <c r="U80" s="348">
        <f t="shared" si="94"/>
        <v>0.20655948848253314</v>
      </c>
      <c r="V80" s="4">
        <f t="shared" si="120"/>
        <v>0.17338168605598514</v>
      </c>
      <c r="W80" s="348">
        <f t="shared" si="121"/>
        <v>3.0061209059616192E-5</v>
      </c>
      <c r="X80" s="348">
        <f t="shared" si="122"/>
        <v>3.0061209059616192E-5</v>
      </c>
      <c r="Y80" s="4">
        <f t="shared" si="123"/>
        <v>0.62724533369764934</v>
      </c>
      <c r="Z80" s="348">
        <f t="shared" si="124"/>
        <v>1.1803101259364264E-3</v>
      </c>
      <c r="AA80" s="525">
        <f t="shared" si="125"/>
        <v>1.1803101259364264E-3</v>
      </c>
      <c r="AB80" s="348">
        <f t="shared" si="126"/>
        <v>0.89096743897632813</v>
      </c>
      <c r="AC80" s="348">
        <f t="shared" si="95"/>
        <v>6.3505838185282963E-3</v>
      </c>
      <c r="AD80" s="348">
        <f t="shared" si="96"/>
        <v>6.5511370292657021E-3</v>
      </c>
      <c r="AE80" s="348">
        <f t="shared" si="97"/>
        <v>3.1326609599999992E-2</v>
      </c>
      <c r="AF80" s="348">
        <f t="shared" si="98"/>
        <v>0</v>
      </c>
      <c r="AG80" s="348">
        <f t="shared" si="99"/>
        <v>4.4290209559186063E-2</v>
      </c>
      <c r="AH80" s="348">
        <f t="shared" si="100"/>
        <v>0.88320126910211072</v>
      </c>
      <c r="AI80" s="348">
        <f t="shared" si="101"/>
        <v>4.2902446495896845E-3</v>
      </c>
      <c r="AJ80" s="348">
        <f t="shared" si="102"/>
        <v>1.1290885759999997E-2</v>
      </c>
      <c r="AK80" s="348">
        <f t="shared" si="103"/>
        <v>1.5595850612812113E-2</v>
      </c>
      <c r="AL80" s="348">
        <f t="shared" si="104"/>
        <v>1.1290885759999997E-2</v>
      </c>
      <c r="AM80" s="348">
        <f t="shared" si="105"/>
        <v>1.9390368095999998E-2</v>
      </c>
      <c r="AN80" s="348">
        <f t="shared" si="106"/>
        <v>3.9346686476490401E-2</v>
      </c>
      <c r="AO80" s="348">
        <f t="shared" si="107"/>
        <v>1.452E-5</v>
      </c>
      <c r="AP80" s="348">
        <f t="shared" si="108"/>
        <v>0.10709952</v>
      </c>
      <c r="AQ80" s="348">
        <f t="shared" si="109"/>
        <v>4.9827049411764704E-2</v>
      </c>
      <c r="AR80" s="348">
        <f t="shared" si="110"/>
        <v>2.5963519999999997E-2</v>
      </c>
      <c r="AS80" s="348">
        <f t="shared" si="133"/>
        <v>0.10711404000000001</v>
      </c>
      <c r="AT80" s="348">
        <f t="shared" si="111"/>
        <v>0.44479790032201777</v>
      </c>
      <c r="AU80">
        <f t="shared" si="112"/>
        <v>4.10025</v>
      </c>
      <c r="AV80" s="526">
        <f t="shared" si="127"/>
        <v>0.90213570680069088</v>
      </c>
      <c r="AW80" s="534">
        <f t="shared" si="113"/>
        <v>3.1398318876400335</v>
      </c>
      <c r="AX80" s="534">
        <f t="shared" si="114"/>
        <v>1.2097069646470664</v>
      </c>
      <c r="AY80" s="9"/>
      <c r="AZ80" s="4">
        <f t="shared" si="128"/>
        <v>90.213570680069083</v>
      </c>
      <c r="BA80" s="348">
        <f t="shared" si="115"/>
        <v>0.20655948848253314</v>
      </c>
      <c r="BB80" s="348">
        <f t="shared" si="129"/>
        <v>7.9276428267998175E-2</v>
      </c>
      <c r="BC80" s="348">
        <f t="shared" si="130"/>
        <v>5.7087852502546062E-2</v>
      </c>
      <c r="BD80" s="348">
        <f t="shared" si="131"/>
        <v>2.1994672084492115E-2</v>
      </c>
      <c r="BE80" s="348">
        <f t="shared" si="132"/>
        <v>3.9346686476490401E-2</v>
      </c>
      <c r="BK80" s="18"/>
      <c r="BL80" s="19"/>
    </row>
    <row r="81" spans="1:64" ht="13" x14ac:dyDescent="0.3">
      <c r="A81" s="2"/>
      <c r="G81">
        <v>72</v>
      </c>
      <c r="H81" s="531">
        <f t="shared" si="85"/>
        <v>6.6</v>
      </c>
      <c r="I81" s="4">
        <f t="shared" si="86"/>
        <v>1</v>
      </c>
      <c r="J81" s="348">
        <f t="shared" si="116"/>
        <v>1.26</v>
      </c>
      <c r="K81" s="348">
        <f t="shared" si="87"/>
        <v>1.26</v>
      </c>
      <c r="L81" s="4">
        <f t="shared" si="88"/>
        <v>0.7</v>
      </c>
      <c r="M81" s="348">
        <f t="shared" si="89"/>
        <v>0.50443866120527736</v>
      </c>
      <c r="N81" s="4">
        <f t="shared" si="90"/>
        <v>0.60064615915350528</v>
      </c>
      <c r="O81" s="4">
        <f t="shared" si="117"/>
        <v>1.5603230795767526</v>
      </c>
      <c r="P81" s="4">
        <f t="shared" si="118"/>
        <v>0.95967692042324737</v>
      </c>
      <c r="Q81" s="4">
        <f t="shared" si="91"/>
        <v>0</v>
      </c>
      <c r="R81" s="4">
        <f t="shared" si="119"/>
        <v>1.2718744634235022</v>
      </c>
      <c r="S81" s="348">
        <f t="shared" si="92"/>
        <v>6.6324250679061685E-3</v>
      </c>
      <c r="T81" s="348">
        <f t="shared" si="93"/>
        <v>0.2</v>
      </c>
      <c r="U81" s="348">
        <f t="shared" si="94"/>
        <v>0.2067421211980843</v>
      </c>
      <c r="V81" s="4">
        <f t="shared" si="120"/>
        <v>0.17339161083749555</v>
      </c>
      <c r="W81" s="348">
        <f t="shared" si="121"/>
        <v>3.0064650708821504E-5</v>
      </c>
      <c r="X81" s="348">
        <f t="shared" si="122"/>
        <v>3.0064650708821504E-5</v>
      </c>
      <c r="Y81" s="4">
        <f t="shared" si="123"/>
        <v>0.63591217311201809</v>
      </c>
      <c r="Z81" s="348">
        <f t="shared" si="124"/>
        <v>1.2131528757361478E-3</v>
      </c>
      <c r="AA81" s="525">
        <f t="shared" si="125"/>
        <v>1.2131528757361478E-3</v>
      </c>
      <c r="AB81" s="348">
        <f t="shared" si="126"/>
        <v>0.90333415228400427</v>
      </c>
      <c r="AC81" s="348">
        <f t="shared" si="95"/>
        <v>6.528100725461285E-3</v>
      </c>
      <c r="AD81" s="348">
        <f t="shared" si="96"/>
        <v>6.6434065648891625E-3</v>
      </c>
      <c r="AE81" s="348">
        <f t="shared" si="97"/>
        <v>3.1326609599999992E-2</v>
      </c>
      <c r="AF81" s="348">
        <f t="shared" si="98"/>
        <v>0</v>
      </c>
      <c r="AG81" s="348">
        <f t="shared" si="99"/>
        <v>4.4562116206640502E-2</v>
      </c>
      <c r="AH81" s="348">
        <f t="shared" si="100"/>
        <v>0.89535024433244048</v>
      </c>
      <c r="AI81" s="348">
        <f t="shared" si="101"/>
        <v>4.409086330143884E-3</v>
      </c>
      <c r="AJ81" s="348">
        <f t="shared" si="102"/>
        <v>1.1449912319999998E-2</v>
      </c>
      <c r="AK81" s="348">
        <f t="shared" si="103"/>
        <v>1.5874396799047594E-2</v>
      </c>
      <c r="AL81" s="348">
        <f t="shared" si="104"/>
        <v>1.1449912319999998E-2</v>
      </c>
      <c r="AM81" s="348">
        <f t="shared" si="105"/>
        <v>1.9663471871999995E-2</v>
      </c>
      <c r="AN81" s="348">
        <f t="shared" si="106"/>
        <v>4.0441616267720547E-2</v>
      </c>
      <c r="AO81" s="348">
        <f t="shared" si="107"/>
        <v>1.452E-5</v>
      </c>
      <c r="AP81" s="348">
        <f t="shared" si="108"/>
        <v>0.10709952</v>
      </c>
      <c r="AQ81" s="348">
        <f t="shared" si="109"/>
        <v>4.9827049411764704E-2</v>
      </c>
      <c r="AR81" s="348">
        <f t="shared" si="110"/>
        <v>2.5963519999999997E-2</v>
      </c>
      <c r="AS81" s="348">
        <f t="shared" si="133"/>
        <v>0.10711404000000001</v>
      </c>
      <c r="AT81" s="348">
        <f t="shared" si="111"/>
        <v>0.44709089218993792</v>
      </c>
      <c r="AU81">
        <f t="shared" si="112"/>
        <v>4.1579999999999995</v>
      </c>
      <c r="AV81" s="526">
        <f t="shared" si="127"/>
        <v>0.90291377463402778</v>
      </c>
      <c r="AW81" s="534">
        <f t="shared" si="113"/>
        <v>3.1647004203188271</v>
      </c>
      <c r="AX81" s="534">
        <f t="shared" si="114"/>
        <v>1.2299838384244175</v>
      </c>
      <c r="AY81" s="9"/>
      <c r="AZ81" s="4">
        <f t="shared" si="128"/>
        <v>90.291377463402782</v>
      </c>
      <c r="BA81" s="348">
        <f t="shared" si="115"/>
        <v>0.2067421211980843</v>
      </c>
      <c r="BB81" s="348">
        <f t="shared" si="129"/>
        <v>8.0099984877688102E-2</v>
      </c>
      <c r="BC81" s="348">
        <f t="shared" si="130"/>
        <v>5.7540007642160496E-2</v>
      </c>
      <c r="BD81" s="348">
        <f t="shared" si="131"/>
        <v>2.2363342516807591E-2</v>
      </c>
      <c r="BE81" s="348">
        <f t="shared" si="132"/>
        <v>4.0441616267720547E-2</v>
      </c>
      <c r="BK81" s="18"/>
      <c r="BL81" s="19"/>
    </row>
    <row r="82" spans="1:64" ht="13" x14ac:dyDescent="0.3">
      <c r="A82" s="2"/>
      <c r="G82">
        <v>73</v>
      </c>
      <c r="H82" s="531">
        <f t="shared" si="85"/>
        <v>6.6</v>
      </c>
      <c r="I82" s="4">
        <f t="shared" si="86"/>
        <v>1</v>
      </c>
      <c r="J82" s="348">
        <f t="shared" si="116"/>
        <v>1.2775000000000001</v>
      </c>
      <c r="K82" s="348">
        <f t="shared" si="87"/>
        <v>1.2775000000000001</v>
      </c>
      <c r="L82" s="4">
        <f t="shared" si="88"/>
        <v>0.70972222222222225</v>
      </c>
      <c r="M82" s="348">
        <f t="shared" si="89"/>
        <v>0.50450004195742215</v>
      </c>
      <c r="N82" s="4">
        <f t="shared" si="90"/>
        <v>0.60068052149764717</v>
      </c>
      <c r="O82" s="4">
        <f t="shared" si="117"/>
        <v>1.5778402607488236</v>
      </c>
      <c r="P82" s="4">
        <f t="shared" si="118"/>
        <v>0.9771597392511765</v>
      </c>
      <c r="Q82" s="4">
        <f t="shared" si="91"/>
        <v>0</v>
      </c>
      <c r="R82" s="4">
        <f t="shared" si="119"/>
        <v>1.2892146216756246</v>
      </c>
      <c r="S82" s="348">
        <f t="shared" si="92"/>
        <v>6.8145047970431171E-3</v>
      </c>
      <c r="T82" s="348">
        <f t="shared" si="93"/>
        <v>0.2</v>
      </c>
      <c r="U82" s="348">
        <f t="shared" si="94"/>
        <v>0.20692731337061138</v>
      </c>
      <c r="V82" s="4">
        <f t="shared" si="120"/>
        <v>0.17340153039181569</v>
      </c>
      <c r="W82" s="348">
        <f t="shared" si="121"/>
        <v>3.0068090742223781E-5</v>
      </c>
      <c r="X82" s="348">
        <f t="shared" si="122"/>
        <v>3.0068090742223781E-5</v>
      </c>
      <c r="Y82" s="4">
        <f t="shared" si="123"/>
        <v>0.64458120322619228</v>
      </c>
      <c r="Z82" s="348">
        <f t="shared" si="124"/>
        <v>1.2464547826575773E-3</v>
      </c>
      <c r="AA82" s="525">
        <f t="shared" si="125"/>
        <v>1.2464547826575773E-3</v>
      </c>
      <c r="AB82" s="348">
        <f t="shared" si="126"/>
        <v>0.91570550650348648</v>
      </c>
      <c r="AC82" s="348">
        <f t="shared" si="95"/>
        <v>6.7081325971264545E-3</v>
      </c>
      <c r="AD82" s="348">
        <f t="shared" si="96"/>
        <v>6.7356761005126237E-3</v>
      </c>
      <c r="AE82" s="348">
        <f t="shared" si="97"/>
        <v>3.1326609599999992E-2</v>
      </c>
      <c r="AF82" s="348">
        <f t="shared" si="98"/>
        <v>0</v>
      </c>
      <c r="AG82" s="348">
        <f t="shared" si="99"/>
        <v>4.4836587648171326E-2</v>
      </c>
      <c r="AH82" s="348">
        <f t="shared" si="100"/>
        <v>0.90750083531720072</v>
      </c>
      <c r="AI82" s="348">
        <f t="shared" si="101"/>
        <v>4.5295677135577935E-3</v>
      </c>
      <c r="AJ82" s="348">
        <f t="shared" si="102"/>
        <v>1.1608938879999999E-2</v>
      </c>
      <c r="AK82" s="348">
        <f t="shared" si="103"/>
        <v>1.6154604736286323E-2</v>
      </c>
      <c r="AL82" s="348">
        <f t="shared" si="104"/>
        <v>1.1608938879999999E-2</v>
      </c>
      <c r="AM82" s="348">
        <f t="shared" si="105"/>
        <v>1.9936575647999999E-2</v>
      </c>
      <c r="AN82" s="348">
        <f t="shared" si="106"/>
        <v>4.1551858518555598E-2</v>
      </c>
      <c r="AO82" s="348">
        <f t="shared" si="107"/>
        <v>1.452E-5</v>
      </c>
      <c r="AP82" s="348">
        <f t="shared" si="108"/>
        <v>0.10709952</v>
      </c>
      <c r="AQ82" s="348">
        <f t="shared" si="109"/>
        <v>4.9827049411764704E-2</v>
      </c>
      <c r="AR82" s="348">
        <f t="shared" si="110"/>
        <v>2.5963519999999997E-2</v>
      </c>
      <c r="AS82" s="348">
        <f t="shared" si="133"/>
        <v>0.10711404000000001</v>
      </c>
      <c r="AT82" s="348">
        <f t="shared" si="111"/>
        <v>0.44940644167502442</v>
      </c>
      <c r="AU82">
        <f t="shared" si="112"/>
        <v>4.2157499999999999</v>
      </c>
      <c r="AV82" s="526">
        <f t="shared" si="127"/>
        <v>0.90366744453404335</v>
      </c>
      <c r="AW82" s="534">
        <f t="shared" si="113"/>
        <v>3.1897100166718229</v>
      </c>
      <c r="AX82" s="534">
        <f t="shared" si="114"/>
        <v>1.2503521085069478</v>
      </c>
      <c r="AY82" s="9"/>
      <c r="AZ82" s="4">
        <f t="shared" si="128"/>
        <v>90.366744453404337</v>
      </c>
      <c r="BA82" s="348">
        <f t="shared" si="115"/>
        <v>0.20692731337061138</v>
      </c>
      <c r="BB82" s="348">
        <f t="shared" si="129"/>
        <v>8.0927768032457645E-2</v>
      </c>
      <c r="BC82" s="348">
        <f t="shared" si="130"/>
        <v>5.7994727575851328E-2</v>
      </c>
      <c r="BD82" s="348">
        <f t="shared" si="131"/>
        <v>2.2733674700126324E-2</v>
      </c>
      <c r="BE82" s="348">
        <f t="shared" si="132"/>
        <v>4.1551858518555598E-2</v>
      </c>
      <c r="BK82" s="18"/>
      <c r="BL82" s="19"/>
    </row>
    <row r="83" spans="1:64" ht="13" x14ac:dyDescent="0.3">
      <c r="A83" s="2"/>
      <c r="G83">
        <v>74</v>
      </c>
      <c r="H83" s="531">
        <f t="shared" si="85"/>
        <v>6.6</v>
      </c>
      <c r="I83" s="4">
        <f t="shared" si="86"/>
        <v>1</v>
      </c>
      <c r="J83" s="348">
        <f t="shared" si="116"/>
        <v>1.2949999999999999</v>
      </c>
      <c r="K83" s="348">
        <f t="shared" si="87"/>
        <v>1.2949999999999999</v>
      </c>
      <c r="L83" s="4">
        <f t="shared" si="88"/>
        <v>0.71944444444444444</v>
      </c>
      <c r="M83" s="348">
        <f t="shared" si="89"/>
        <v>0.50456141541791821</v>
      </c>
      <c r="N83" s="4">
        <f t="shared" si="90"/>
        <v>0.60071486573749777</v>
      </c>
      <c r="O83" s="4">
        <f t="shared" si="117"/>
        <v>1.5953574328687488</v>
      </c>
      <c r="P83" s="4">
        <f t="shared" si="118"/>
        <v>0.9946425671312511</v>
      </c>
      <c r="Q83" s="4">
        <f t="shared" si="91"/>
        <v>0</v>
      </c>
      <c r="R83" s="4">
        <f t="shared" si="119"/>
        <v>1.306559041589715</v>
      </c>
      <c r="S83" s="348">
        <f t="shared" si="92"/>
        <v>6.9990957695553217E-3</v>
      </c>
      <c r="T83" s="348">
        <f t="shared" si="93"/>
        <v>0.2</v>
      </c>
      <c r="U83" s="348">
        <f t="shared" si="94"/>
        <v>0.20711506522370079</v>
      </c>
      <c r="V83" s="4">
        <f t="shared" si="120"/>
        <v>0.17341144471987713</v>
      </c>
      <c r="W83" s="348">
        <f t="shared" si="121"/>
        <v>3.0071529159835003E-5</v>
      </c>
      <c r="X83" s="348">
        <f t="shared" si="122"/>
        <v>3.0071529159835003E-5</v>
      </c>
      <c r="Y83" s="4">
        <f t="shared" si="123"/>
        <v>0.65325233529464266</v>
      </c>
      <c r="Z83" s="348">
        <f t="shared" si="124"/>
        <v>1.2802158407037127E-3</v>
      </c>
      <c r="AA83" s="525">
        <f t="shared" si="125"/>
        <v>1.2802158407037127E-3</v>
      </c>
      <c r="AB83" s="348">
        <f t="shared" si="126"/>
        <v>0.92808137628545351</v>
      </c>
      <c r="AC83" s="348">
        <f t="shared" si="95"/>
        <v>6.8906803280632126E-3</v>
      </c>
      <c r="AD83" s="348">
        <f t="shared" si="96"/>
        <v>6.8279456361360832E-3</v>
      </c>
      <c r="AE83" s="348">
        <f t="shared" si="97"/>
        <v>3.1326609599999992E-2</v>
      </c>
      <c r="AF83" s="348">
        <f t="shared" si="98"/>
        <v>0</v>
      </c>
      <c r="AG83" s="348">
        <f t="shared" si="99"/>
        <v>4.5113625550062486E-2</v>
      </c>
      <c r="AH83" s="348">
        <f t="shared" si="100"/>
        <v>0.91965291722036802</v>
      </c>
      <c r="AI83" s="348">
        <f t="shared" si="101"/>
        <v>4.6516881848356314E-3</v>
      </c>
      <c r="AJ83" s="348">
        <f t="shared" si="102"/>
        <v>1.1767965439999998E-2</v>
      </c>
      <c r="AK83" s="348">
        <f t="shared" si="103"/>
        <v>1.6436474242503156E-2</v>
      </c>
      <c r="AL83" s="348">
        <f t="shared" si="104"/>
        <v>1.1767965439999998E-2</v>
      </c>
      <c r="AM83" s="348">
        <f t="shared" si="105"/>
        <v>2.0209679423999996E-2</v>
      </c>
      <c r="AN83" s="348">
        <f t="shared" si="106"/>
        <v>4.2677413228995875E-2</v>
      </c>
      <c r="AO83" s="348">
        <f t="shared" si="107"/>
        <v>1.452E-5</v>
      </c>
      <c r="AP83" s="348">
        <f t="shared" si="108"/>
        <v>0.10709952</v>
      </c>
      <c r="AQ83" s="348">
        <f t="shared" si="109"/>
        <v>4.9827049411764704E-2</v>
      </c>
      <c r="AR83" s="348">
        <f t="shared" si="110"/>
        <v>2.5963519999999997E-2</v>
      </c>
      <c r="AS83" s="348">
        <f t="shared" si="133"/>
        <v>0.10711404000000001</v>
      </c>
      <c r="AT83" s="348">
        <f t="shared" si="111"/>
        <v>0.45174455047912582</v>
      </c>
      <c r="AU83">
        <f t="shared" si="112"/>
        <v>4.2734999999999994</v>
      </c>
      <c r="AV83" s="526">
        <f t="shared" si="127"/>
        <v>0.9043976357936182</v>
      </c>
      <c r="AW83" s="534">
        <f t="shared" si="113"/>
        <v>3.2148607683446366</v>
      </c>
      <c r="AX83" s="534">
        <f t="shared" si="114"/>
        <v>1.2708117648832735</v>
      </c>
      <c r="AY83" s="9"/>
      <c r="AZ83" s="4">
        <f t="shared" si="128"/>
        <v>90.439763579361824</v>
      </c>
      <c r="BA83" s="348">
        <f t="shared" si="115"/>
        <v>0.20711506522370079</v>
      </c>
      <c r="BB83" s="348">
        <f t="shared" si="129"/>
        <v>8.1759779216565631E-2</v>
      </c>
      <c r="BC83" s="348">
        <f t="shared" si="130"/>
        <v>5.8452013969902482E-2</v>
      </c>
      <c r="BD83" s="348">
        <f t="shared" si="131"/>
        <v>2.3105668452423154E-2</v>
      </c>
      <c r="BE83" s="348">
        <f t="shared" si="132"/>
        <v>4.2677413228995875E-2</v>
      </c>
      <c r="BK83" s="18"/>
      <c r="BL83" s="19"/>
    </row>
    <row r="84" spans="1:64" x14ac:dyDescent="0.25">
      <c r="G84">
        <v>75</v>
      </c>
      <c r="H84" s="531">
        <f t="shared" si="85"/>
        <v>6.6</v>
      </c>
      <c r="I84" s="4">
        <f t="shared" si="86"/>
        <v>1</v>
      </c>
      <c r="J84" s="348">
        <f t="shared" si="116"/>
        <v>1.3125</v>
      </c>
      <c r="K84" s="348">
        <f t="shared" si="87"/>
        <v>1.3125</v>
      </c>
      <c r="L84" s="4">
        <f t="shared" si="88"/>
        <v>0.72916666666666674</v>
      </c>
      <c r="M84" s="348">
        <f t="shared" si="89"/>
        <v>0.50462278158806473</v>
      </c>
      <c r="N84" s="4">
        <f t="shared" si="90"/>
        <v>0.60074919187628251</v>
      </c>
      <c r="O84" s="4">
        <f t="shared" si="117"/>
        <v>1.6128745959381412</v>
      </c>
      <c r="P84" s="4">
        <f t="shared" si="118"/>
        <v>1.0121254040618588</v>
      </c>
      <c r="Q84" s="4">
        <f t="shared" si="91"/>
        <v>0</v>
      </c>
      <c r="R84" s="4">
        <f t="shared" si="119"/>
        <v>1.3239075556705866</v>
      </c>
      <c r="S84" s="348">
        <f t="shared" si="92"/>
        <v>7.186197985442835E-3</v>
      </c>
      <c r="T84" s="348">
        <f t="shared" si="93"/>
        <v>0.2</v>
      </c>
      <c r="U84" s="348">
        <f t="shared" si="94"/>
        <v>0.2073053769840392</v>
      </c>
      <c r="V84" s="4">
        <f t="shared" si="120"/>
        <v>0.17342135382261092</v>
      </c>
      <c r="W84" s="348">
        <f t="shared" si="121"/>
        <v>3.0074965961667212E-5</v>
      </c>
      <c r="X84" s="348">
        <f t="shared" si="122"/>
        <v>3.0074965961667212E-5</v>
      </c>
      <c r="Y84" s="4">
        <f t="shared" si="123"/>
        <v>0.66192548518108374</v>
      </c>
      <c r="Z84" s="348">
        <f t="shared" si="124"/>
        <v>1.3144360437966393E-3</v>
      </c>
      <c r="AA84" s="525">
        <f t="shared" si="125"/>
        <v>1.3144360437966393E-3</v>
      </c>
      <c r="AB84" s="348">
        <f t="shared" si="126"/>
        <v>0.94046164279826294</v>
      </c>
      <c r="AC84" s="348">
        <f t="shared" si="95"/>
        <v>7.07574481259846E-3</v>
      </c>
      <c r="AD84" s="348">
        <f t="shared" si="96"/>
        <v>6.9202151717595453E-3</v>
      </c>
      <c r="AE84" s="348">
        <f t="shared" si="97"/>
        <v>3.1326609599999992E-2</v>
      </c>
      <c r="AF84" s="348">
        <f t="shared" si="98"/>
        <v>0</v>
      </c>
      <c r="AG84" s="348">
        <f t="shared" si="99"/>
        <v>4.5393231587402959E-2</v>
      </c>
      <c r="AH84" s="348">
        <f t="shared" si="100"/>
        <v>0.931806371724759</v>
      </c>
      <c r="AI84" s="348">
        <f t="shared" si="101"/>
        <v>4.7754471291277288E-3</v>
      </c>
      <c r="AJ84" s="348">
        <f t="shared" si="102"/>
        <v>1.1926991999999999E-2</v>
      </c>
      <c r="AK84" s="348">
        <f t="shared" si="103"/>
        <v>1.6720005139246798E-2</v>
      </c>
      <c r="AL84" s="348">
        <f t="shared" si="104"/>
        <v>1.1926991999999999E-2</v>
      </c>
      <c r="AM84" s="348">
        <f t="shared" si="105"/>
        <v>2.0482783199999997E-2</v>
      </c>
      <c r="AN84" s="348">
        <f t="shared" si="106"/>
        <v>4.3818280399041683E-2</v>
      </c>
      <c r="AO84" s="348">
        <f t="shared" si="107"/>
        <v>1.452E-5</v>
      </c>
      <c r="AP84" s="348">
        <f t="shared" si="108"/>
        <v>0.10709952</v>
      </c>
      <c r="AQ84" s="348">
        <f t="shared" si="109"/>
        <v>4.9827049411764704E-2</v>
      </c>
      <c r="AR84" s="348">
        <f t="shared" si="110"/>
        <v>2.5963519999999997E-2</v>
      </c>
      <c r="AS84" s="348">
        <f t="shared" si="133"/>
        <v>0.10711404000000001</v>
      </c>
      <c r="AT84" s="348">
        <f t="shared" si="111"/>
        <v>0.45410522031948902</v>
      </c>
      <c r="AU84">
        <f t="shared" si="112"/>
        <v>4.3312499999999998</v>
      </c>
      <c r="AV84" s="526">
        <f t="shared" si="127"/>
        <v>0.90510522220142076</v>
      </c>
      <c r="AW84" s="534">
        <f t="shared" si="113"/>
        <v>3.2401527674671624</v>
      </c>
      <c r="AX84" s="534">
        <f t="shared" si="114"/>
        <v>1.2913627977385738</v>
      </c>
      <c r="AY84" s="9"/>
      <c r="AZ84" s="4">
        <f t="shared" si="128"/>
        <v>90.510522220142079</v>
      </c>
      <c r="BA84" s="348">
        <f t="shared" si="115"/>
        <v>0.2073053769840392</v>
      </c>
      <c r="BB84" s="348">
        <f t="shared" si="129"/>
        <v>8.259601992664975E-2</v>
      </c>
      <c r="BC84" s="348">
        <f t="shared" si="130"/>
        <v>5.8911868499402956E-2</v>
      </c>
      <c r="BD84" s="348">
        <f t="shared" si="131"/>
        <v>2.3479323595246796E-2</v>
      </c>
      <c r="BE84" s="348">
        <f t="shared" si="132"/>
        <v>4.3818280399041683E-2</v>
      </c>
      <c r="BK84" s="18"/>
      <c r="BL84" s="19"/>
    </row>
    <row r="85" spans="1:64" x14ac:dyDescent="0.25">
      <c r="G85">
        <v>76</v>
      </c>
      <c r="H85" s="531">
        <f t="shared" si="85"/>
        <v>6.6</v>
      </c>
      <c r="I85" s="4">
        <f t="shared" si="86"/>
        <v>1</v>
      </c>
      <c r="J85" s="348">
        <f t="shared" si="116"/>
        <v>1.33</v>
      </c>
      <c r="K85" s="348">
        <f t="shared" si="87"/>
        <v>1.33</v>
      </c>
      <c r="L85" s="4">
        <f t="shared" si="88"/>
        <v>0.73888888888888904</v>
      </c>
      <c r="M85" s="348">
        <f t="shared" si="89"/>
        <v>0.50468414046916066</v>
      </c>
      <c r="N85" s="4">
        <f t="shared" si="90"/>
        <v>0.60078349991722679</v>
      </c>
      <c r="O85" s="4">
        <f t="shared" si="117"/>
        <v>1.6303917499586134</v>
      </c>
      <c r="P85" s="4">
        <f t="shared" si="118"/>
        <v>1.0296082500413868</v>
      </c>
      <c r="Q85" s="4">
        <f t="shared" si="91"/>
        <v>0</v>
      </c>
      <c r="R85" s="4">
        <f t="shared" si="119"/>
        <v>1.3412600050503753</v>
      </c>
      <c r="S85" s="348">
        <f t="shared" si="92"/>
        <v>7.375811444705704E-3</v>
      </c>
      <c r="T85" s="348">
        <f t="shared" si="93"/>
        <v>0.2</v>
      </c>
      <c r="U85" s="348">
        <f t="shared" si="94"/>
        <v>0.20749824888141419</v>
      </c>
      <c r="V85" s="4">
        <f t="shared" si="120"/>
        <v>0.17343125770094822</v>
      </c>
      <c r="W85" s="348">
        <f t="shared" si="121"/>
        <v>3.0078401147732713E-5</v>
      </c>
      <c r="X85" s="348">
        <f t="shared" si="122"/>
        <v>3.0078401147732713E-5</v>
      </c>
      <c r="Y85" s="4">
        <f t="shared" si="123"/>
        <v>0.67060057306307652</v>
      </c>
      <c r="Z85" s="348">
        <f t="shared" si="124"/>
        <v>1.3491153857775799E-3</v>
      </c>
      <c r="AA85" s="525">
        <f t="shared" si="125"/>
        <v>1.3491153857775799E-3</v>
      </c>
      <c r="AB85" s="348">
        <f t="shared" si="126"/>
        <v>0.952846193310247</v>
      </c>
      <c r="AC85" s="348">
        <f t="shared" si="95"/>
        <v>7.2633269448466285E-3</v>
      </c>
      <c r="AD85" s="348">
        <f t="shared" si="96"/>
        <v>7.0124847073830057E-3</v>
      </c>
      <c r="AE85" s="348">
        <f t="shared" si="97"/>
        <v>3.1326609599999992E-2</v>
      </c>
      <c r="AF85" s="348">
        <f t="shared" si="98"/>
        <v>0</v>
      </c>
      <c r="AG85" s="348">
        <f t="shared" si="99"/>
        <v>4.567540744410286E-2</v>
      </c>
      <c r="AH85" s="348">
        <f t="shared" si="100"/>
        <v>0.94396108661422296</v>
      </c>
      <c r="AI85" s="348">
        <f t="shared" si="101"/>
        <v>4.9008439317304742E-3</v>
      </c>
      <c r="AJ85" s="348">
        <f t="shared" si="102"/>
        <v>1.208601856E-2</v>
      </c>
      <c r="AK85" s="348">
        <f t="shared" si="103"/>
        <v>1.700519725163736E-2</v>
      </c>
      <c r="AL85" s="348">
        <f t="shared" si="104"/>
        <v>1.208601856E-2</v>
      </c>
      <c r="AM85" s="348">
        <f t="shared" si="105"/>
        <v>2.0755886975999997E-2</v>
      </c>
      <c r="AN85" s="348">
        <f t="shared" si="106"/>
        <v>4.4974460028693326E-2</v>
      </c>
      <c r="AO85" s="348">
        <f t="shared" si="107"/>
        <v>1.452E-5</v>
      </c>
      <c r="AP85" s="348">
        <f t="shared" si="108"/>
        <v>0.10709952</v>
      </c>
      <c r="AQ85" s="348">
        <f t="shared" si="109"/>
        <v>4.9827049411764704E-2</v>
      </c>
      <c r="AR85" s="348">
        <f t="shared" si="110"/>
        <v>2.5963519999999997E-2</v>
      </c>
      <c r="AS85" s="348">
        <f t="shared" si="133"/>
        <v>0.10711404000000001</v>
      </c>
      <c r="AT85" s="348">
        <f t="shared" si="111"/>
        <v>0.4564884529287731</v>
      </c>
      <c r="AU85">
        <f t="shared" si="112"/>
        <v>4.3890000000000002</v>
      </c>
      <c r="AV85" s="526">
        <f t="shared" si="127"/>
        <v>0.90579103482274193</v>
      </c>
      <c r="AW85" s="534">
        <f t="shared" si="113"/>
        <v>3.2655861066544571</v>
      </c>
      <c r="AX85" s="534">
        <f t="shared" si="114"/>
        <v>1.3120051974544547</v>
      </c>
      <c r="AY85" s="9"/>
      <c r="AZ85" s="4">
        <f t="shared" si="128"/>
        <v>90.579103482274192</v>
      </c>
      <c r="BA85" s="348">
        <f t="shared" si="115"/>
        <v>0.20749824888141419</v>
      </c>
      <c r="BB85" s="348">
        <f t="shared" si="129"/>
        <v>8.3436491671740221E-2</v>
      </c>
      <c r="BC85" s="348">
        <f t="shared" si="130"/>
        <v>5.9374292848262858E-2</v>
      </c>
      <c r="BD85" s="348">
        <f t="shared" si="131"/>
        <v>2.3854639953717359E-2</v>
      </c>
      <c r="BE85" s="348">
        <f t="shared" si="132"/>
        <v>4.4974460028693326E-2</v>
      </c>
      <c r="BK85" s="18"/>
      <c r="BL85" s="19"/>
    </row>
    <row r="86" spans="1:64" x14ac:dyDescent="0.25">
      <c r="G86">
        <v>77</v>
      </c>
      <c r="H86" s="531">
        <f t="shared" si="85"/>
        <v>6.6</v>
      </c>
      <c r="I86" s="4">
        <f t="shared" si="86"/>
        <v>1</v>
      </c>
      <c r="J86" s="348">
        <f t="shared" si="116"/>
        <v>1.3474999999999999</v>
      </c>
      <c r="K86" s="348">
        <f t="shared" si="87"/>
        <v>1.3474999999999999</v>
      </c>
      <c r="L86" s="4">
        <f t="shared" si="88"/>
        <v>0.74861111111111112</v>
      </c>
      <c r="M86" s="348">
        <f t="shared" si="89"/>
        <v>0.50474549206250452</v>
      </c>
      <c r="N86" s="4">
        <f t="shared" si="90"/>
        <v>0.60081778986355472</v>
      </c>
      <c r="O86" s="4">
        <f t="shared" si="117"/>
        <v>1.6479088949317773</v>
      </c>
      <c r="P86" s="4">
        <f t="shared" si="118"/>
        <v>1.0470911050682226</v>
      </c>
      <c r="Q86" s="4">
        <f t="shared" si="91"/>
        <v>0</v>
      </c>
      <c r="R86" s="4">
        <f t="shared" si="119"/>
        <v>1.3586162389424188</v>
      </c>
      <c r="S86" s="348">
        <f t="shared" si="92"/>
        <v>7.5679361473439772E-3</v>
      </c>
      <c r="T86" s="348">
        <f t="shared" si="93"/>
        <v>0.2</v>
      </c>
      <c r="U86" s="348">
        <f t="shared" si="94"/>
        <v>0.2076936811487152</v>
      </c>
      <c r="V86" s="4">
        <f t="shared" si="120"/>
        <v>0.17344115635581966</v>
      </c>
      <c r="W86" s="348">
        <f t="shared" si="121"/>
        <v>3.0081834718043884E-5</v>
      </c>
      <c r="X86" s="348">
        <f t="shared" si="122"/>
        <v>3.0081834718043884E-5</v>
      </c>
      <c r="Y86" s="4">
        <f t="shared" si="123"/>
        <v>0.67927752315896639</v>
      </c>
      <c r="Z86" s="348">
        <f t="shared" si="124"/>
        <v>1.3842538604069404E-3</v>
      </c>
      <c r="AA86" s="525">
        <f t="shared" si="125"/>
        <v>1.3842538604069404E-3</v>
      </c>
      <c r="AB86" s="348">
        <f t="shared" si="126"/>
        <v>0.96523492080359363</v>
      </c>
      <c r="AC86" s="348">
        <f t="shared" si="95"/>
        <v>7.4534276187097582E-3</v>
      </c>
      <c r="AD86" s="348">
        <f t="shared" si="96"/>
        <v>7.1047542430064661E-3</v>
      </c>
      <c r="AE86" s="348">
        <f t="shared" si="97"/>
        <v>3.1326609599999992E-2</v>
      </c>
      <c r="AF86" s="348">
        <f t="shared" si="98"/>
        <v>0</v>
      </c>
      <c r="AG86" s="348">
        <f t="shared" si="99"/>
        <v>4.5960154812909611E-2</v>
      </c>
      <c r="AH86" s="348">
        <f t="shared" si="100"/>
        <v>0.95611695538742725</v>
      </c>
      <c r="AI86" s="348">
        <f t="shared" si="101"/>
        <v>5.0278779780862787E-3</v>
      </c>
      <c r="AJ86" s="348">
        <f t="shared" si="102"/>
        <v>1.2245045119999997E-2</v>
      </c>
      <c r="AK86" s="348">
        <f t="shared" si="103"/>
        <v>1.7292050408363995E-2</v>
      </c>
      <c r="AL86" s="348">
        <f t="shared" si="104"/>
        <v>1.2245045119999997E-2</v>
      </c>
      <c r="AM86" s="348">
        <f t="shared" si="105"/>
        <v>2.1028990751999994E-2</v>
      </c>
      <c r="AN86" s="348">
        <f t="shared" si="106"/>
        <v>4.614595211795109E-2</v>
      </c>
      <c r="AO86" s="348">
        <f t="shared" si="107"/>
        <v>1.452E-5</v>
      </c>
      <c r="AP86" s="348">
        <f t="shared" si="108"/>
        <v>0.10709952</v>
      </c>
      <c r="AQ86" s="348">
        <f t="shared" si="109"/>
        <v>4.9827049411764704E-2</v>
      </c>
      <c r="AR86" s="348">
        <f t="shared" si="110"/>
        <v>2.5963519999999997E-2</v>
      </c>
      <c r="AS86" s="348">
        <f t="shared" si="133"/>
        <v>0.10711404000000001</v>
      </c>
      <c r="AT86" s="348">
        <f t="shared" si="111"/>
        <v>0.4588942500550649</v>
      </c>
      <c r="AU86">
        <f t="shared" si="112"/>
        <v>4.4467499999999998</v>
      </c>
      <c r="AV86" s="526">
        <f t="shared" si="127"/>
        <v>0.90645586457886473</v>
      </c>
      <c r="AW86" s="534">
        <f t="shared" si="113"/>
        <v>3.2911608790076285</v>
      </c>
      <c r="AX86" s="534">
        <f t="shared" si="114"/>
        <v>1.3327389546088197</v>
      </c>
      <c r="AY86" s="9"/>
      <c r="AZ86" s="4">
        <f t="shared" si="128"/>
        <v>90.645586457886481</v>
      </c>
      <c r="BA86" s="348">
        <f t="shared" si="115"/>
        <v>0.2076936811487152</v>
      </c>
      <c r="BB86" s="348">
        <f t="shared" si="129"/>
        <v>8.4281195973273604E-2</v>
      </c>
      <c r="BC86" s="348">
        <f t="shared" si="130"/>
        <v>5.983928870922961E-2</v>
      </c>
      <c r="BD86" s="348">
        <f t="shared" si="131"/>
        <v>2.4231617356523995E-2</v>
      </c>
      <c r="BE86" s="348">
        <f t="shared" si="132"/>
        <v>4.614595211795109E-2</v>
      </c>
      <c r="BK86" s="18"/>
      <c r="BL86" s="19"/>
    </row>
    <row r="87" spans="1:64" x14ac:dyDescent="0.25">
      <c r="G87">
        <v>78</v>
      </c>
      <c r="H87" s="531">
        <f t="shared" si="85"/>
        <v>6.6</v>
      </c>
      <c r="I87" s="4">
        <f t="shared" si="86"/>
        <v>1</v>
      </c>
      <c r="J87" s="348">
        <f t="shared" si="116"/>
        <v>1.365</v>
      </c>
      <c r="K87" s="348">
        <f t="shared" si="87"/>
        <v>1.365</v>
      </c>
      <c r="L87" s="4">
        <f t="shared" si="88"/>
        <v>0.75833333333333341</v>
      </c>
      <c r="M87" s="348">
        <f t="shared" si="89"/>
        <v>0.50480683636939472</v>
      </c>
      <c r="N87" s="4">
        <f t="shared" si="90"/>
        <v>0.60085206171848993</v>
      </c>
      <c r="O87" s="4">
        <f t="shared" si="117"/>
        <v>1.665426030859245</v>
      </c>
      <c r="P87" s="4">
        <f t="shared" si="118"/>
        <v>1.064573969140755</v>
      </c>
      <c r="Q87" s="4">
        <f t="shared" si="91"/>
        <v>0</v>
      </c>
      <c r="R87" s="4">
        <f t="shared" si="119"/>
        <v>1.3759761141359297</v>
      </c>
      <c r="S87" s="348">
        <f t="shared" si="92"/>
        <v>7.7625720933577119E-3</v>
      </c>
      <c r="T87" s="348">
        <f t="shared" si="93"/>
        <v>0.2</v>
      </c>
      <c r="U87" s="348">
        <f t="shared" si="94"/>
        <v>0.20789167402193404</v>
      </c>
      <c r="V87" s="4">
        <f t="shared" si="120"/>
        <v>0.1734510497881559</v>
      </c>
      <c r="W87" s="348">
        <f t="shared" si="121"/>
        <v>3.0085266672613337E-5</v>
      </c>
      <c r="X87" s="348">
        <f t="shared" si="122"/>
        <v>3.0085266672613337E-5</v>
      </c>
      <c r="Y87" s="4">
        <f t="shared" si="123"/>
        <v>0.68795626347522065</v>
      </c>
      <c r="Z87" s="348">
        <f t="shared" si="124"/>
        <v>1.4198514613643616E-3</v>
      </c>
      <c r="AA87" s="525">
        <f t="shared" si="125"/>
        <v>1.4198514613643616E-3</v>
      </c>
      <c r="AB87" s="348">
        <f t="shared" si="126"/>
        <v>0.97762772361707129</v>
      </c>
      <c r="AC87" s="348">
        <f t="shared" si="95"/>
        <v>7.6460477278775738E-3</v>
      </c>
      <c r="AD87" s="348">
        <f t="shared" si="96"/>
        <v>7.1970237786299273E-3</v>
      </c>
      <c r="AE87" s="348">
        <f t="shared" si="97"/>
        <v>3.1326609599999992E-2</v>
      </c>
      <c r="AF87" s="348">
        <f t="shared" si="98"/>
        <v>0</v>
      </c>
      <c r="AG87" s="348">
        <f t="shared" si="99"/>
        <v>4.6247475395424294E-2</v>
      </c>
      <c r="AH87" s="348">
        <f t="shared" si="100"/>
        <v>0.96827387690049571</v>
      </c>
      <c r="AI87" s="348">
        <f t="shared" si="101"/>
        <v>5.1565486537835398E-3</v>
      </c>
      <c r="AJ87" s="348">
        <f t="shared" si="102"/>
        <v>1.2404071679999998E-2</v>
      </c>
      <c r="AK87" s="348">
        <f t="shared" si="103"/>
        <v>1.7580564441682531E-2</v>
      </c>
      <c r="AL87" s="348">
        <f t="shared" si="104"/>
        <v>1.2404071679999998E-2</v>
      </c>
      <c r="AM87" s="348">
        <f t="shared" si="105"/>
        <v>2.1302094527999995E-2</v>
      </c>
      <c r="AN87" s="348">
        <f t="shared" si="106"/>
        <v>4.7332756666815329E-2</v>
      </c>
      <c r="AO87" s="348">
        <f t="shared" si="107"/>
        <v>1.452E-5</v>
      </c>
      <c r="AP87" s="348">
        <f t="shared" si="108"/>
        <v>0.10709952</v>
      </c>
      <c r="AQ87" s="348">
        <f t="shared" si="109"/>
        <v>4.9827049411764704E-2</v>
      </c>
      <c r="AR87" s="348">
        <f t="shared" si="110"/>
        <v>2.5963519999999997E-2</v>
      </c>
      <c r="AS87" s="348">
        <f t="shared" si="133"/>
        <v>0.10711404000000001</v>
      </c>
      <c r="AT87" s="348">
        <f t="shared" si="111"/>
        <v>0.46132261346189318</v>
      </c>
      <c r="AU87">
        <f t="shared" si="112"/>
        <v>4.5045000000000002</v>
      </c>
      <c r="AV87" s="526">
        <f t="shared" si="127"/>
        <v>0.90710046464179184</v>
      </c>
      <c r="AW87" s="534">
        <f t="shared" si="113"/>
        <v>3.3168771781147361</v>
      </c>
      <c r="AX87" s="534">
        <f t="shared" si="114"/>
        <v>1.353564059975739</v>
      </c>
      <c r="AY87" s="9"/>
      <c r="AZ87" s="4">
        <f t="shared" si="128"/>
        <v>90.710046464179186</v>
      </c>
      <c r="BA87" s="348">
        <f t="shared" si="115"/>
        <v>0.20789167402193404</v>
      </c>
      <c r="BB87" s="348">
        <f t="shared" si="129"/>
        <v>8.513013436510683E-2</v>
      </c>
      <c r="BC87" s="348">
        <f t="shared" si="130"/>
        <v>6.0306857783904294E-2</v>
      </c>
      <c r="BD87" s="348">
        <f t="shared" si="131"/>
        <v>2.4610255635922527E-2</v>
      </c>
      <c r="BE87" s="348">
        <f t="shared" si="132"/>
        <v>4.7332756666815329E-2</v>
      </c>
      <c r="BK87" s="18"/>
      <c r="BL87" s="19"/>
    </row>
    <row r="88" spans="1:64" x14ac:dyDescent="0.25">
      <c r="G88">
        <v>79</v>
      </c>
      <c r="H88" s="531">
        <f t="shared" si="85"/>
        <v>6.6</v>
      </c>
      <c r="I88" s="4">
        <f t="shared" si="86"/>
        <v>1</v>
      </c>
      <c r="J88" s="348">
        <f t="shared" si="116"/>
        <v>1.3825000000000001</v>
      </c>
      <c r="K88" s="348">
        <f t="shared" si="87"/>
        <v>1.3825000000000001</v>
      </c>
      <c r="L88" s="4">
        <f t="shared" si="88"/>
        <v>0.7680555555555556</v>
      </c>
      <c r="M88" s="348">
        <f t="shared" si="89"/>
        <v>0.5048681733911291</v>
      </c>
      <c r="N88" s="4">
        <f t="shared" si="90"/>
        <v>0.60088631548525484</v>
      </c>
      <c r="O88" s="4">
        <f t="shared" si="117"/>
        <v>1.6829431577426275</v>
      </c>
      <c r="P88" s="4">
        <f t="shared" si="118"/>
        <v>1.0820568422573726</v>
      </c>
      <c r="Q88" s="4">
        <f t="shared" si="91"/>
        <v>0</v>
      </c>
      <c r="R88" s="4">
        <f t="shared" si="119"/>
        <v>1.3933394945279682</v>
      </c>
      <c r="S88" s="348">
        <f t="shared" si="92"/>
        <v>7.95971928274696E-3</v>
      </c>
      <c r="T88" s="348">
        <f t="shared" si="93"/>
        <v>0.2</v>
      </c>
      <c r="U88" s="348">
        <f t="shared" si="94"/>
        <v>0.20809222774016561</v>
      </c>
      <c r="V88" s="4">
        <f t="shared" si="120"/>
        <v>0.17346093799888715</v>
      </c>
      <c r="W88" s="348">
        <f t="shared" si="121"/>
        <v>3.0088697011453773E-5</v>
      </c>
      <c r="X88" s="348">
        <f t="shared" si="122"/>
        <v>3.0088697011453773E-5</v>
      </c>
      <c r="Y88" s="4">
        <f t="shared" si="123"/>
        <v>0.69663672557241452</v>
      </c>
      <c r="Z88" s="348">
        <f t="shared" si="124"/>
        <v>1.4559081822487668E-3</v>
      </c>
      <c r="AA88" s="525">
        <f t="shared" si="125"/>
        <v>1.4559081822487668E-3</v>
      </c>
      <c r="AB88" s="348">
        <f t="shared" si="126"/>
        <v>0.99002450511512119</v>
      </c>
      <c r="AC88" s="348">
        <f t="shared" si="95"/>
        <v>7.8411881658275243E-3</v>
      </c>
      <c r="AD88" s="348">
        <f t="shared" si="96"/>
        <v>7.2892933142533868E-3</v>
      </c>
      <c r="AE88" s="348">
        <f t="shared" si="97"/>
        <v>3.1326609599999992E-2</v>
      </c>
      <c r="AF88" s="348">
        <f t="shared" si="98"/>
        <v>0</v>
      </c>
      <c r="AG88" s="348">
        <f t="shared" si="99"/>
        <v>4.6537370902117917E-2</v>
      </c>
      <c r="AH88" s="348">
        <f t="shared" si="100"/>
        <v>0.98043175503602153</v>
      </c>
      <c r="AI88" s="348">
        <f t="shared" si="101"/>
        <v>5.2868553445565734E-3</v>
      </c>
      <c r="AJ88" s="348">
        <f t="shared" si="102"/>
        <v>1.2563098239999999E-2</v>
      </c>
      <c r="AK88" s="348">
        <f t="shared" si="103"/>
        <v>1.7870739187413085E-2</v>
      </c>
      <c r="AL88" s="348">
        <f t="shared" si="104"/>
        <v>1.2563098239999999E-2</v>
      </c>
      <c r="AM88" s="348">
        <f t="shared" si="105"/>
        <v>2.1575198303999999E-2</v>
      </c>
      <c r="AN88" s="348">
        <f t="shared" si="106"/>
        <v>4.8534873675286354E-2</v>
      </c>
      <c r="AO88" s="348">
        <f t="shared" si="107"/>
        <v>1.452E-5</v>
      </c>
      <c r="AP88" s="348">
        <f t="shared" si="108"/>
        <v>0.10709952</v>
      </c>
      <c r="AQ88" s="348">
        <f t="shared" si="109"/>
        <v>4.9827049411764704E-2</v>
      </c>
      <c r="AR88" s="348">
        <f t="shared" si="110"/>
        <v>2.5963519999999997E-2</v>
      </c>
      <c r="AS88" s="348">
        <f t="shared" si="133"/>
        <v>0.10711404000000001</v>
      </c>
      <c r="AT88" s="348">
        <f t="shared" si="111"/>
        <v>0.4637735449282433</v>
      </c>
      <c r="AU88">
        <f t="shared" si="112"/>
        <v>4.5622499999999997</v>
      </c>
      <c r="AV88" s="526">
        <f t="shared" si="127"/>
        <v>0.90772555265956978</v>
      </c>
      <c r="AW88" s="534">
        <f t="shared" si="113"/>
        <v>3.3427350980516857</v>
      </c>
      <c r="AX88" s="534">
        <f t="shared" si="114"/>
        <v>1.3744805045253197</v>
      </c>
      <c r="AY88" s="9"/>
      <c r="AZ88" s="4">
        <f t="shared" si="128"/>
        <v>90.772555265956981</v>
      </c>
      <c r="BA88" s="348">
        <f t="shared" si="115"/>
        <v>0.20809222774016561</v>
      </c>
      <c r="BB88" s="348">
        <f t="shared" si="129"/>
        <v>8.5983308393530994E-2</v>
      </c>
      <c r="BC88" s="348">
        <f t="shared" si="130"/>
        <v>6.0777001782757918E-2</v>
      </c>
      <c r="BD88" s="348">
        <f t="shared" si="131"/>
        <v>2.4990554627733086E-2</v>
      </c>
      <c r="BE88" s="348">
        <f t="shared" si="132"/>
        <v>4.8534873675286354E-2</v>
      </c>
      <c r="BK88" s="18"/>
      <c r="BL88" s="19"/>
    </row>
    <row r="89" spans="1:64" x14ac:dyDescent="0.25">
      <c r="G89">
        <v>80</v>
      </c>
      <c r="H89" s="531">
        <f t="shared" si="85"/>
        <v>6.6</v>
      </c>
      <c r="I89" s="4">
        <f t="shared" si="86"/>
        <v>1</v>
      </c>
      <c r="J89" s="348">
        <f t="shared" si="116"/>
        <v>1.4</v>
      </c>
      <c r="K89" s="348">
        <f t="shared" si="87"/>
        <v>1.4</v>
      </c>
      <c r="L89" s="4">
        <f t="shared" si="88"/>
        <v>0.77777777777777768</v>
      </c>
      <c r="M89" s="348">
        <f t="shared" si="89"/>
        <v>0.50492950312900542</v>
      </c>
      <c r="N89" s="4">
        <f t="shared" si="90"/>
        <v>0.60092055116707177</v>
      </c>
      <c r="O89" s="4">
        <f t="shared" si="117"/>
        <v>1.7004602755835359</v>
      </c>
      <c r="P89" s="4">
        <f t="shared" si="118"/>
        <v>1.099539724416464</v>
      </c>
      <c r="Q89" s="4">
        <f t="shared" si="91"/>
        <v>0</v>
      </c>
      <c r="R89" s="4">
        <f t="shared" si="119"/>
        <v>1.4107062506895536</v>
      </c>
      <c r="S89" s="348">
        <f t="shared" si="92"/>
        <v>8.1593777155117668E-3</v>
      </c>
      <c r="T89" s="348">
        <f t="shared" si="93"/>
        <v>0.2</v>
      </c>
      <c r="U89" s="348">
        <f t="shared" si="94"/>
        <v>0.20829534254560869</v>
      </c>
      <c r="V89" s="4">
        <f t="shared" si="120"/>
        <v>0.17347082098894359</v>
      </c>
      <c r="W89" s="348">
        <f t="shared" si="121"/>
        <v>3.009212573457811E-5</v>
      </c>
      <c r="X89" s="348">
        <f t="shared" si="122"/>
        <v>3.009212573457811E-5</v>
      </c>
      <c r="Y89" s="4">
        <f t="shared" si="123"/>
        <v>0.7053188443482864</v>
      </c>
      <c r="Z89" s="348">
        <f t="shared" si="124"/>
        <v>1.4924240165784068E-3</v>
      </c>
      <c r="AA89" s="525">
        <f t="shared" si="125"/>
        <v>1.4924240165784068E-3</v>
      </c>
      <c r="AB89" s="348">
        <f t="shared" si="126"/>
        <v>1.0024251733810889</v>
      </c>
      <c r="AC89" s="348">
        <f t="shared" si="95"/>
        <v>8.0388498258248502E-3</v>
      </c>
      <c r="AD89" s="348">
        <f t="shared" si="96"/>
        <v>7.3815628498768472E-3</v>
      </c>
      <c r="AE89" s="348">
        <f t="shared" si="97"/>
        <v>3.1326609599999992E-2</v>
      </c>
      <c r="AF89" s="348">
        <f t="shared" si="98"/>
        <v>0</v>
      </c>
      <c r="AG89" s="348">
        <f t="shared" si="99"/>
        <v>4.6829843052347948E-2</v>
      </c>
      <c r="AH89" s="348">
        <f t="shared" si="100"/>
        <v>0.99259049839622748</v>
      </c>
      <c r="AI89" s="348">
        <f t="shared" si="101"/>
        <v>5.4187974362855914E-3</v>
      </c>
      <c r="AJ89" s="348">
        <f t="shared" si="102"/>
        <v>1.2722124799999998E-2</v>
      </c>
      <c r="AK89" s="348">
        <f t="shared" si="103"/>
        <v>1.8162574484937761E-2</v>
      </c>
      <c r="AL89" s="348">
        <f t="shared" si="104"/>
        <v>1.2722124799999998E-2</v>
      </c>
      <c r="AM89" s="348">
        <f t="shared" si="105"/>
        <v>2.1848302079999993E-2</v>
      </c>
      <c r="AN89" s="348">
        <f t="shared" si="106"/>
        <v>4.9752303143364443E-2</v>
      </c>
      <c r="AO89" s="348">
        <f t="shared" si="107"/>
        <v>1.452E-5</v>
      </c>
      <c r="AP89" s="348">
        <f t="shared" si="108"/>
        <v>0.10709952</v>
      </c>
      <c r="AQ89" s="348">
        <f t="shared" si="109"/>
        <v>4.9827049411764704E-2</v>
      </c>
      <c r="AR89" s="348">
        <f t="shared" si="110"/>
        <v>2.5963519999999997E-2</v>
      </c>
      <c r="AS89" s="348">
        <f t="shared" si="133"/>
        <v>0.10711404000000001</v>
      </c>
      <c r="AT89" s="348">
        <f t="shared" si="111"/>
        <v>0.46624704624857183</v>
      </c>
      <c r="AU89">
        <f t="shared" si="112"/>
        <v>4.6199999999999992</v>
      </c>
      <c r="AV89" s="526">
        <f t="shared" si="127"/>
        <v>0.90833181282602882</v>
      </c>
      <c r="AW89" s="534">
        <f t="shared" si="113"/>
        <v>3.3687347333831368</v>
      </c>
      <c r="AX89" s="534">
        <f t="shared" si="114"/>
        <v>1.3954882794235768</v>
      </c>
      <c r="AY89" s="9"/>
      <c r="AZ89" s="4">
        <f t="shared" si="128"/>
        <v>90.833181282602879</v>
      </c>
      <c r="BA89" s="348">
        <f t="shared" si="115"/>
        <v>0.20829534254560869</v>
      </c>
      <c r="BB89" s="348">
        <f t="shared" si="129"/>
        <v>8.6840719617285705E-2</v>
      </c>
      <c r="BC89" s="348">
        <f t="shared" si="130"/>
        <v>6.1249722425147944E-2</v>
      </c>
      <c r="BD89" s="348">
        <f t="shared" si="131"/>
        <v>2.5372514171337759E-2</v>
      </c>
      <c r="BE89" s="348">
        <f t="shared" si="132"/>
        <v>4.9752303143364443E-2</v>
      </c>
      <c r="BK89" s="18"/>
      <c r="BL89" s="19"/>
    </row>
    <row r="90" spans="1:64" x14ac:dyDescent="0.25">
      <c r="G90">
        <v>81</v>
      </c>
      <c r="H90" s="531">
        <f t="shared" si="85"/>
        <v>6.6</v>
      </c>
      <c r="I90" s="4">
        <f t="shared" si="86"/>
        <v>1</v>
      </c>
      <c r="J90" s="348">
        <f t="shared" si="116"/>
        <v>1.4175</v>
      </c>
      <c r="K90" s="348">
        <f t="shared" si="87"/>
        <v>1.4175</v>
      </c>
      <c r="L90" s="4">
        <f t="shared" si="88"/>
        <v>0.78749999999999998</v>
      </c>
      <c r="M90" s="348">
        <f t="shared" si="89"/>
        <v>0.50499082558432118</v>
      </c>
      <c r="N90" s="4">
        <f t="shared" si="90"/>
        <v>0.60095476876716203</v>
      </c>
      <c r="O90" s="4">
        <f t="shared" si="117"/>
        <v>1.7179773843835811</v>
      </c>
      <c r="P90" s="4">
        <f t="shared" si="118"/>
        <v>1.1170226156164189</v>
      </c>
      <c r="Q90" s="4">
        <f t="shared" si="91"/>
        <v>0</v>
      </c>
      <c r="R90" s="4">
        <f t="shared" si="119"/>
        <v>1.4280762594630581</v>
      </c>
      <c r="S90" s="348">
        <f t="shared" si="92"/>
        <v>8.3615473916521955E-3</v>
      </c>
      <c r="T90" s="348">
        <f t="shared" si="93"/>
        <v>0.2</v>
      </c>
      <c r="U90" s="348">
        <f t="shared" si="94"/>
        <v>0.20850101868356666</v>
      </c>
      <c r="V90" s="4">
        <f t="shared" si="120"/>
        <v>0.17348069875925518</v>
      </c>
      <c r="W90" s="348">
        <f t="shared" si="121"/>
        <v>3.0095552841999439E-5</v>
      </c>
      <c r="X90" s="348">
        <f t="shared" si="122"/>
        <v>3.0095552841999439E-5</v>
      </c>
      <c r="Y90" s="4">
        <f t="shared" si="123"/>
        <v>0.71400255783643474</v>
      </c>
      <c r="Z90" s="348">
        <f t="shared" si="124"/>
        <v>1.529398957790914E-3</v>
      </c>
      <c r="AA90" s="525">
        <f t="shared" si="125"/>
        <v>1.529398957790914E-3</v>
      </c>
      <c r="AB90" s="348">
        <f t="shared" si="126"/>
        <v>1.0148296409325726</v>
      </c>
      <c r="AC90" s="348">
        <f t="shared" si="95"/>
        <v>8.2390336009226725E-3</v>
      </c>
      <c r="AD90" s="348">
        <f t="shared" si="96"/>
        <v>7.4738323855003085E-3</v>
      </c>
      <c r="AE90" s="348">
        <f t="shared" si="97"/>
        <v>3.1326609599999992E-2</v>
      </c>
      <c r="AF90" s="348">
        <f t="shared" si="98"/>
        <v>0</v>
      </c>
      <c r="AG90" s="348">
        <f t="shared" si="99"/>
        <v>4.7124893574374792E-2</v>
      </c>
      <c r="AH90" s="348">
        <f t="shared" si="100"/>
        <v>1.0047500200182455</v>
      </c>
      <c r="AI90" s="348">
        <f t="shared" si="101"/>
        <v>5.552374314996656E-3</v>
      </c>
      <c r="AJ90" s="348">
        <f t="shared" si="102"/>
        <v>1.2881151359999999E-2</v>
      </c>
      <c r="AK90" s="348">
        <f t="shared" si="103"/>
        <v>1.8456070177198337E-2</v>
      </c>
      <c r="AL90" s="348">
        <f t="shared" si="104"/>
        <v>1.2881151359999999E-2</v>
      </c>
      <c r="AM90" s="348">
        <f t="shared" si="105"/>
        <v>2.2121405855999997E-2</v>
      </c>
      <c r="AN90" s="348">
        <f t="shared" si="106"/>
        <v>5.0985045071049985E-2</v>
      </c>
      <c r="AO90" s="348">
        <f t="shared" si="107"/>
        <v>1.452E-5</v>
      </c>
      <c r="AP90" s="348">
        <f t="shared" si="108"/>
        <v>0.10709952</v>
      </c>
      <c r="AQ90" s="348">
        <f t="shared" si="109"/>
        <v>4.9827049411764704E-2</v>
      </c>
      <c r="AR90" s="348">
        <f t="shared" si="110"/>
        <v>2.5963519999999997E-2</v>
      </c>
      <c r="AS90" s="348">
        <f t="shared" si="133"/>
        <v>0.10711404000000001</v>
      </c>
      <c r="AT90" s="348">
        <f t="shared" si="111"/>
        <v>0.46874311923282275</v>
      </c>
      <c r="AU90">
        <f t="shared" si="112"/>
        <v>4.6777499999999996</v>
      </c>
      <c r="AV90" s="526">
        <f t="shared" si="127"/>
        <v>0.90891989780748073</v>
      </c>
      <c r="AW90" s="534">
        <f t="shared" si="113"/>
        <v>3.3948761791634134</v>
      </c>
      <c r="AX90" s="534">
        <f t="shared" si="114"/>
        <v>1.4165873760323084</v>
      </c>
      <c r="AY90" s="9"/>
      <c r="AZ90" s="4">
        <f t="shared" si="128"/>
        <v>90.891989780748077</v>
      </c>
      <c r="BA90" s="348">
        <f t="shared" si="115"/>
        <v>0.20850101868356666</v>
      </c>
      <c r="BB90" s="348">
        <f t="shared" si="129"/>
        <v>8.7702369607573133E-2</v>
      </c>
      <c r="BC90" s="348">
        <f t="shared" si="130"/>
        <v>6.1725021439334789E-2</v>
      </c>
      <c r="BD90" s="348">
        <f t="shared" si="131"/>
        <v>2.5756134109678336E-2</v>
      </c>
      <c r="BE90" s="348">
        <f t="shared" si="132"/>
        <v>5.0985045071049985E-2</v>
      </c>
      <c r="BK90" s="18"/>
      <c r="BL90" s="19"/>
    </row>
    <row r="91" spans="1:64" x14ac:dyDescent="0.25">
      <c r="G91">
        <v>82</v>
      </c>
      <c r="H91" s="531">
        <f t="shared" si="85"/>
        <v>6.6</v>
      </c>
      <c r="I91" s="4">
        <f t="shared" si="86"/>
        <v>1</v>
      </c>
      <c r="J91" s="348">
        <f t="shared" si="116"/>
        <v>1.4350000000000001</v>
      </c>
      <c r="K91" s="348">
        <f t="shared" si="87"/>
        <v>1.4350000000000001</v>
      </c>
      <c r="L91" s="4">
        <f t="shared" si="88"/>
        <v>0.79722222222222228</v>
      </c>
      <c r="M91" s="348">
        <f t="shared" si="89"/>
        <v>0.50505214075837335</v>
      </c>
      <c r="N91" s="4">
        <f t="shared" si="90"/>
        <v>0.60098896828874604</v>
      </c>
      <c r="O91" s="4">
        <f t="shared" si="117"/>
        <v>1.7354944841443731</v>
      </c>
      <c r="P91" s="4">
        <f t="shared" si="118"/>
        <v>1.134505515855627</v>
      </c>
      <c r="Q91" s="4">
        <f t="shared" si="91"/>
        <v>0</v>
      </c>
      <c r="R91" s="4">
        <f t="shared" si="119"/>
        <v>1.4454494035882859</v>
      </c>
      <c r="S91" s="348">
        <f t="shared" si="92"/>
        <v>8.5662283111682964E-3</v>
      </c>
      <c r="T91" s="348">
        <f t="shared" si="93"/>
        <v>0.2</v>
      </c>
      <c r="U91" s="348">
        <f t="shared" si="94"/>
        <v>0.20870925640244811</v>
      </c>
      <c r="V91" s="4">
        <f t="shared" si="120"/>
        <v>0.17349057131075152</v>
      </c>
      <c r="W91" s="348">
        <f t="shared" si="121"/>
        <v>3.0098978333730958E-5</v>
      </c>
      <c r="X91" s="348">
        <f t="shared" si="122"/>
        <v>3.0098978333730958E-5</v>
      </c>
      <c r="Y91" s="4">
        <f t="shared" si="123"/>
        <v>0.72268780701935786</v>
      </c>
      <c r="Z91" s="348">
        <f t="shared" si="124"/>
        <v>1.5668329992433458E-3</v>
      </c>
      <c r="AA91" s="525">
        <f t="shared" si="125"/>
        <v>1.5668329992433458E-3</v>
      </c>
      <c r="AB91" s="348">
        <f t="shared" si="126"/>
        <v>1.0272378244570497</v>
      </c>
      <c r="AC91" s="348">
        <f t="shared" si="95"/>
        <v>8.4417403839620198E-3</v>
      </c>
      <c r="AD91" s="348">
        <f t="shared" si="96"/>
        <v>7.5661019211237697E-3</v>
      </c>
      <c r="AE91" s="348">
        <f t="shared" si="97"/>
        <v>3.1326609599999992E-2</v>
      </c>
      <c r="AF91" s="348">
        <f t="shared" si="98"/>
        <v>0</v>
      </c>
      <c r="AG91" s="348">
        <f t="shared" si="99"/>
        <v>4.7422524205378458E-2</v>
      </c>
      <c r="AH91" s="348">
        <f t="shared" si="100"/>
        <v>1.0169102371096868</v>
      </c>
      <c r="AI91" s="348">
        <f t="shared" si="101"/>
        <v>5.6875853668616359E-3</v>
      </c>
      <c r="AJ91" s="348">
        <f t="shared" si="102"/>
        <v>1.3040177919999998E-2</v>
      </c>
      <c r="AK91" s="348">
        <f t="shared" si="103"/>
        <v>1.8751226110693971E-2</v>
      </c>
      <c r="AL91" s="348">
        <f t="shared" si="104"/>
        <v>1.3040177919999998E-2</v>
      </c>
      <c r="AM91" s="348">
        <f t="shared" si="105"/>
        <v>2.2394509631999997E-2</v>
      </c>
      <c r="AN91" s="348">
        <f t="shared" si="106"/>
        <v>5.2233099458343285E-2</v>
      </c>
      <c r="AO91" s="348">
        <f t="shared" si="107"/>
        <v>1.452E-5</v>
      </c>
      <c r="AP91" s="348">
        <f t="shared" si="108"/>
        <v>0.10709952</v>
      </c>
      <c r="AQ91" s="348">
        <f t="shared" si="109"/>
        <v>4.9827049411764704E-2</v>
      </c>
      <c r="AR91" s="348">
        <f t="shared" si="110"/>
        <v>2.5963519999999997E-2</v>
      </c>
      <c r="AS91" s="348">
        <f t="shared" si="133"/>
        <v>0.10711404000000001</v>
      </c>
      <c r="AT91" s="348">
        <f t="shared" si="111"/>
        <v>0.47126176570644096</v>
      </c>
      <c r="AU91">
        <f t="shared" si="112"/>
        <v>4.7355</v>
      </c>
      <c r="AV91" s="526">
        <f t="shared" si="127"/>
        <v>0.90949043053777956</v>
      </c>
      <c r="AW91" s="534">
        <f t="shared" si="113"/>
        <v>3.4211595309374152</v>
      </c>
      <c r="AX91" s="534">
        <f t="shared" si="114"/>
        <v>1.4377777859089684</v>
      </c>
      <c r="AY91" s="9"/>
      <c r="AZ91" s="4">
        <f t="shared" si="128"/>
        <v>90.949043053777956</v>
      </c>
      <c r="BA91" s="348">
        <f t="shared" si="115"/>
        <v>0.20870925640244811</v>
      </c>
      <c r="BB91" s="348">
        <f t="shared" si="129"/>
        <v>8.8568259948072423E-2</v>
      </c>
      <c r="BC91" s="348">
        <f t="shared" si="130"/>
        <v>6.2202900562498456E-2</v>
      </c>
      <c r="BD91" s="348">
        <f t="shared" si="131"/>
        <v>2.614141428925397E-2</v>
      </c>
      <c r="BE91" s="348">
        <f t="shared" si="132"/>
        <v>5.2233099458343285E-2</v>
      </c>
      <c r="BK91" s="18"/>
      <c r="BL91" s="19"/>
    </row>
    <row r="92" spans="1:64" x14ac:dyDescent="0.25">
      <c r="G92">
        <v>83</v>
      </c>
      <c r="H92" s="531">
        <f t="shared" si="85"/>
        <v>6.6</v>
      </c>
      <c r="I92" s="4">
        <f t="shared" si="86"/>
        <v>1</v>
      </c>
      <c r="J92" s="348">
        <f t="shared" si="116"/>
        <v>1.4524999999999999</v>
      </c>
      <c r="K92" s="348">
        <f t="shared" si="87"/>
        <v>1.4524999999999999</v>
      </c>
      <c r="L92" s="4">
        <f t="shared" si="88"/>
        <v>0.80694444444444446</v>
      </c>
      <c r="M92" s="348">
        <f t="shared" si="89"/>
        <v>0.50511344865245866</v>
      </c>
      <c r="N92" s="4">
        <f t="shared" si="90"/>
        <v>0.60102314973504334</v>
      </c>
      <c r="O92" s="4">
        <f t="shared" si="117"/>
        <v>1.7530115748675215</v>
      </c>
      <c r="P92" s="4">
        <f t="shared" si="118"/>
        <v>1.1519884251324783</v>
      </c>
      <c r="Q92" s="4">
        <f t="shared" si="91"/>
        <v>0</v>
      </c>
      <c r="R92" s="4">
        <f t="shared" si="119"/>
        <v>1.4628255713548988</v>
      </c>
      <c r="S92" s="348">
        <f t="shared" si="92"/>
        <v>8.7734204740601215E-3</v>
      </c>
      <c r="T92" s="348">
        <f t="shared" si="93"/>
        <v>0.2</v>
      </c>
      <c r="U92" s="348">
        <f t="shared" si="94"/>
        <v>0.20892005595376786</v>
      </c>
      <c r="V92" s="4">
        <f t="shared" si="120"/>
        <v>0.17350043864436202</v>
      </c>
      <c r="W92" s="348">
        <f t="shared" si="121"/>
        <v>3.0102402209786029E-5</v>
      </c>
      <c r="X92" s="348">
        <f t="shared" si="122"/>
        <v>3.0102402209786029E-5</v>
      </c>
      <c r="Y92" s="4">
        <f t="shared" si="123"/>
        <v>0.73137453565466581</v>
      </c>
      <c r="Z92" s="348">
        <f t="shared" si="124"/>
        <v>1.6047261342122341E-3</v>
      </c>
      <c r="AA92" s="525">
        <f t="shared" si="125"/>
        <v>1.6047261342122341E-3</v>
      </c>
      <c r="AB92" s="348">
        <f t="shared" si="126"/>
        <v>1.0396496445661332</v>
      </c>
      <c r="AC92" s="348">
        <f t="shared" si="95"/>
        <v>8.6469710675718976E-3</v>
      </c>
      <c r="AD92" s="348">
        <f t="shared" si="96"/>
        <v>7.6583714567472301E-3</v>
      </c>
      <c r="AE92" s="348">
        <f t="shared" si="97"/>
        <v>3.1326609599999992E-2</v>
      </c>
      <c r="AF92" s="348">
        <f t="shared" si="98"/>
        <v>0</v>
      </c>
      <c r="AG92" s="348">
        <f t="shared" si="99"/>
        <v>4.7722736691475157E-2</v>
      </c>
      <c r="AH92" s="348">
        <f t="shared" si="100"/>
        <v>1.0290710708028377</v>
      </c>
      <c r="AI92" s="348">
        <f t="shared" si="101"/>
        <v>5.824429978198143E-3</v>
      </c>
      <c r="AJ92" s="348">
        <f t="shared" si="102"/>
        <v>1.3199204479999997E-2</v>
      </c>
      <c r="AK92" s="348">
        <f t="shared" si="103"/>
        <v>1.904804213547891E-2</v>
      </c>
      <c r="AL92" s="348">
        <f t="shared" si="104"/>
        <v>1.3199204479999997E-2</v>
      </c>
      <c r="AM92" s="348">
        <f t="shared" si="105"/>
        <v>2.2667613407999998E-2</v>
      </c>
      <c r="AN92" s="348">
        <f t="shared" si="106"/>
        <v>5.3496466305244655E-2</v>
      </c>
      <c r="AO92" s="348">
        <f t="shared" si="107"/>
        <v>1.452E-5</v>
      </c>
      <c r="AP92" s="348">
        <f t="shared" si="108"/>
        <v>0.10709952</v>
      </c>
      <c r="AQ92" s="348">
        <f t="shared" si="109"/>
        <v>4.9827049411764704E-2</v>
      </c>
      <c r="AR92" s="348">
        <f t="shared" si="110"/>
        <v>2.5963519999999997E-2</v>
      </c>
      <c r="AS92" s="348">
        <f t="shared" si="133"/>
        <v>0.10711404000000001</v>
      </c>
      <c r="AT92" s="348">
        <f t="shared" si="111"/>
        <v>0.47380298751038863</v>
      </c>
      <c r="AU92">
        <f t="shared" si="112"/>
        <v>4.7932499999999996</v>
      </c>
      <c r="AV92" s="526">
        <f t="shared" si="127"/>
        <v>0.91004400589211776</v>
      </c>
      <c r="AW92" s="534">
        <f t="shared" si="113"/>
        <v>3.4475848847415334</v>
      </c>
      <c r="AX92" s="534">
        <f t="shared" si="114"/>
        <v>1.4590595008065401</v>
      </c>
      <c r="AY92" s="9"/>
      <c r="AZ92" s="4">
        <f t="shared" si="128"/>
        <v>91.00440058921177</v>
      </c>
      <c r="BA92" s="348">
        <f t="shared" si="115"/>
        <v>0.20892005595376786</v>
      </c>
      <c r="BB92" s="348">
        <f t="shared" si="129"/>
        <v>8.9438392234954062E-2</v>
      </c>
      <c r="BC92" s="348">
        <f t="shared" si="130"/>
        <v>6.2683361540755156E-2</v>
      </c>
      <c r="BD92" s="348">
        <f t="shared" si="131"/>
        <v>2.652835456011891E-2</v>
      </c>
      <c r="BE92" s="348">
        <f t="shared" si="132"/>
        <v>5.3496466305244655E-2</v>
      </c>
      <c r="BK92" s="18"/>
      <c r="BL92" s="19"/>
    </row>
    <row r="93" spans="1:64" x14ac:dyDescent="0.25">
      <c r="G93">
        <v>84</v>
      </c>
      <c r="H93" s="531">
        <f t="shared" si="85"/>
        <v>6.6</v>
      </c>
      <c r="I93" s="4">
        <f t="shared" si="86"/>
        <v>1</v>
      </c>
      <c r="J93" s="348">
        <f t="shared" si="116"/>
        <v>1.47</v>
      </c>
      <c r="K93" s="348">
        <f t="shared" si="87"/>
        <v>1.47</v>
      </c>
      <c r="L93" s="4">
        <f t="shared" si="88"/>
        <v>0.81666666666666676</v>
      </c>
      <c r="M93" s="348">
        <f t="shared" si="89"/>
        <v>0.50517474926787342</v>
      </c>
      <c r="N93" s="4">
        <f t="shared" si="90"/>
        <v>0.60105731310927268</v>
      </c>
      <c r="O93" s="4">
        <f t="shared" si="117"/>
        <v>1.7705286565546363</v>
      </c>
      <c r="P93" s="4">
        <f t="shared" si="118"/>
        <v>1.1694713434453636</v>
      </c>
      <c r="Q93" s="4">
        <f t="shared" si="91"/>
        <v>0</v>
      </c>
      <c r="R93" s="4">
        <f t="shared" si="119"/>
        <v>1.4802046562790492</v>
      </c>
      <c r="S93" s="348">
        <f t="shared" si="92"/>
        <v>8.9831238803277282E-3</v>
      </c>
      <c r="T93" s="348">
        <f t="shared" si="93"/>
        <v>0.2</v>
      </c>
      <c r="U93" s="348">
        <f t="shared" si="94"/>
        <v>0.20913341759214749</v>
      </c>
      <c r="V93" s="4">
        <f t="shared" si="120"/>
        <v>0.1735103007610159</v>
      </c>
      <c r="W93" s="348">
        <f t="shared" si="121"/>
        <v>3.0105824470178195E-5</v>
      </c>
      <c r="X93" s="348">
        <f t="shared" si="122"/>
        <v>3.0105824470178195E-5</v>
      </c>
      <c r="Y93" s="4">
        <f t="shared" si="123"/>
        <v>0.74006269011339754</v>
      </c>
      <c r="Z93" s="348">
        <f t="shared" si="124"/>
        <v>1.643078355893636E-3</v>
      </c>
      <c r="AA93" s="525">
        <f t="shared" si="125"/>
        <v>1.643078355893636E-3</v>
      </c>
      <c r="AB93" s="348">
        <f t="shared" si="126"/>
        <v>1.052065025566943</v>
      </c>
      <c r="AC93" s="348">
        <f t="shared" si="95"/>
        <v>8.85472654416938E-3</v>
      </c>
      <c r="AD93" s="348">
        <f t="shared" si="96"/>
        <v>7.7506409923706904E-3</v>
      </c>
      <c r="AE93" s="348">
        <f t="shared" si="97"/>
        <v>3.1326609599999992E-2</v>
      </c>
      <c r="AF93" s="348">
        <f t="shared" si="98"/>
        <v>0</v>
      </c>
      <c r="AG93" s="348">
        <f t="shared" si="99"/>
        <v>4.8025532787734214E-2</v>
      </c>
      <c r="AH93" s="348">
        <f t="shared" si="100"/>
        <v>1.0412324459259832</v>
      </c>
      <c r="AI93" s="348">
        <f t="shared" si="101"/>
        <v>5.9629075354695306E-3</v>
      </c>
      <c r="AJ93" s="348">
        <f t="shared" si="102"/>
        <v>1.3358231039999998E-2</v>
      </c>
      <c r="AK93" s="348">
        <f t="shared" si="103"/>
        <v>1.9346518105160287E-2</v>
      </c>
      <c r="AL93" s="348">
        <f t="shared" si="104"/>
        <v>1.3358231039999998E-2</v>
      </c>
      <c r="AM93" s="348">
        <f t="shared" si="105"/>
        <v>2.2940717183999995E-2</v>
      </c>
      <c r="AN93" s="348">
        <f t="shared" si="106"/>
        <v>5.477514561175445E-2</v>
      </c>
      <c r="AO93" s="348">
        <f t="shared" si="107"/>
        <v>1.452E-5</v>
      </c>
      <c r="AP93" s="348">
        <f t="shared" si="108"/>
        <v>0.10709952</v>
      </c>
      <c r="AQ93" s="348">
        <f t="shared" si="109"/>
        <v>4.9827049411764704E-2</v>
      </c>
      <c r="AR93" s="348">
        <f t="shared" si="110"/>
        <v>2.5963519999999997E-2</v>
      </c>
      <c r="AS93" s="348">
        <f t="shared" si="133"/>
        <v>0.10711404000000001</v>
      </c>
      <c r="AT93" s="348">
        <f t="shared" si="111"/>
        <v>0.47636678650116027</v>
      </c>
      <c r="AU93">
        <f t="shared" si="112"/>
        <v>4.851</v>
      </c>
      <c r="AV93" s="526">
        <f t="shared" si="127"/>
        <v>0.91058119224900924</v>
      </c>
      <c r="AW93" s="534">
        <f t="shared" si="113"/>
        <v>3.4741523371045813</v>
      </c>
      <c r="AX93" s="534">
        <f t="shared" si="114"/>
        <v>1.4804325126734157</v>
      </c>
      <c r="AY93" s="9"/>
      <c r="AZ93" s="4">
        <f t="shared" si="128"/>
        <v>91.058119224900921</v>
      </c>
      <c r="BA93" s="348">
        <f t="shared" si="115"/>
        <v>0.20913341759214749</v>
      </c>
      <c r="BB93" s="348">
        <f t="shared" si="129"/>
        <v>9.0312768076894492E-2</v>
      </c>
      <c r="BC93" s="348">
        <f t="shared" si="130"/>
        <v>6.3166406129174207E-2</v>
      </c>
      <c r="BD93" s="348">
        <f t="shared" si="131"/>
        <v>2.6916954775880284E-2</v>
      </c>
      <c r="BE93" s="348">
        <f t="shared" si="132"/>
        <v>5.477514561175445E-2</v>
      </c>
      <c r="BK93" s="18"/>
      <c r="BL93" s="19"/>
    </row>
    <row r="94" spans="1:64" x14ac:dyDescent="0.25">
      <c r="G94">
        <v>85</v>
      </c>
      <c r="H94" s="531">
        <f t="shared" si="85"/>
        <v>6.6</v>
      </c>
      <c r="I94" s="4">
        <f t="shared" si="86"/>
        <v>1</v>
      </c>
      <c r="J94" s="348">
        <f t="shared" si="116"/>
        <v>1.4875</v>
      </c>
      <c r="K94" s="348">
        <f t="shared" si="87"/>
        <v>1.4875</v>
      </c>
      <c r="L94" s="4">
        <f t="shared" si="88"/>
        <v>0.82638888888888884</v>
      </c>
      <c r="M94" s="348">
        <f t="shared" si="89"/>
        <v>0.50523604260591415</v>
      </c>
      <c r="N94" s="4">
        <f t="shared" si="90"/>
        <v>0.60109145841465283</v>
      </c>
      <c r="O94" s="4">
        <f t="shared" si="117"/>
        <v>1.7880457292073264</v>
      </c>
      <c r="P94" s="4">
        <f t="shared" si="118"/>
        <v>1.1869542707926737</v>
      </c>
      <c r="Q94" s="4">
        <f t="shared" si="91"/>
        <v>0</v>
      </c>
      <c r="R94" s="4">
        <f t="shared" si="119"/>
        <v>1.4975865568022844</v>
      </c>
      <c r="S94" s="348">
        <f t="shared" si="92"/>
        <v>9.1953385299711789E-3</v>
      </c>
      <c r="T94" s="348">
        <f t="shared" si="93"/>
        <v>0.2</v>
      </c>
      <c r="U94" s="348">
        <f t="shared" si="94"/>
        <v>0.20934934157531612</v>
      </c>
      <c r="V94" s="4">
        <f t="shared" si="120"/>
        <v>0.17352015766164228</v>
      </c>
      <c r="W94" s="348">
        <f t="shared" si="121"/>
        <v>3.0109245114921195E-5</v>
      </c>
      <c r="X94" s="348">
        <f t="shared" si="122"/>
        <v>3.0109245114921195E-5</v>
      </c>
      <c r="Y94" s="4">
        <f t="shared" si="123"/>
        <v>0.74875221922947266</v>
      </c>
      <c r="Z94" s="348">
        <f t="shared" si="124"/>
        <v>1.6818896574031809E-3</v>
      </c>
      <c r="AA94" s="525">
        <f t="shared" si="125"/>
        <v>1.6818896574031809E-3</v>
      </c>
      <c r="AB94" s="348">
        <f t="shared" si="126"/>
        <v>1.0644838952492222</v>
      </c>
      <c r="AC94" s="348">
        <f t="shared" si="95"/>
        <v>9.065007705959657E-3</v>
      </c>
      <c r="AD94" s="348">
        <f t="shared" si="96"/>
        <v>7.8429105279941499E-3</v>
      </c>
      <c r="AE94" s="348">
        <f t="shared" si="97"/>
        <v>3.1326609599999992E-2</v>
      </c>
      <c r="AF94" s="348">
        <f t="shared" si="98"/>
        <v>0</v>
      </c>
      <c r="AG94" s="348">
        <f t="shared" si="99"/>
        <v>4.8330914258194857E-2</v>
      </c>
      <c r="AH94" s="348">
        <f t="shared" si="100"/>
        <v>1.0533942907904736</v>
      </c>
      <c r="AI94" s="348">
        <f t="shared" si="101"/>
        <v>6.103017425284807E-3</v>
      </c>
      <c r="AJ94" s="348">
        <f t="shared" si="102"/>
        <v>1.3517257599999999E-2</v>
      </c>
      <c r="AK94" s="348">
        <f t="shared" si="103"/>
        <v>1.9646653876895837E-2</v>
      </c>
      <c r="AL94" s="348">
        <f t="shared" si="104"/>
        <v>1.3517257599999999E-2</v>
      </c>
      <c r="AM94" s="348">
        <f t="shared" si="105"/>
        <v>2.3213820959999996E-2</v>
      </c>
      <c r="AN94" s="348">
        <f t="shared" si="106"/>
        <v>5.606913737787305E-2</v>
      </c>
      <c r="AO94" s="348">
        <f t="shared" si="107"/>
        <v>1.452E-5</v>
      </c>
      <c r="AP94" s="348">
        <f t="shared" si="108"/>
        <v>0.10709952</v>
      </c>
      <c r="AQ94" s="348">
        <f t="shared" si="109"/>
        <v>4.9827049411764704E-2</v>
      </c>
      <c r="AR94" s="348">
        <f t="shared" si="110"/>
        <v>2.5963519999999997E-2</v>
      </c>
      <c r="AS94" s="348">
        <f t="shared" si="133"/>
        <v>0.10711404000000001</v>
      </c>
      <c r="AT94" s="348">
        <f t="shared" si="111"/>
        <v>0.47895316455079806</v>
      </c>
      <c r="AU94">
        <f t="shared" si="112"/>
        <v>4.9087499999999995</v>
      </c>
      <c r="AV94" s="526">
        <f t="shared" si="127"/>
        <v>0.91110253294907884</v>
      </c>
      <c r="AW94" s="534">
        <f t="shared" si="113"/>
        <v>3.5008619850487173</v>
      </c>
      <c r="AX94" s="534">
        <f t="shared" si="114"/>
        <v>1.5018968136532709</v>
      </c>
      <c r="AY94" s="9"/>
      <c r="AZ94" s="4">
        <f t="shared" si="128"/>
        <v>91.110253294907878</v>
      </c>
      <c r="BA94" s="348">
        <f t="shared" si="115"/>
        <v>0.20934934157531612</v>
      </c>
      <c r="BB94" s="348">
        <f t="shared" si="129"/>
        <v>9.1191389095090683E-2</v>
      </c>
      <c r="BC94" s="348">
        <f t="shared" si="130"/>
        <v>6.3652036091794859E-2</v>
      </c>
      <c r="BD94" s="348">
        <f t="shared" si="131"/>
        <v>2.7307214793695835E-2</v>
      </c>
      <c r="BE94" s="348">
        <f t="shared" si="132"/>
        <v>5.606913737787305E-2</v>
      </c>
      <c r="BK94" s="18"/>
      <c r="BL94" s="19"/>
    </row>
    <row r="95" spans="1:64" x14ac:dyDescent="0.25">
      <c r="G95">
        <v>86</v>
      </c>
      <c r="H95" s="531">
        <f t="shared" si="85"/>
        <v>6.6</v>
      </c>
      <c r="I95" s="4">
        <f t="shared" si="86"/>
        <v>1</v>
      </c>
      <c r="J95" s="348">
        <f t="shared" si="116"/>
        <v>1.5049999999999999</v>
      </c>
      <c r="K95" s="348">
        <f t="shared" si="87"/>
        <v>1.5049999999999999</v>
      </c>
      <c r="L95" s="4">
        <f t="shared" si="88"/>
        <v>0.83611111111111103</v>
      </c>
      <c r="M95" s="348">
        <f t="shared" si="89"/>
        <v>0.50529732866787636</v>
      </c>
      <c r="N95" s="4">
        <f t="shared" si="90"/>
        <v>0.60112558565440066</v>
      </c>
      <c r="O95" s="4">
        <f t="shared" si="117"/>
        <v>1.8055627928272002</v>
      </c>
      <c r="P95" s="4">
        <f t="shared" si="118"/>
        <v>1.2044372071727996</v>
      </c>
      <c r="Q95" s="4">
        <f t="shared" si="91"/>
        <v>0</v>
      </c>
      <c r="R95" s="4">
        <f t="shared" si="119"/>
        <v>1.5149711760109592</v>
      </c>
      <c r="S95" s="348">
        <f t="shared" si="92"/>
        <v>9.4100644229905168E-3</v>
      </c>
      <c r="T95" s="348">
        <f t="shared" si="93"/>
        <v>0.2</v>
      </c>
      <c r="U95" s="348">
        <f t="shared" si="94"/>
        <v>0.20956782816411137</v>
      </c>
      <c r="V95" s="4">
        <f t="shared" si="120"/>
        <v>0.17353000934716983</v>
      </c>
      <c r="W95" s="348">
        <f t="shared" si="121"/>
        <v>3.0112664144028851E-5</v>
      </c>
      <c r="X95" s="348">
        <f t="shared" si="122"/>
        <v>3.0112664144028851E-5</v>
      </c>
      <c r="Y95" s="4">
        <f t="shared" si="123"/>
        <v>0.75744307415939705</v>
      </c>
      <c r="Z95" s="348">
        <f t="shared" si="124"/>
        <v>1.7211600317761134E-3</v>
      </c>
      <c r="AA95" s="525">
        <f t="shared" si="125"/>
        <v>1.7211600317761134E-3</v>
      </c>
      <c r="AB95" s="348">
        <f t="shared" si="126"/>
        <v>1.0769061846869519</v>
      </c>
      <c r="AC95" s="348">
        <f t="shared" si="95"/>
        <v>9.2778154449360585E-3</v>
      </c>
      <c r="AD95" s="348">
        <f t="shared" si="96"/>
        <v>7.9351800636176095E-3</v>
      </c>
      <c r="AE95" s="348">
        <f t="shared" si="97"/>
        <v>3.1326609599999992E-2</v>
      </c>
      <c r="AF95" s="348">
        <f t="shared" si="98"/>
        <v>0</v>
      </c>
      <c r="AG95" s="348">
        <f t="shared" si="99"/>
        <v>4.8638882875883138E-2</v>
      </c>
      <c r="AH95" s="348">
        <f t="shared" si="100"/>
        <v>1.0655565369922995</v>
      </c>
      <c r="AI95" s="348">
        <f t="shared" si="101"/>
        <v>6.2447590343986184E-3</v>
      </c>
      <c r="AJ95" s="348">
        <f t="shared" si="102"/>
        <v>1.3676284159999998E-2</v>
      </c>
      <c r="AK95" s="348">
        <f t="shared" si="103"/>
        <v>1.9948449311391718E-2</v>
      </c>
      <c r="AL95" s="348">
        <f t="shared" si="104"/>
        <v>1.3676284159999998E-2</v>
      </c>
      <c r="AM95" s="348">
        <f t="shared" si="105"/>
        <v>2.3486924735999993E-2</v>
      </c>
      <c r="AN95" s="348">
        <f t="shared" si="106"/>
        <v>5.737844160360072E-2</v>
      </c>
      <c r="AO95" s="348">
        <f t="shared" si="107"/>
        <v>1.452E-5</v>
      </c>
      <c r="AP95" s="348">
        <f t="shared" si="108"/>
        <v>0.10709952</v>
      </c>
      <c r="AQ95" s="348">
        <f t="shared" si="109"/>
        <v>4.9827049411764704E-2</v>
      </c>
      <c r="AR95" s="348">
        <f t="shared" si="110"/>
        <v>2.5963519999999997E-2</v>
      </c>
      <c r="AS95" s="348">
        <f t="shared" si="133"/>
        <v>0.10711404000000001</v>
      </c>
      <c r="AT95" s="348">
        <f t="shared" si="111"/>
        <v>0.48156212354690708</v>
      </c>
      <c r="AU95">
        <f t="shared" si="112"/>
        <v>4.966499999999999</v>
      </c>
      <c r="AV95" s="526">
        <f t="shared" si="127"/>
        <v>0.91160854765852206</v>
      </c>
      <c r="AW95" s="534">
        <f t="shared" si="113"/>
        <v>3.5277139260903718</v>
      </c>
      <c r="AX95" s="534">
        <f t="shared" si="114"/>
        <v>1.5234523960849444</v>
      </c>
      <c r="AY95" s="9"/>
      <c r="AZ95" s="4">
        <f t="shared" si="128"/>
        <v>91.160854765852207</v>
      </c>
      <c r="BA95" s="348">
        <f t="shared" si="115"/>
        <v>0.20956782816411137</v>
      </c>
      <c r="BB95" s="348">
        <f t="shared" si="129"/>
        <v>9.2074256923274853E-2</v>
      </c>
      <c r="BC95" s="348">
        <f t="shared" si="130"/>
        <v>6.4140253201643127E-2</v>
      </c>
      <c r="BD95" s="348">
        <f t="shared" si="131"/>
        <v>2.7699134474271716E-2</v>
      </c>
      <c r="BE95" s="348">
        <f t="shared" si="132"/>
        <v>5.737844160360072E-2</v>
      </c>
      <c r="BK95" s="18"/>
      <c r="BL95" s="19"/>
    </row>
    <row r="96" spans="1:64" x14ac:dyDescent="0.25">
      <c r="G96">
        <v>87</v>
      </c>
      <c r="H96" s="531">
        <f t="shared" si="85"/>
        <v>6.6</v>
      </c>
      <c r="I96" s="4">
        <f t="shared" si="86"/>
        <v>1</v>
      </c>
      <c r="J96" s="348">
        <f t="shared" si="116"/>
        <v>1.5225</v>
      </c>
      <c r="K96" s="348">
        <f t="shared" si="87"/>
        <v>1.5225</v>
      </c>
      <c r="L96" s="4">
        <f t="shared" si="88"/>
        <v>0.84583333333333333</v>
      </c>
      <c r="M96" s="348">
        <f t="shared" si="89"/>
        <v>0.50535860745505568</v>
      </c>
      <c r="N96" s="4">
        <f t="shared" si="90"/>
        <v>0.60115969483173293</v>
      </c>
      <c r="O96" s="4">
        <f t="shared" si="117"/>
        <v>1.8230798474158665</v>
      </c>
      <c r="P96" s="4">
        <f t="shared" si="118"/>
        <v>1.2219201525841334</v>
      </c>
      <c r="Q96" s="4">
        <f t="shared" si="91"/>
        <v>0</v>
      </c>
      <c r="R96" s="4">
        <f t="shared" si="119"/>
        <v>1.5323584213745538</v>
      </c>
      <c r="S96" s="348">
        <f t="shared" si="92"/>
        <v>9.6273015593858081E-3</v>
      </c>
      <c r="T96" s="348">
        <f t="shared" si="93"/>
        <v>0.2</v>
      </c>
      <c r="U96" s="348">
        <f t="shared" si="94"/>
        <v>0.20978887762247997</v>
      </c>
      <c r="V96" s="4">
        <f t="shared" si="120"/>
        <v>0.17353985581852716</v>
      </c>
      <c r="W96" s="348">
        <f t="shared" si="121"/>
        <v>3.0116081557515195E-5</v>
      </c>
      <c r="X96" s="348">
        <f t="shared" si="122"/>
        <v>3.0116081557515195E-5</v>
      </c>
      <c r="Y96" s="4">
        <f t="shared" si="123"/>
        <v>0.76613520825142256</v>
      </c>
      <c r="Z96" s="348">
        <f t="shared" si="124"/>
        <v>1.760889471967352E-3</v>
      </c>
      <c r="AA96" s="525">
        <f t="shared" si="125"/>
        <v>1.760889471967352E-3</v>
      </c>
      <c r="AB96" s="348">
        <f t="shared" si="126"/>
        <v>1.0893318280533366</v>
      </c>
      <c r="AC96" s="348">
        <f t="shared" si="95"/>
        <v>9.4931506528801932E-3</v>
      </c>
      <c r="AD96" s="348">
        <f t="shared" si="96"/>
        <v>8.0274495992410707E-3</v>
      </c>
      <c r="AE96" s="348">
        <f t="shared" si="97"/>
        <v>3.1326609599999992E-2</v>
      </c>
      <c r="AF96" s="348">
        <f t="shared" si="98"/>
        <v>0</v>
      </c>
      <c r="AG96" s="348">
        <f t="shared" si="99"/>
        <v>4.8949440422829039E-2</v>
      </c>
      <c r="AH96" s="348">
        <f t="shared" si="100"/>
        <v>1.0777191192270323</v>
      </c>
      <c r="AI96" s="348">
        <f t="shared" si="101"/>
        <v>6.3881317497111959E-3</v>
      </c>
      <c r="AJ96" s="348">
        <f t="shared" si="102"/>
        <v>1.3835310719999999E-2</v>
      </c>
      <c r="AK96" s="348">
        <f t="shared" si="103"/>
        <v>2.0251904272900318E-2</v>
      </c>
      <c r="AL96" s="348">
        <f t="shared" si="104"/>
        <v>1.3835310719999999E-2</v>
      </c>
      <c r="AM96" s="348">
        <f t="shared" si="105"/>
        <v>2.3760028511999997E-2</v>
      </c>
      <c r="AN96" s="348">
        <f t="shared" si="106"/>
        <v>5.8703058288937862E-2</v>
      </c>
      <c r="AO96" s="348">
        <f t="shared" si="107"/>
        <v>1.452E-5</v>
      </c>
      <c r="AP96" s="348">
        <f t="shared" si="108"/>
        <v>0.10709952</v>
      </c>
      <c r="AQ96" s="348">
        <f t="shared" si="109"/>
        <v>4.9827049411764704E-2</v>
      </c>
      <c r="AR96" s="348">
        <f t="shared" si="110"/>
        <v>2.5963519999999997E-2</v>
      </c>
      <c r="AS96" s="348">
        <f t="shared" si="133"/>
        <v>0.10711404000000001</v>
      </c>
      <c r="AT96" s="348">
        <f t="shared" si="111"/>
        <v>0.484193665392672</v>
      </c>
      <c r="AU96">
        <f t="shared" si="112"/>
        <v>5.0242499999999994</v>
      </c>
      <c r="AV96" s="526">
        <f t="shared" si="127"/>
        <v>0.91209973364442931</v>
      </c>
      <c r="AW96" s="534">
        <f t="shared" si="113"/>
        <v>3.5547082582411971</v>
      </c>
      <c r="AX96" s="534">
        <f t="shared" si="114"/>
        <v>1.5450992525023175</v>
      </c>
      <c r="AY96" s="9"/>
      <c r="AZ96" s="4">
        <f t="shared" si="128"/>
        <v>91.209973364442931</v>
      </c>
      <c r="BA96" s="348">
        <f t="shared" si="115"/>
        <v>0.20978887762247997</v>
      </c>
      <c r="BB96" s="348">
        <f t="shared" si="129"/>
        <v>9.2961373207729361E-2</v>
      </c>
      <c r="BC96" s="348">
        <f t="shared" si="130"/>
        <v>6.4631059240749036E-2</v>
      </c>
      <c r="BD96" s="348">
        <f t="shared" si="131"/>
        <v>2.8092713681860317E-2</v>
      </c>
      <c r="BE96" s="348">
        <f t="shared" si="132"/>
        <v>5.8703058288937862E-2</v>
      </c>
      <c r="BK96" s="18"/>
      <c r="BL96" s="19"/>
    </row>
    <row r="97" spans="7:64" x14ac:dyDescent="0.25">
      <c r="G97">
        <v>88</v>
      </c>
      <c r="H97" s="531">
        <f t="shared" si="85"/>
        <v>6.6</v>
      </c>
      <c r="I97" s="4">
        <f t="shared" si="86"/>
        <v>1</v>
      </c>
      <c r="J97" s="348">
        <f t="shared" si="116"/>
        <v>1.54</v>
      </c>
      <c r="K97" s="348">
        <f t="shared" si="87"/>
        <v>1.54</v>
      </c>
      <c r="L97" s="4">
        <f t="shared" si="88"/>
        <v>0.85555555555555562</v>
      </c>
      <c r="M97" s="348">
        <f t="shared" si="89"/>
        <v>0.5054198789687474</v>
      </c>
      <c r="N97" s="4">
        <f t="shared" si="90"/>
        <v>0.60119378594986583</v>
      </c>
      <c r="O97" s="4">
        <f t="shared" si="117"/>
        <v>1.840596892974933</v>
      </c>
      <c r="P97" s="4">
        <f t="shared" si="118"/>
        <v>1.2394031070250671</v>
      </c>
      <c r="Q97" s="4">
        <f t="shared" si="91"/>
        <v>0</v>
      </c>
      <c r="R97" s="4">
        <f t="shared" si="119"/>
        <v>1.5497482045014261</v>
      </c>
      <c r="S97" s="348">
        <f t="shared" si="92"/>
        <v>9.847049939157115E-3</v>
      </c>
      <c r="T97" s="348">
        <f t="shared" si="93"/>
        <v>0.2</v>
      </c>
      <c r="U97" s="348">
        <f t="shared" si="94"/>
        <v>0.21001249021747859</v>
      </c>
      <c r="V97" s="4">
        <f t="shared" si="120"/>
        <v>0.17354969707664267</v>
      </c>
      <c r="W97" s="348">
        <f t="shared" si="121"/>
        <v>3.0119497355394432E-5</v>
      </c>
      <c r="X97" s="348">
        <f t="shared" si="122"/>
        <v>3.0119497355394432E-5</v>
      </c>
      <c r="Y97" s="4">
        <f t="shared" si="123"/>
        <v>0.77482857692342255</v>
      </c>
      <c r="Z97" s="348">
        <f t="shared" si="124"/>
        <v>1.8010779708515284E-3</v>
      </c>
      <c r="AA97" s="525">
        <f t="shared" si="125"/>
        <v>1.8010779708515284E-3</v>
      </c>
      <c r="AB97" s="348">
        <f t="shared" si="126"/>
        <v>1.1017607624481116</v>
      </c>
      <c r="AC97" s="348">
        <f t="shared" si="95"/>
        <v>9.7110142213619535E-3</v>
      </c>
      <c r="AD97" s="348">
        <f t="shared" si="96"/>
        <v>8.1197191348645337E-3</v>
      </c>
      <c r="AE97" s="348">
        <f t="shared" si="97"/>
        <v>3.1326609599999992E-2</v>
      </c>
      <c r="AF97" s="348">
        <f t="shared" si="98"/>
        <v>0</v>
      </c>
      <c r="AG97" s="348">
        <f t="shared" si="99"/>
        <v>4.926258869008359E-2</v>
      </c>
      <c r="AH97" s="348">
        <f t="shared" si="100"/>
        <v>1.0898819751170996</v>
      </c>
      <c r="AI97" s="348">
        <f t="shared" si="101"/>
        <v>6.5331349582683261E-3</v>
      </c>
      <c r="AJ97" s="348">
        <f t="shared" si="102"/>
        <v>1.3994337279999998E-2</v>
      </c>
      <c r="AK97" s="348">
        <f t="shared" si="103"/>
        <v>2.0557018629218073E-2</v>
      </c>
      <c r="AL97" s="348">
        <f t="shared" si="104"/>
        <v>1.3994337279999998E-2</v>
      </c>
      <c r="AM97" s="348">
        <f t="shared" si="105"/>
        <v>2.4033132287999998E-2</v>
      </c>
      <c r="AN97" s="348">
        <f t="shared" si="106"/>
        <v>6.0042987433884858E-2</v>
      </c>
      <c r="AO97" s="348">
        <f t="shared" si="107"/>
        <v>1.452E-5</v>
      </c>
      <c r="AP97" s="348">
        <f t="shared" si="108"/>
        <v>0.10709952</v>
      </c>
      <c r="AQ97" s="348">
        <f t="shared" si="109"/>
        <v>4.9827049411764704E-2</v>
      </c>
      <c r="AR97" s="348">
        <f t="shared" si="110"/>
        <v>2.5963519999999997E-2</v>
      </c>
      <c r="AS97" s="348">
        <f t="shared" si="133"/>
        <v>0.10711404000000001</v>
      </c>
      <c r="AT97" s="348">
        <f t="shared" si="111"/>
        <v>0.48684779200687206</v>
      </c>
      <c r="AU97">
        <f t="shared" si="112"/>
        <v>5.0819999999999999</v>
      </c>
      <c r="AV97" s="526">
        <f t="shared" si="127"/>
        <v>0.91257656696854628</v>
      </c>
      <c r="AW97" s="534">
        <f t="shared" si="113"/>
        <v>3.5818450800089972</v>
      </c>
      <c r="AX97" s="534">
        <f t="shared" si="114"/>
        <v>1.566837375634194</v>
      </c>
      <c r="AY97" s="9"/>
      <c r="AZ97" s="4">
        <f t="shared" si="128"/>
        <v>91.257656696854625</v>
      </c>
      <c r="BA97" s="348">
        <f t="shared" si="115"/>
        <v>0.21001249021747859</v>
      </c>
      <c r="BB97" s="348">
        <f t="shared" si="129"/>
        <v>9.3852739607301658E-2</v>
      </c>
      <c r="BC97" s="348">
        <f t="shared" si="130"/>
        <v>6.5124456000163589E-2</v>
      </c>
      <c r="BD97" s="348">
        <f t="shared" si="131"/>
        <v>2.8487952284258072E-2</v>
      </c>
      <c r="BE97" s="348">
        <f t="shared" si="132"/>
        <v>6.0042987433884858E-2</v>
      </c>
      <c r="BK97" s="18"/>
      <c r="BL97" s="19"/>
    </row>
    <row r="98" spans="7:64" x14ac:dyDescent="0.25">
      <c r="G98">
        <v>89</v>
      </c>
      <c r="H98" s="531">
        <f t="shared" si="85"/>
        <v>6.6</v>
      </c>
      <c r="I98" s="4">
        <f t="shared" si="86"/>
        <v>1</v>
      </c>
      <c r="J98" s="348">
        <f t="shared" si="116"/>
        <v>1.5575000000000001</v>
      </c>
      <c r="K98" s="348">
        <f t="shared" si="87"/>
        <v>1.5575000000000001</v>
      </c>
      <c r="L98" s="4">
        <f t="shared" si="88"/>
        <v>0.86527777777777792</v>
      </c>
      <c r="M98" s="348">
        <f t="shared" si="89"/>
        <v>0.5054811432102464</v>
      </c>
      <c r="N98" s="4">
        <f t="shared" si="90"/>
        <v>0.60122785901201414</v>
      </c>
      <c r="O98" s="4">
        <f t="shared" si="117"/>
        <v>1.8581139295060072</v>
      </c>
      <c r="P98" s="4">
        <f t="shared" si="118"/>
        <v>1.256886070493993</v>
      </c>
      <c r="Q98" s="4">
        <f t="shared" si="91"/>
        <v>0</v>
      </c>
      <c r="R98" s="4">
        <f t="shared" si="119"/>
        <v>1.5671404409106675</v>
      </c>
      <c r="S98" s="348">
        <f t="shared" si="92"/>
        <v>1.0069309562304491E-2</v>
      </c>
      <c r="T98" s="348">
        <f t="shared" si="93"/>
        <v>0.2</v>
      </c>
      <c r="U98" s="348">
        <f t="shared" si="94"/>
        <v>0.21023866621927473</v>
      </c>
      <c r="V98" s="4">
        <f t="shared" si="120"/>
        <v>0.17355953312244438</v>
      </c>
      <c r="W98" s="348">
        <f t="shared" si="121"/>
        <v>3.0122911537680868E-5</v>
      </c>
      <c r="X98" s="348">
        <f t="shared" si="122"/>
        <v>3.0122911537680868E-5</v>
      </c>
      <c r="Y98" s="4">
        <f t="shared" si="123"/>
        <v>0.78352313754881964</v>
      </c>
      <c r="Z98" s="348">
        <f t="shared" si="124"/>
        <v>1.8417255212230396E-3</v>
      </c>
      <c r="AA98" s="525">
        <f t="shared" si="125"/>
        <v>1.8417255212230396E-3</v>
      </c>
      <c r="AB98" s="348">
        <f t="shared" si="126"/>
        <v>1.1141929277362377</v>
      </c>
      <c r="AC98" s="348">
        <f t="shared" si="95"/>
        <v>9.9314070417395924E-3</v>
      </c>
      <c r="AD98" s="348">
        <f t="shared" si="96"/>
        <v>8.2119886704879932E-3</v>
      </c>
      <c r="AE98" s="348">
        <f t="shared" si="97"/>
        <v>3.1326609599999992E-2</v>
      </c>
      <c r="AF98" s="348">
        <f t="shared" si="98"/>
        <v>0</v>
      </c>
      <c r="AG98" s="348">
        <f t="shared" si="99"/>
        <v>4.9578329477736015E-2</v>
      </c>
      <c r="AH98" s="348">
        <f t="shared" si="100"/>
        <v>1.1020450450504427</v>
      </c>
      <c r="AI98" s="348">
        <f t="shared" si="101"/>
        <v>6.6797680472612765E-3</v>
      </c>
      <c r="AJ98" s="348">
        <f t="shared" si="102"/>
        <v>1.4153363839999999E-2</v>
      </c>
      <c r="AK98" s="348">
        <f t="shared" si="103"/>
        <v>2.0863792251683326E-2</v>
      </c>
      <c r="AL98" s="348">
        <f t="shared" si="104"/>
        <v>1.4153363839999999E-2</v>
      </c>
      <c r="AM98" s="348">
        <f t="shared" si="105"/>
        <v>2.4306236063999995E-2</v>
      </c>
      <c r="AN98" s="348">
        <f t="shared" si="106"/>
        <v>6.1398229038442033E-2</v>
      </c>
      <c r="AO98" s="348">
        <f t="shared" si="107"/>
        <v>1.452E-5</v>
      </c>
      <c r="AP98" s="348">
        <f t="shared" si="108"/>
        <v>0.10709952</v>
      </c>
      <c r="AQ98" s="348">
        <f t="shared" si="109"/>
        <v>4.9827049411764704E-2</v>
      </c>
      <c r="AR98" s="348">
        <f t="shared" si="110"/>
        <v>2.5963519999999997E-2</v>
      </c>
      <c r="AS98" s="348">
        <f t="shared" si="133"/>
        <v>0.10711404000000001</v>
      </c>
      <c r="AT98" s="348">
        <f t="shared" si="111"/>
        <v>0.48952450532389685</v>
      </c>
      <c r="AU98">
        <f t="shared" si="112"/>
        <v>5.1397500000000003</v>
      </c>
      <c r="AV98" s="526">
        <f t="shared" si="127"/>
        <v>0.91303950360549513</v>
      </c>
      <c r="AW98" s="534">
        <f t="shared" si="113"/>
        <v>3.6091244903986808</v>
      </c>
      <c r="AX98" s="534">
        <f t="shared" si="114"/>
        <v>1.5886667584041827</v>
      </c>
      <c r="AY98" s="9"/>
      <c r="AZ98" s="4">
        <f t="shared" si="128"/>
        <v>91.303950360549507</v>
      </c>
      <c r="BA98" s="348">
        <f t="shared" si="115"/>
        <v>0.21023866621927473</v>
      </c>
      <c r="BB98" s="348">
        <f t="shared" si="129"/>
        <v>9.4748357793419336E-2</v>
      </c>
      <c r="BC98" s="348">
        <f t="shared" si="130"/>
        <v>6.5620445279976014E-2</v>
      </c>
      <c r="BD98" s="348">
        <f t="shared" si="131"/>
        <v>2.8884850152803322E-2</v>
      </c>
      <c r="BE98" s="348">
        <f t="shared" si="132"/>
        <v>6.1398229038442033E-2</v>
      </c>
      <c r="BK98" s="18"/>
      <c r="BL98" s="19"/>
    </row>
    <row r="99" spans="7:64" x14ac:dyDescent="0.25">
      <c r="G99">
        <v>90</v>
      </c>
      <c r="H99" s="531">
        <f t="shared" si="85"/>
        <v>6.6</v>
      </c>
      <c r="I99" s="4">
        <f t="shared" si="86"/>
        <v>1</v>
      </c>
      <c r="J99" s="348">
        <f t="shared" si="116"/>
        <v>1.575</v>
      </c>
      <c r="K99" s="348">
        <f t="shared" si="87"/>
        <v>1.575</v>
      </c>
      <c r="L99" s="4">
        <f t="shared" si="88"/>
        <v>0.875</v>
      </c>
      <c r="M99" s="348">
        <f t="shared" si="89"/>
        <v>0.50554240018084717</v>
      </c>
      <c r="N99" s="4">
        <f t="shared" si="90"/>
        <v>0.60126191402139217</v>
      </c>
      <c r="O99" s="4">
        <f t="shared" si="117"/>
        <v>1.8756309570106962</v>
      </c>
      <c r="P99" s="4">
        <f t="shared" si="118"/>
        <v>1.2743690429893038</v>
      </c>
      <c r="Q99" s="4">
        <f t="shared" si="91"/>
        <v>0</v>
      </c>
      <c r="R99" s="4">
        <f t="shared" si="119"/>
        <v>1.5845350498188384</v>
      </c>
      <c r="S99" s="348">
        <f t="shared" si="92"/>
        <v>1.0294080428827993E-2</v>
      </c>
      <c r="T99" s="348">
        <f t="shared" si="93"/>
        <v>0.2</v>
      </c>
      <c r="U99" s="348">
        <f t="shared" si="94"/>
        <v>0.21046740590114746</v>
      </c>
      <c r="V99" s="4">
        <f t="shared" si="120"/>
        <v>0.17356936395686021</v>
      </c>
      <c r="W99" s="348">
        <f t="shared" si="121"/>
        <v>3.0126324104389003E-5</v>
      </c>
      <c r="X99" s="348">
        <f t="shared" si="122"/>
        <v>3.0126324104389003E-5</v>
      </c>
      <c r="Y99" s="4">
        <f t="shared" si="123"/>
        <v>0.79221884934995324</v>
      </c>
      <c r="Z99" s="348">
        <f t="shared" si="124"/>
        <v>1.8828321157960918E-3</v>
      </c>
      <c r="AA99" s="525">
        <f t="shared" si="125"/>
        <v>1.8828321157960918E-3</v>
      </c>
      <c r="AB99" s="348">
        <f t="shared" si="126"/>
        <v>1.1266282663971168</v>
      </c>
      <c r="AC99" s="348">
        <f t="shared" si="95"/>
        <v>1.0154330005159782E-2</v>
      </c>
      <c r="AD99" s="348">
        <f t="shared" si="96"/>
        <v>8.3042582061114544E-3</v>
      </c>
      <c r="AE99" s="348">
        <f t="shared" si="97"/>
        <v>3.1326609599999992E-2</v>
      </c>
      <c r="AF99" s="348">
        <f t="shared" si="98"/>
        <v>0</v>
      </c>
      <c r="AG99" s="348">
        <f t="shared" si="99"/>
        <v>4.9896664594931049E-2</v>
      </c>
      <c r="AH99" s="348">
        <f t="shared" si="100"/>
        <v>1.1142082720297026</v>
      </c>
      <c r="AI99" s="348">
        <f t="shared" si="101"/>
        <v>6.8280304040267874E-3</v>
      </c>
      <c r="AJ99" s="348">
        <f t="shared" si="102"/>
        <v>1.4312390399999998E-2</v>
      </c>
      <c r="AK99" s="348">
        <f t="shared" si="103"/>
        <v>2.1172225015174177E-2</v>
      </c>
      <c r="AL99" s="348">
        <f t="shared" si="104"/>
        <v>1.4312390399999998E-2</v>
      </c>
      <c r="AM99" s="348">
        <f t="shared" si="105"/>
        <v>2.4579339839999995E-2</v>
      </c>
      <c r="AN99" s="348">
        <f t="shared" si="106"/>
        <v>6.2768783102609721E-2</v>
      </c>
      <c r="AO99" s="348">
        <f t="shared" si="107"/>
        <v>1.452E-5</v>
      </c>
      <c r="AP99" s="348">
        <f t="shared" si="108"/>
        <v>0.10709952</v>
      </c>
      <c r="AQ99" s="348">
        <f t="shared" si="109"/>
        <v>4.9827049411764704E-2</v>
      </c>
      <c r="AR99" s="348">
        <f t="shared" si="110"/>
        <v>2.5963519999999997E-2</v>
      </c>
      <c r="AS99" s="348">
        <f t="shared" si="133"/>
        <v>0.10711404000000001</v>
      </c>
      <c r="AT99" s="348">
        <f t="shared" si="111"/>
        <v>0.49222380729376292</v>
      </c>
      <c r="AU99">
        <f t="shared" si="112"/>
        <v>5.1974999999999998</v>
      </c>
      <c r="AV99" s="526">
        <f t="shared" si="127"/>
        <v>0.9134889804909736</v>
      </c>
      <c r="AW99" s="534">
        <f t="shared" si="113"/>
        <v>3.6365465889132076</v>
      </c>
      <c r="AX99" s="534">
        <f t="shared" si="114"/>
        <v>1.6105873939305795</v>
      </c>
      <c r="AY99" s="9"/>
      <c r="AZ99" s="4">
        <f t="shared" si="128"/>
        <v>91.348898049097357</v>
      </c>
      <c r="BA99" s="348">
        <f t="shared" si="115"/>
        <v>0.21046740590114746</v>
      </c>
      <c r="BB99" s="348">
        <f t="shared" si="129"/>
        <v>9.5648229450105218E-2</v>
      </c>
      <c r="BC99" s="348">
        <f t="shared" si="130"/>
        <v>6.611902888933105E-2</v>
      </c>
      <c r="BD99" s="348">
        <f t="shared" si="131"/>
        <v>2.9283407162374174E-2</v>
      </c>
      <c r="BE99" s="348">
        <f t="shared" si="132"/>
        <v>6.2768783102609721E-2</v>
      </c>
      <c r="BK99" s="18"/>
      <c r="BL99" s="19"/>
    </row>
    <row r="100" spans="7:64" x14ac:dyDescent="0.25">
      <c r="G100">
        <v>91</v>
      </c>
      <c r="H100" s="531">
        <f t="shared" si="85"/>
        <v>6.6</v>
      </c>
      <c r="I100" s="4">
        <f t="shared" si="86"/>
        <v>1</v>
      </c>
      <c r="J100" s="348">
        <f t="shared" si="116"/>
        <v>1.5925</v>
      </c>
      <c r="K100" s="348">
        <f t="shared" si="87"/>
        <v>1.5925</v>
      </c>
      <c r="L100" s="4">
        <f t="shared" si="88"/>
        <v>0.8847222222222223</v>
      </c>
      <c r="M100" s="348">
        <f t="shared" si="89"/>
        <v>0.50560364988184414</v>
      </c>
      <c r="N100" s="4">
        <f t="shared" si="90"/>
        <v>0.6012959509812138</v>
      </c>
      <c r="O100" s="4">
        <f t="shared" si="117"/>
        <v>1.8931479754906069</v>
      </c>
      <c r="P100" s="4">
        <f t="shared" si="118"/>
        <v>1.2918520245093932</v>
      </c>
      <c r="Q100" s="4">
        <f t="shared" si="91"/>
        <v>0</v>
      </c>
      <c r="R100" s="4">
        <f t="shared" si="119"/>
        <v>1.6019319539404704</v>
      </c>
      <c r="S100" s="348">
        <f t="shared" si="92"/>
        <v>1.0521362538727687E-2</v>
      </c>
      <c r="T100" s="348">
        <f t="shared" si="93"/>
        <v>0.2</v>
      </c>
      <c r="U100" s="348">
        <f t="shared" si="94"/>
        <v>0.21069870953948824</v>
      </c>
      <c r="V100" s="4">
        <f t="shared" si="120"/>
        <v>0.17357918958081792</v>
      </c>
      <c r="W100" s="348">
        <f t="shared" si="121"/>
        <v>3.0129735055533526E-5</v>
      </c>
      <c r="X100" s="348">
        <f t="shared" si="122"/>
        <v>3.0129735055533526E-5</v>
      </c>
      <c r="Y100" s="4">
        <f t="shared" si="123"/>
        <v>0.80091567329833113</v>
      </c>
      <c r="Z100" s="348">
        <f t="shared" si="124"/>
        <v>1.9243977472047573E-3</v>
      </c>
      <c r="AA100" s="525">
        <f t="shared" si="125"/>
        <v>1.9243977472047573E-3</v>
      </c>
      <c r="AB100" s="348">
        <f t="shared" si="126"/>
        <v>1.1390667233835396</v>
      </c>
      <c r="AC100" s="348">
        <f t="shared" si="95"/>
        <v>1.0379784002557705E-2</v>
      </c>
      <c r="AD100" s="348">
        <f t="shared" si="96"/>
        <v>8.3965277417349157E-3</v>
      </c>
      <c r="AE100" s="348">
        <f t="shared" si="97"/>
        <v>3.1326609599999992E-2</v>
      </c>
      <c r="AF100" s="348">
        <f t="shared" si="98"/>
        <v>0</v>
      </c>
      <c r="AG100" s="348">
        <f t="shared" si="99"/>
        <v>5.0217595859886353E-2</v>
      </c>
      <c r="AH100" s="348">
        <f t="shared" si="100"/>
        <v>1.1263716015311378</v>
      </c>
      <c r="AI100" s="348">
        <f t="shared" si="101"/>
        <v>6.9779214160470109E-3</v>
      </c>
      <c r="AJ100" s="348">
        <f t="shared" si="102"/>
        <v>1.4471416959999999E-2</v>
      </c>
      <c r="AK100" s="348">
        <f t="shared" si="103"/>
        <v>2.1482316798106409E-2</v>
      </c>
      <c r="AL100" s="348">
        <f t="shared" si="104"/>
        <v>1.4471416959999999E-2</v>
      </c>
      <c r="AM100" s="348">
        <f t="shared" si="105"/>
        <v>2.4852443615999999E-2</v>
      </c>
      <c r="AN100" s="348">
        <f t="shared" si="106"/>
        <v>6.4154649626388338E-2</v>
      </c>
      <c r="AO100" s="348">
        <f t="shared" si="107"/>
        <v>1.452E-5</v>
      </c>
      <c r="AP100" s="348">
        <f t="shared" si="108"/>
        <v>0.10709952</v>
      </c>
      <c r="AQ100" s="348">
        <f t="shared" si="109"/>
        <v>4.9827049411764704E-2</v>
      </c>
      <c r="AR100" s="348">
        <f t="shared" si="110"/>
        <v>2.5963519999999997E-2</v>
      </c>
      <c r="AS100" s="348">
        <f t="shared" si="133"/>
        <v>0.10711404000000001</v>
      </c>
      <c r="AT100" s="348">
        <f t="shared" si="111"/>
        <v>0.49494569988212961</v>
      </c>
      <c r="AU100">
        <f t="shared" si="112"/>
        <v>5.2552500000000002</v>
      </c>
      <c r="AV100" s="526">
        <f t="shared" si="127"/>
        <v>0.91392541650499393</v>
      </c>
      <c r="AW100" s="534">
        <f t="shared" si="113"/>
        <v>3.6641114755545496</v>
      </c>
      <c r="AX100" s="534">
        <f t="shared" si="114"/>
        <v>1.6325992755262526</v>
      </c>
      <c r="AY100" s="9"/>
      <c r="AZ100" s="4">
        <f t="shared" si="128"/>
        <v>91.392541650499396</v>
      </c>
      <c r="BA100" s="348">
        <f t="shared" si="115"/>
        <v>0.21069870953948824</v>
      </c>
      <c r="BB100" s="348">
        <f t="shared" si="129"/>
        <v>9.6552356273992765E-2</v>
      </c>
      <c r="BC100" s="348">
        <f t="shared" si="130"/>
        <v>6.6620208646446355E-2</v>
      </c>
      <c r="BD100" s="348">
        <f t="shared" si="131"/>
        <v>2.9683623191386409E-2</v>
      </c>
      <c r="BE100" s="348">
        <f t="shared" si="132"/>
        <v>6.4154649626388338E-2</v>
      </c>
      <c r="BK100" s="18"/>
      <c r="BL100" s="19"/>
    </row>
    <row r="101" spans="7:64" x14ac:dyDescent="0.25">
      <c r="G101">
        <v>92</v>
      </c>
      <c r="H101" s="531">
        <f t="shared" si="85"/>
        <v>6.6</v>
      </c>
      <c r="I101" s="4">
        <f t="shared" si="86"/>
        <v>1</v>
      </c>
      <c r="J101" s="348">
        <f t="shared" si="116"/>
        <v>1.61</v>
      </c>
      <c r="K101" s="348">
        <f t="shared" si="87"/>
        <v>1.61</v>
      </c>
      <c r="L101" s="4">
        <f t="shared" si="88"/>
        <v>0.89444444444444449</v>
      </c>
      <c r="M101" s="348">
        <f t="shared" si="89"/>
        <v>0.50566489231453116</v>
      </c>
      <c r="N101" s="4">
        <f t="shared" si="90"/>
        <v>0.60132996989469145</v>
      </c>
      <c r="O101" s="4">
        <f t="shared" si="117"/>
        <v>1.9106649849473458</v>
      </c>
      <c r="P101" s="4">
        <f t="shared" si="118"/>
        <v>1.3093350150526544</v>
      </c>
      <c r="Q101" s="4">
        <f t="shared" si="91"/>
        <v>0</v>
      </c>
      <c r="R101" s="4">
        <f t="shared" si="119"/>
        <v>1.6193310793013049</v>
      </c>
      <c r="S101" s="348">
        <f t="shared" si="92"/>
        <v>1.0751155892003629E-2</v>
      </c>
      <c r="T101" s="348">
        <f t="shared" si="93"/>
        <v>0.2</v>
      </c>
      <c r="U101" s="348">
        <f t="shared" si="94"/>
        <v>0.21093257741380186</v>
      </c>
      <c r="V101" s="4">
        <f t="shared" si="120"/>
        <v>0.17358900999524485</v>
      </c>
      <c r="W101" s="348">
        <f t="shared" si="121"/>
        <v>3.0133144391129218E-5</v>
      </c>
      <c r="X101" s="348">
        <f t="shared" si="122"/>
        <v>3.0133144391129218E-5</v>
      </c>
      <c r="Y101" s="4">
        <f t="shared" si="123"/>
        <v>0.80961357202124784</v>
      </c>
      <c r="Z101" s="348">
        <f t="shared" si="124"/>
        <v>1.9664224080030127E-3</v>
      </c>
      <c r="AA101" s="525">
        <f t="shared" si="125"/>
        <v>1.9664224080030127E-3</v>
      </c>
      <c r="AB101" s="348">
        <f t="shared" si="126"/>
        <v>1.1515082459896389</v>
      </c>
      <c r="AC101" s="348">
        <f t="shared" si="95"/>
        <v>1.0607769924657078E-2</v>
      </c>
      <c r="AD101" s="348">
        <f t="shared" si="96"/>
        <v>8.4887972773583752E-3</v>
      </c>
      <c r="AE101" s="348">
        <f t="shared" si="97"/>
        <v>3.1326609599999992E-2</v>
      </c>
      <c r="AF101" s="348">
        <f t="shared" si="98"/>
        <v>0</v>
      </c>
      <c r="AG101" s="348">
        <f t="shared" si="99"/>
        <v>5.0541125099909934E-2</v>
      </c>
      <c r="AH101" s="348">
        <f t="shared" si="100"/>
        <v>1.1385349813725507</v>
      </c>
      <c r="AI101" s="348">
        <f t="shared" si="101"/>
        <v>7.1294404709494686E-3</v>
      </c>
      <c r="AJ101" s="348">
        <f t="shared" si="102"/>
        <v>1.463044352E-2</v>
      </c>
      <c r="AK101" s="348">
        <f t="shared" si="103"/>
        <v>2.1794067482431356E-2</v>
      </c>
      <c r="AL101" s="348">
        <f t="shared" si="104"/>
        <v>1.463044352E-2</v>
      </c>
      <c r="AM101" s="348">
        <f t="shared" si="105"/>
        <v>2.5125547392E-2</v>
      </c>
      <c r="AN101" s="348">
        <f t="shared" si="106"/>
        <v>6.5555828609778238E-2</v>
      </c>
      <c r="AO101" s="348">
        <f t="shared" si="107"/>
        <v>1.452E-5</v>
      </c>
      <c r="AP101" s="348">
        <f t="shared" si="108"/>
        <v>0.10709952</v>
      </c>
      <c r="AQ101" s="348">
        <f t="shared" si="109"/>
        <v>4.9827049411764704E-2</v>
      </c>
      <c r="AR101" s="348">
        <f t="shared" si="110"/>
        <v>2.5963519999999997E-2</v>
      </c>
      <c r="AS101" s="348">
        <f t="shared" si="133"/>
        <v>0.10711404000000001</v>
      </c>
      <c r="AT101" s="348">
        <f t="shared" si="111"/>
        <v>0.49769018507031548</v>
      </c>
      <c r="AU101">
        <f t="shared" si="112"/>
        <v>5.3129999999999997</v>
      </c>
      <c r="AV101" s="526">
        <f t="shared" si="127"/>
        <v>0.91434921339481234</v>
      </c>
      <c r="AW101" s="534">
        <f t="shared" si="113"/>
        <v>3.6918192508246461</v>
      </c>
      <c r="AX101" s="534">
        <f t="shared" si="114"/>
        <v>1.6547023966985246</v>
      </c>
      <c r="AY101" s="9"/>
      <c r="AZ101" s="4">
        <f t="shared" si="128"/>
        <v>91.434921339481235</v>
      </c>
      <c r="BA101" s="348">
        <f t="shared" si="115"/>
        <v>0.21093257741380186</v>
      </c>
      <c r="BB101" s="348">
        <f t="shared" si="129"/>
        <v>9.7460739974341293E-2</v>
      </c>
      <c r="BC101" s="348">
        <f t="shared" si="130"/>
        <v>6.712398637862993E-2</v>
      </c>
      <c r="BD101" s="348">
        <f t="shared" si="131"/>
        <v>3.0085498121791357E-2</v>
      </c>
      <c r="BE101" s="348">
        <f t="shared" si="132"/>
        <v>6.5555828609778238E-2</v>
      </c>
      <c r="BK101" s="18"/>
      <c r="BL101" s="19"/>
    </row>
    <row r="102" spans="7:64" x14ac:dyDescent="0.25">
      <c r="G102">
        <v>93</v>
      </c>
      <c r="H102" s="531">
        <f t="shared" si="85"/>
        <v>6.6</v>
      </c>
      <c r="I102" s="4">
        <f t="shared" si="86"/>
        <v>1</v>
      </c>
      <c r="J102" s="348">
        <f t="shared" si="116"/>
        <v>1.6274999999999999</v>
      </c>
      <c r="K102" s="348">
        <f t="shared" si="87"/>
        <v>1.6274999999999999</v>
      </c>
      <c r="L102" s="4">
        <f t="shared" si="88"/>
        <v>0.90416666666666656</v>
      </c>
      <c r="M102" s="348">
        <f t="shared" si="89"/>
        <v>0.50572612748020218</v>
      </c>
      <c r="N102" s="4">
        <f t="shared" si="90"/>
        <v>0.60136397076503767</v>
      </c>
      <c r="O102" s="4">
        <f t="shared" si="117"/>
        <v>1.9281819853825188</v>
      </c>
      <c r="P102" s="4">
        <f t="shared" si="118"/>
        <v>1.3268180146174811</v>
      </c>
      <c r="Q102" s="4">
        <f t="shared" si="91"/>
        <v>0</v>
      </c>
      <c r="R102" s="4">
        <f t="shared" si="119"/>
        <v>1.6367323550633412</v>
      </c>
      <c r="S102" s="348">
        <f t="shared" si="92"/>
        <v>1.0983460488655884E-2</v>
      </c>
      <c r="T102" s="348">
        <f t="shared" si="93"/>
        <v>0.2</v>
      </c>
      <c r="U102" s="348">
        <f t="shared" si="94"/>
        <v>0.21116900980670716</v>
      </c>
      <c r="V102" s="4">
        <f t="shared" si="120"/>
        <v>0.17359882520106837</v>
      </c>
      <c r="W102" s="348">
        <f t="shared" si="121"/>
        <v>3.0136552111191093E-5</v>
      </c>
      <c r="X102" s="348">
        <f t="shared" si="122"/>
        <v>3.0136552111191093E-5</v>
      </c>
      <c r="Y102" s="4">
        <f t="shared" si="123"/>
        <v>0.81831250971430913</v>
      </c>
      <c r="Z102" s="348">
        <f t="shared" si="124"/>
        <v>2.0089060906647938E-3</v>
      </c>
      <c r="AA102" s="525">
        <f t="shared" si="125"/>
        <v>2.0089060906647938E-3</v>
      </c>
      <c r="AB102" s="348">
        <f t="shared" si="126"/>
        <v>1.1639527837271924</v>
      </c>
      <c r="AC102" s="348">
        <f t="shared" si="95"/>
        <v>1.0838288661970242E-2</v>
      </c>
      <c r="AD102" s="348">
        <f t="shared" si="96"/>
        <v>8.5810668129818364E-3</v>
      </c>
      <c r="AE102" s="348">
        <f t="shared" si="97"/>
        <v>3.1326609599999992E-2</v>
      </c>
      <c r="AF102" s="348">
        <f t="shared" si="98"/>
        <v>0</v>
      </c>
      <c r="AG102" s="348">
        <f t="shared" si="99"/>
        <v>5.0867254151417747E-2</v>
      </c>
      <c r="AH102" s="348">
        <f t="shared" si="100"/>
        <v>1.1506983615895656</v>
      </c>
      <c r="AI102" s="348">
        <f t="shared" si="101"/>
        <v>7.2825869565070088E-3</v>
      </c>
      <c r="AJ102" s="348">
        <f t="shared" si="102"/>
        <v>1.4789470079999997E-2</v>
      </c>
      <c r="AK102" s="348">
        <f t="shared" si="103"/>
        <v>2.2107476953633843E-2</v>
      </c>
      <c r="AL102" s="348">
        <f t="shared" si="104"/>
        <v>1.4789470079999997E-2</v>
      </c>
      <c r="AM102" s="348">
        <f t="shared" si="105"/>
        <v>2.5398651167999994E-2</v>
      </c>
      <c r="AN102" s="348">
        <f t="shared" si="106"/>
        <v>6.6972320052779796E-2</v>
      </c>
      <c r="AO102" s="348">
        <f t="shared" si="107"/>
        <v>1.452E-5</v>
      </c>
      <c r="AP102" s="348">
        <f t="shared" si="108"/>
        <v>0.10709952</v>
      </c>
      <c r="AQ102" s="348">
        <f t="shared" si="109"/>
        <v>4.9827049411764704E-2</v>
      </c>
      <c r="AR102" s="348">
        <f t="shared" si="110"/>
        <v>2.5963519999999997E-2</v>
      </c>
      <c r="AS102" s="348">
        <f t="shared" si="133"/>
        <v>0.10711404000000001</v>
      </c>
      <c r="AT102" s="348">
        <f t="shared" si="111"/>
        <v>0.5004572648553145</v>
      </c>
      <c r="AU102">
        <f t="shared" si="112"/>
        <v>5.3707499999999992</v>
      </c>
      <c r="AV102" s="526">
        <f t="shared" si="127"/>
        <v>0.91476075664182033</v>
      </c>
      <c r="AW102" s="534">
        <f t="shared" si="113"/>
        <v>3.7196700157263756</v>
      </c>
      <c r="AX102" s="534">
        <f t="shared" si="114"/>
        <v>1.6768967511490613</v>
      </c>
      <c r="AY102" s="9"/>
      <c r="AZ102" s="4">
        <f t="shared" si="128"/>
        <v>91.476075664182034</v>
      </c>
      <c r="BA102" s="348">
        <f t="shared" si="115"/>
        <v>0.21116900980670716</v>
      </c>
      <c r="BB102" s="348">
        <f t="shared" si="129"/>
        <v>9.8373382273051591E-2</v>
      </c>
      <c r="BC102" s="348">
        <f t="shared" si="130"/>
        <v>6.7630363922297737E-2</v>
      </c>
      <c r="BD102" s="348">
        <f t="shared" si="131"/>
        <v>3.0489031839073841E-2</v>
      </c>
      <c r="BE102" s="348">
        <f t="shared" si="132"/>
        <v>6.6972320052779796E-2</v>
      </c>
      <c r="BK102" s="18"/>
      <c r="BL102" s="19"/>
    </row>
    <row r="103" spans="7:64" x14ac:dyDescent="0.25">
      <c r="G103">
        <v>94</v>
      </c>
      <c r="H103" s="531">
        <f t="shared" si="85"/>
        <v>6.6</v>
      </c>
      <c r="I103" s="4">
        <f t="shared" si="86"/>
        <v>1</v>
      </c>
      <c r="J103" s="348">
        <f t="shared" si="116"/>
        <v>1.645</v>
      </c>
      <c r="K103" s="348">
        <f t="shared" si="87"/>
        <v>1.645</v>
      </c>
      <c r="L103" s="4">
        <f t="shared" si="88"/>
        <v>0.91388888888888886</v>
      </c>
      <c r="M103" s="348">
        <f t="shared" si="89"/>
        <v>0.50578735538015029</v>
      </c>
      <c r="N103" s="4">
        <f t="shared" si="90"/>
        <v>0.60139795359546333</v>
      </c>
      <c r="O103" s="4">
        <f t="shared" si="117"/>
        <v>1.9456989767977317</v>
      </c>
      <c r="P103" s="4">
        <f t="shared" si="118"/>
        <v>1.3443010232022683</v>
      </c>
      <c r="Q103" s="4">
        <f t="shared" si="91"/>
        <v>0</v>
      </c>
      <c r="R103" s="4">
        <f t="shared" si="119"/>
        <v>1.6541357133608277</v>
      </c>
      <c r="S103" s="348">
        <f t="shared" si="92"/>
        <v>1.1218276328684509E-2</v>
      </c>
      <c r="T103" s="348">
        <f t="shared" si="93"/>
        <v>0.2</v>
      </c>
      <c r="U103" s="348">
        <f t="shared" si="94"/>
        <v>0.21140800700393783</v>
      </c>
      <c r="V103" s="4">
        <f t="shared" si="120"/>
        <v>0.17360863519921541</v>
      </c>
      <c r="W103" s="348">
        <f t="shared" si="121"/>
        <v>3.0139958215734255E-5</v>
      </c>
      <c r="X103" s="348">
        <f t="shared" si="122"/>
        <v>3.0139958215734255E-5</v>
      </c>
      <c r="Y103" s="4">
        <f t="shared" si="123"/>
        <v>0.82701245205942708</v>
      </c>
      <c r="Z103" s="348">
        <f t="shared" si="124"/>
        <v>2.0518487875840386E-3</v>
      </c>
      <c r="AA103" s="525">
        <f t="shared" si="125"/>
        <v>2.0518487875840386E-3</v>
      </c>
      <c r="AB103" s="348">
        <f t="shared" si="126"/>
        <v>1.1764002882096618</v>
      </c>
      <c r="AC103" s="348">
        <f t="shared" si="95"/>
        <v>1.1071341104798203E-2</v>
      </c>
      <c r="AD103" s="348">
        <f t="shared" si="96"/>
        <v>8.6733363486052959E-3</v>
      </c>
      <c r="AE103" s="348">
        <f t="shared" si="97"/>
        <v>3.1326609599999992E-2</v>
      </c>
      <c r="AF103" s="348">
        <f t="shared" si="98"/>
        <v>0</v>
      </c>
      <c r="AG103" s="348">
        <f t="shared" si="99"/>
        <v>5.1195984859951221E-2</v>
      </c>
      <c r="AH103" s="348">
        <f t="shared" si="100"/>
        <v>1.1628616943196464</v>
      </c>
      <c r="AI103" s="348">
        <f t="shared" si="101"/>
        <v>7.4373602606377723E-3</v>
      </c>
      <c r="AJ103" s="348">
        <f t="shared" si="102"/>
        <v>1.4948496639999998E-2</v>
      </c>
      <c r="AK103" s="348">
        <f t="shared" si="103"/>
        <v>2.2422545100730162E-2</v>
      </c>
      <c r="AL103" s="348">
        <f t="shared" si="104"/>
        <v>1.4948496639999998E-2</v>
      </c>
      <c r="AM103" s="348">
        <f t="shared" si="105"/>
        <v>2.5671754943999991E-2</v>
      </c>
      <c r="AN103" s="348">
        <f t="shared" si="106"/>
        <v>6.8404123955393359E-2</v>
      </c>
      <c r="AO103" s="348">
        <f t="shared" si="107"/>
        <v>1.452E-5</v>
      </c>
      <c r="AP103" s="348">
        <f t="shared" si="108"/>
        <v>0.10709952</v>
      </c>
      <c r="AQ103" s="348">
        <f t="shared" si="109"/>
        <v>4.9827049411764704E-2</v>
      </c>
      <c r="AR103" s="348">
        <f t="shared" si="110"/>
        <v>2.5963519999999997E-2</v>
      </c>
      <c r="AS103" s="348">
        <f t="shared" si="133"/>
        <v>0.10711404000000001</v>
      </c>
      <c r="AT103" s="348">
        <f t="shared" si="111"/>
        <v>0.5032469412498124</v>
      </c>
      <c r="AU103">
        <f t="shared" si="112"/>
        <v>5.4284999999999997</v>
      </c>
      <c r="AV103" s="526">
        <f t="shared" si="127"/>
        <v>0.91516041627632572</v>
      </c>
      <c r="AW103" s="534">
        <f t="shared" si="113"/>
        <v>3.7476638717645172</v>
      </c>
      <c r="AX103" s="534">
        <f t="shared" si="114"/>
        <v>1.699182332773759</v>
      </c>
      <c r="AY103" s="9"/>
      <c r="AZ103" s="4">
        <f t="shared" si="128"/>
        <v>91.516041627632575</v>
      </c>
      <c r="BA103" s="348">
        <f t="shared" si="115"/>
        <v>0.21140800700393783</v>
      </c>
      <c r="BB103" s="348">
        <f t="shared" si="129"/>
        <v>9.9290284904681378E-2</v>
      </c>
      <c r="BC103" s="348">
        <f t="shared" si="130"/>
        <v>6.8139343122991219E-2</v>
      </c>
      <c r="BD103" s="348">
        <f t="shared" si="131"/>
        <v>3.0894224232250161E-2</v>
      </c>
      <c r="BE103" s="348">
        <f t="shared" si="132"/>
        <v>6.8404123955393359E-2</v>
      </c>
      <c r="BK103" s="18"/>
      <c r="BL103" s="19"/>
    </row>
    <row r="104" spans="7:64" x14ac:dyDescent="0.25">
      <c r="G104">
        <v>95</v>
      </c>
      <c r="H104" s="531">
        <f t="shared" si="85"/>
        <v>6.6</v>
      </c>
      <c r="I104" s="4">
        <f t="shared" si="86"/>
        <v>1</v>
      </c>
      <c r="J104" s="348">
        <f t="shared" si="116"/>
        <v>1.6625000000000001</v>
      </c>
      <c r="K104" s="348">
        <f t="shared" si="87"/>
        <v>1.6625000000000001</v>
      </c>
      <c r="L104" s="4">
        <f t="shared" si="88"/>
        <v>0.92361111111111116</v>
      </c>
      <c r="M104" s="348">
        <f t="shared" si="89"/>
        <v>0.50584857601566879</v>
      </c>
      <c r="N104" s="4">
        <f t="shared" si="90"/>
        <v>0.60143191838917942</v>
      </c>
      <c r="O104" s="4">
        <f t="shared" si="117"/>
        <v>1.9632159591945899</v>
      </c>
      <c r="P104" s="4">
        <f t="shared" si="118"/>
        <v>1.3617840408054103</v>
      </c>
      <c r="Q104" s="4">
        <f t="shared" si="91"/>
        <v>0</v>
      </c>
      <c r="R104" s="4">
        <f t="shared" si="119"/>
        <v>1.6715410891464122</v>
      </c>
      <c r="S104" s="348">
        <f t="shared" si="92"/>
        <v>1.1455603412089571E-2</v>
      </c>
      <c r="T104" s="348">
        <f t="shared" si="93"/>
        <v>0.2</v>
      </c>
      <c r="U104" s="348">
        <f t="shared" si="94"/>
        <v>0.21164956929434364</v>
      </c>
      <c r="V104" s="4">
        <f t="shared" si="120"/>
        <v>0.17361843999061288</v>
      </c>
      <c r="W104" s="348">
        <f t="shared" si="121"/>
        <v>3.0143362704774048E-5</v>
      </c>
      <c r="X104" s="348">
        <f t="shared" si="122"/>
        <v>3.0143362704774048E-5</v>
      </c>
      <c r="Y104" s="4">
        <f t="shared" si="123"/>
        <v>0.83571336614789571</v>
      </c>
      <c r="Z104" s="348">
        <f t="shared" si="124"/>
        <v>2.0952504910747402E-3</v>
      </c>
      <c r="AA104" s="525">
        <f t="shared" si="125"/>
        <v>2.0952504910747402E-3</v>
      </c>
      <c r="AB104" s="348">
        <f t="shared" si="126"/>
        <v>1.1888507130434169</v>
      </c>
      <c r="AC104" s="348">
        <f t="shared" si="95"/>
        <v>1.1306928143230728E-2</v>
      </c>
      <c r="AD104" s="348">
        <f t="shared" si="96"/>
        <v>8.7656058842287572E-3</v>
      </c>
      <c r="AE104" s="348">
        <f t="shared" si="97"/>
        <v>3.1326609599999992E-2</v>
      </c>
      <c r="AF104" s="348">
        <f t="shared" si="98"/>
        <v>0</v>
      </c>
      <c r="AG104" s="348">
        <f t="shared" si="99"/>
        <v>5.1527319080195151E-2</v>
      </c>
      <c r="AH104" s="348">
        <f t="shared" si="100"/>
        <v>1.1750249336932954</v>
      </c>
      <c r="AI104" s="348">
        <f t="shared" si="101"/>
        <v>7.5937597714051328E-3</v>
      </c>
      <c r="AJ104" s="348">
        <f t="shared" si="102"/>
        <v>1.5107523199999999E-2</v>
      </c>
      <c r="AK104" s="348">
        <f t="shared" si="103"/>
        <v>2.2739271816266001E-2</v>
      </c>
      <c r="AL104" s="348">
        <f t="shared" si="104"/>
        <v>1.5107523199999999E-2</v>
      </c>
      <c r="AM104" s="348">
        <f t="shared" si="105"/>
        <v>2.5944858719999998E-2</v>
      </c>
      <c r="AN104" s="348">
        <f t="shared" si="106"/>
        <v>6.9851240317619342E-2</v>
      </c>
      <c r="AO104" s="348">
        <f t="shared" si="107"/>
        <v>1.452E-5</v>
      </c>
      <c r="AP104" s="348">
        <f t="shared" si="108"/>
        <v>0.10709952</v>
      </c>
      <c r="AQ104" s="348">
        <f t="shared" si="109"/>
        <v>4.9827049411764704E-2</v>
      </c>
      <c r="AR104" s="348">
        <f t="shared" si="110"/>
        <v>2.5963519999999997E-2</v>
      </c>
      <c r="AS104" s="348">
        <f t="shared" si="133"/>
        <v>0.10711404000000001</v>
      </c>
      <c r="AT104" s="348">
        <f t="shared" si="111"/>
        <v>0.50605921628220363</v>
      </c>
      <c r="AU104">
        <f t="shared" si="112"/>
        <v>5.4862500000000001</v>
      </c>
      <c r="AV104" s="526">
        <f t="shared" si="127"/>
        <v>0.9155485476438453</v>
      </c>
      <c r="AW104" s="534">
        <f t="shared" si="113"/>
        <v>3.7758009209467329</v>
      </c>
      <c r="AX104" s="534">
        <f t="shared" si="114"/>
        <v>1.7215591356626303</v>
      </c>
      <c r="AY104" s="9"/>
      <c r="AZ104" s="4">
        <f t="shared" si="128"/>
        <v>91.55485476438453</v>
      </c>
      <c r="BA104" s="348">
        <f t="shared" si="115"/>
        <v>0.21164956929434364</v>
      </c>
      <c r="BB104" s="348">
        <f t="shared" si="129"/>
        <v>0.10021144961646114</v>
      </c>
      <c r="BC104" s="348">
        <f t="shared" si="130"/>
        <v>6.8650925835395143E-2</v>
      </c>
      <c r="BD104" s="348">
        <f t="shared" si="131"/>
        <v>3.1301075193866004E-2</v>
      </c>
      <c r="BE104" s="348">
        <f t="shared" si="132"/>
        <v>6.9851240317619342E-2</v>
      </c>
      <c r="BK104" s="18"/>
      <c r="BL104" s="19"/>
    </row>
    <row r="105" spans="7:64" x14ac:dyDescent="0.25">
      <c r="G105">
        <v>96</v>
      </c>
      <c r="H105" s="531">
        <f t="shared" si="85"/>
        <v>6.6</v>
      </c>
      <c r="I105" s="4">
        <f t="shared" si="86"/>
        <v>1</v>
      </c>
      <c r="J105" s="348">
        <f t="shared" si="116"/>
        <v>1.68</v>
      </c>
      <c r="K105" s="348">
        <f t="shared" si="87"/>
        <v>1.68</v>
      </c>
      <c r="L105" s="4">
        <f>Vout*K105/(Vin*Efficiency)</f>
        <v>0.93333333333333335</v>
      </c>
      <c r="M105" s="348">
        <f t="shared" si="89"/>
        <v>0.50590978938805031</v>
      </c>
      <c r="N105" s="4">
        <f>(Vin-(Rdson1+Rdcr)*K105-Vout)*M105/(Fsw*Lf)</f>
        <v>0.60146586514939526</v>
      </c>
      <c r="O105" s="4">
        <f t="shared" si="117"/>
        <v>1.9807329325746976</v>
      </c>
      <c r="P105" s="4">
        <f t="shared" si="118"/>
        <v>1.3792670674253023</v>
      </c>
      <c r="Q105" s="4">
        <f>IF(MIN(Vin, -P105/(Coss_Q1+Coss_Q2)*0.00000002)&lt;0, 0, MIN(Vin, -P105/(Coss_Q1+Coss_Q2)*0.00000002))</f>
        <v>0</v>
      </c>
      <c r="R105" s="4">
        <f t="shared" si="119"/>
        <v>1.688948420046724</v>
      </c>
      <c r="S105" s="348">
        <f>R105^2*Rdcr</f>
        <v>1.1695441738871132E-2</v>
      </c>
      <c r="T105" s="348">
        <f t="shared" si="93"/>
        <v>0.2</v>
      </c>
      <c r="U105" s="348">
        <f>(T105+S105*(1+Ltc*(Ta-25)))/(1-S105*Ltc*ThetaCa)</f>
        <v>0.21189369696989077</v>
      </c>
      <c r="V105" s="4">
        <f t="shared" si="120"/>
        <v>0.17362823957618725</v>
      </c>
      <c r="W105" s="348">
        <f t="shared" si="121"/>
        <v>3.0146765578325878E-5</v>
      </c>
      <c r="X105" s="348">
        <f t="shared" si="122"/>
        <v>3.0146765578325878E-5</v>
      </c>
      <c r="Y105" s="4">
        <f t="shared" si="123"/>
        <v>0.84441522040818084</v>
      </c>
      <c r="Z105" s="348">
        <f t="shared" si="124"/>
        <v>2.1391111933709902E-3</v>
      </c>
      <c r="AA105" s="525">
        <f t="shared" si="125"/>
        <v>2.1391111933709902E-3</v>
      </c>
      <c r="AB105" s="348">
        <f t="shared" si="126"/>
        <v>1.2013040137256241</v>
      </c>
      <c r="AC105" s="348">
        <f>Rdson1*AB105^2</f>
        <v>1.1545050667146357E-2</v>
      </c>
      <c r="AD105" s="348">
        <f t="shared" si="96"/>
        <v>8.8578754198522184E-3</v>
      </c>
      <c r="AE105" s="348">
        <f t="shared" si="97"/>
        <v>3.1326609599999992E-2</v>
      </c>
      <c r="AF105" s="348">
        <f t="shared" si="98"/>
        <v>0</v>
      </c>
      <c r="AG105" s="348">
        <f>(AF105+AE105+AD105+AC105*(1+RdsonTopTc*Ta-RdsonTopTc*25))/(1-AC105*RdsonTopTc*ThetaJA_Q1)</f>
        <v>5.1861258675995357E-2</v>
      </c>
      <c r="AH105" s="348">
        <f t="shared" si="100"/>
        <v>1.1871880357319269</v>
      </c>
      <c r="AI105" s="348">
        <f>Rdson2*AH105^2</f>
        <v>7.7517848770176697E-3</v>
      </c>
      <c r="AJ105" s="348">
        <f t="shared" si="102"/>
        <v>1.5266549759999998E-2</v>
      </c>
      <c r="AK105" s="348">
        <f>(AJ105+AI105*(1+RdsonBotTc*Ta-RdsonBotTc*25))/(1-AI105*RdsonBotTc*ThetaJA_Q2)</f>
        <v>2.3057656996314436E-2</v>
      </c>
      <c r="AL105" s="348">
        <f t="shared" si="104"/>
        <v>1.5266549759999998E-2</v>
      </c>
      <c r="AM105" s="348">
        <f t="shared" si="105"/>
        <v>2.6217962495999995E-2</v>
      </c>
      <c r="AN105" s="348">
        <f t="shared" si="106"/>
        <v>7.1313669139458122E-2</v>
      </c>
      <c r="AO105" s="348">
        <f t="shared" si="107"/>
        <v>1.452E-5</v>
      </c>
      <c r="AP105" s="348">
        <f t="shared" si="108"/>
        <v>0.10709952</v>
      </c>
      <c r="AQ105" s="348">
        <f t="shared" si="109"/>
        <v>4.9827049411764704E-2</v>
      </c>
      <c r="AR105" s="348">
        <f t="shared" si="110"/>
        <v>2.5963519999999997E-2</v>
      </c>
      <c r="AS105" s="348">
        <f t="shared" si="133"/>
        <v>0.10711404000000001</v>
      </c>
      <c r="AT105" s="348">
        <f xml:space="preserve"> SUM(U105,X105,AA105,AG105,AK105,AL105,AM105,AS105,AN105)</f>
        <v>0.50889409199660796</v>
      </c>
      <c r="AU105">
        <f t="shared" si="112"/>
        <v>5.5439999999999996</v>
      </c>
      <c r="AV105" s="526">
        <f t="shared" si="127"/>
        <v>0.9159254921262393</v>
      </c>
      <c r="AW105" s="534">
        <f t="shared" si="113"/>
        <v>3.8040812657845442</v>
      </c>
      <c r="AX105" s="534">
        <f t="shared" si="114"/>
        <v>1.7440271540996941</v>
      </c>
      <c r="AY105" s="9"/>
      <c r="AZ105" s="4">
        <f t="shared" si="128"/>
        <v>91.592549212623936</v>
      </c>
      <c r="BA105" s="348">
        <f t="shared" si="115"/>
        <v>0.21189369696989077</v>
      </c>
      <c r="BB105" s="348">
        <f t="shared" si="129"/>
        <v>0.1011368781683098</v>
      </c>
      <c r="BC105" s="348">
        <f t="shared" si="130"/>
        <v>6.9165113923355351E-2</v>
      </c>
      <c r="BD105" s="348">
        <f t="shared" si="131"/>
        <v>3.1709584619994437E-2</v>
      </c>
      <c r="BE105" s="348">
        <f t="shared" si="132"/>
        <v>7.1313669139458122E-2</v>
      </c>
      <c r="BK105" s="18"/>
      <c r="BL105" s="19"/>
    </row>
    <row r="106" spans="7:64" x14ac:dyDescent="0.25">
      <c r="G106">
        <v>97</v>
      </c>
      <c r="H106" s="531">
        <f t="shared" si="85"/>
        <v>6.6</v>
      </c>
      <c r="I106" s="4">
        <f t="shared" si="86"/>
        <v>1</v>
      </c>
      <c r="J106" s="348">
        <f t="shared" si="116"/>
        <v>1.6975</v>
      </c>
      <c r="K106" s="348">
        <f t="shared" si="87"/>
        <v>1.6975</v>
      </c>
      <c r="L106" s="4">
        <f>Vout*K106/(Vin*Efficiency)</f>
        <v>0.94305555555555565</v>
      </c>
      <c r="M106" s="348">
        <f t="shared" si="89"/>
        <v>0.50597099549858726</v>
      </c>
      <c r="N106" s="4">
        <f>(Vin-(Rdson1+Rdcr)*K106-Vout)*M106/(Fsw*Lf)</f>
        <v>0.60149979387932018</v>
      </c>
      <c r="O106" s="4">
        <f t="shared" si="117"/>
        <v>1.99824989693966</v>
      </c>
      <c r="P106" s="4">
        <f t="shared" si="118"/>
        <v>1.39675010306034</v>
      </c>
      <c r="Q106" s="4">
        <f>IF(MIN(Vin, -P106/(Coss_Q1+Coss_Q2)*0.00000002)&lt;0, 0, MIN(Vin, -P106/(Coss_Q1+Coss_Q2)*0.00000002))</f>
        <v>0</v>
      </c>
      <c r="R106" s="4">
        <f t="shared" si="119"/>
        <v>1.706357646226724</v>
      </c>
      <c r="S106" s="348">
        <f>R106^2*Rdcr</f>
        <v>1.1937791309029264E-2</v>
      </c>
      <c r="T106" s="348">
        <f t="shared" si="93"/>
        <v>0.2</v>
      </c>
      <c r="U106" s="348">
        <f>(T106+S106*(1+Ltc*(Ta-25)))/(1-S106*Ltc*ThetaCa)</f>
        <v>0.21214039032566318</v>
      </c>
      <c r="V106" s="4">
        <f t="shared" si="120"/>
        <v>0.17363803395686497</v>
      </c>
      <c r="W106" s="348">
        <f t="shared" si="121"/>
        <v>3.0150166836405393E-5</v>
      </c>
      <c r="X106" s="348">
        <f t="shared" si="122"/>
        <v>3.0150166836405393E-5</v>
      </c>
      <c r="Y106" s="4">
        <f t="shared" si="123"/>
        <v>0.85311798453809662</v>
      </c>
      <c r="Z106" s="348">
        <f t="shared" si="124"/>
        <v>2.1834308866270323E-3</v>
      </c>
      <c r="AA106" s="525">
        <f t="shared" si="125"/>
        <v>2.1834308866270323E-3</v>
      </c>
      <c r="AB106" s="348">
        <f t="shared" si="126"/>
        <v>1.2137601475483391</v>
      </c>
      <c r="AC106" s="348">
        <f>Rdson1*AB106^2</f>
        <v>1.1785709566212527E-2</v>
      </c>
      <c r="AD106" s="348">
        <f t="shared" si="96"/>
        <v>8.9501449554756779E-3</v>
      </c>
      <c r="AE106" s="348">
        <f t="shared" si="97"/>
        <v>3.1326609599999992E-2</v>
      </c>
      <c r="AF106" s="348">
        <f t="shared" si="98"/>
        <v>0</v>
      </c>
      <c r="AG106" s="348">
        <f>(AF106+AE106+AD106+AC106*(1+RdsonTopTc*Ta-RdsonTopTc*25))/(1-AC106*RdsonTopTc*ThetaJA_Q1)</f>
        <v>5.2197805520376693E-2</v>
      </c>
      <c r="AH106" s="348">
        <f t="shared" si="100"/>
        <v>1.199350958251937</v>
      </c>
      <c r="AI106" s="348">
        <f>Rdson2*AH106^2</f>
        <v>7.9114349658291182E-3</v>
      </c>
      <c r="AJ106" s="348">
        <f t="shared" si="102"/>
        <v>1.5425576319999999E-2</v>
      </c>
      <c r="AK106" s="348">
        <f>(AJ106+AI106*(1+RdsonBotTc*Ta-RdsonBotTc*25))/(1-AI106*RdsonBotTc*ThetaJA_Q2)</f>
        <v>2.3377700540473965E-2</v>
      </c>
      <c r="AL106" s="348">
        <f t="shared" si="104"/>
        <v>1.5425576319999999E-2</v>
      </c>
      <c r="AM106" s="348">
        <f t="shared" si="105"/>
        <v>2.6491066271999993E-2</v>
      </c>
      <c r="AN106" s="348">
        <f t="shared" si="106"/>
        <v>7.2791410420910155E-2</v>
      </c>
      <c r="AO106" s="348">
        <f t="shared" si="107"/>
        <v>1.452E-5</v>
      </c>
      <c r="AP106" s="348">
        <f t="shared" si="108"/>
        <v>0.10709952</v>
      </c>
      <c r="AQ106" s="348">
        <f t="shared" si="109"/>
        <v>4.9827049411764704E-2</v>
      </c>
      <c r="AR106" s="348">
        <f t="shared" si="110"/>
        <v>2.5963519999999997E-2</v>
      </c>
      <c r="AS106" s="348">
        <f t="shared" si="133"/>
        <v>0.10711404000000001</v>
      </c>
      <c r="AT106" s="348">
        <f xml:space="preserve"> SUM(U106,X106,AA106,AG106,AK106,AL106,AM106,AS106,AN106)</f>
        <v>0.51175157045288744</v>
      </c>
      <c r="AU106">
        <f t="shared" si="112"/>
        <v>5.60175</v>
      </c>
      <c r="AV106" s="526">
        <f t="shared" si="127"/>
        <v>0.91629157782076476</v>
      </c>
      <c r="AW106" s="534">
        <f t="shared" si="113"/>
        <v>3.832505009294318</v>
      </c>
      <c r="AX106" s="534">
        <f t="shared" si="114"/>
        <v>1.7665863825628678</v>
      </c>
      <c r="AY106" s="9"/>
      <c r="AZ106" s="4">
        <f t="shared" si="128"/>
        <v>91.629157782076476</v>
      </c>
      <c r="BA106" s="348">
        <f t="shared" si="115"/>
        <v>0.21214039032566318</v>
      </c>
      <c r="BB106" s="348">
        <f t="shared" si="129"/>
        <v>0.10206657233285066</v>
      </c>
      <c r="BC106" s="348">
        <f t="shared" si="130"/>
        <v>6.9681909259896688E-2</v>
      </c>
      <c r="BD106" s="348">
        <f t="shared" si="131"/>
        <v>3.2119752410233959E-2</v>
      </c>
      <c r="BE106" s="348">
        <f t="shared" si="132"/>
        <v>7.2791410420910155E-2</v>
      </c>
      <c r="BK106" s="18"/>
      <c r="BL106" s="19"/>
    </row>
    <row r="107" spans="7:64" x14ac:dyDescent="0.25">
      <c r="G107">
        <v>98</v>
      </c>
      <c r="H107" s="531">
        <f t="shared" si="85"/>
        <v>6.6</v>
      </c>
      <c r="I107" s="4">
        <f t="shared" si="86"/>
        <v>1</v>
      </c>
      <c r="J107" s="348">
        <f t="shared" si="116"/>
        <v>1.7150000000000001</v>
      </c>
      <c r="K107" s="348">
        <f t="shared" si="87"/>
        <v>1.7150000000000001</v>
      </c>
      <c r="L107" s="4">
        <f>Vout*K107/(Vin*Efficiency)</f>
        <v>0.95277777777777772</v>
      </c>
      <c r="M107" s="348">
        <f t="shared" si="89"/>
        <v>0.50603219434857183</v>
      </c>
      <c r="N107" s="4">
        <f>(Vin-(Rdson1+Rdcr)*K107-Vout)*M107/(Fsw*Lf)</f>
        <v>0.60153370458216204</v>
      </c>
      <c r="O107" s="4">
        <f t="shared" si="117"/>
        <v>2.015766852291081</v>
      </c>
      <c r="P107" s="4">
        <f t="shared" si="118"/>
        <v>1.4142331477089192</v>
      </c>
      <c r="Q107" s="4">
        <f>IF(MIN(Vin, -P107/(Coss_Q1+Coss_Q2)*0.00000002)&lt;0, 0, MIN(Vin, -P107/(Coss_Q1+Coss_Q2)*0.00000002))</f>
        <v>0</v>
      </c>
      <c r="R107" s="4">
        <f t="shared" si="119"/>
        <v>1.7237687102622059</v>
      </c>
      <c r="S107" s="348">
        <f>R107^2*Rdcr</f>
        <v>1.2182652122564017E-2</v>
      </c>
      <c r="T107" s="348">
        <f t="shared" si="93"/>
        <v>0.2</v>
      </c>
      <c r="U107" s="348">
        <f>(T107+S107*(1+Ltc*(Ta-25)))/(1-S107*Ltc*ThetaCa)</f>
        <v>0.21238964965986318</v>
      </c>
      <c r="V107" s="4">
        <f t="shared" si="120"/>
        <v>0.17364782313357205</v>
      </c>
      <c r="W107" s="348">
        <f t="shared" si="121"/>
        <v>3.0153566479028322E-5</v>
      </c>
      <c r="X107" s="348">
        <f t="shared" si="122"/>
        <v>3.0153566479028322E-5</v>
      </c>
      <c r="Y107" s="4">
        <f t="shared" si="123"/>
        <v>0.86182162944105412</v>
      </c>
      <c r="Z107" s="348">
        <f t="shared" si="124"/>
        <v>2.228209562917301E-3</v>
      </c>
      <c r="AA107" s="525">
        <f t="shared" si="125"/>
        <v>2.228209562917301E-3</v>
      </c>
      <c r="AB107" s="348">
        <f t="shared" si="126"/>
        <v>1.2262190735083582</v>
      </c>
      <c r="AC107" s="348">
        <f>Rdson1*AB107^2</f>
        <v>1.2028905729885573E-2</v>
      </c>
      <c r="AD107" s="348">
        <f t="shared" si="96"/>
        <v>9.0424144910991391E-3</v>
      </c>
      <c r="AE107" s="348">
        <f t="shared" si="97"/>
        <v>3.1326609599999992E-2</v>
      </c>
      <c r="AF107" s="348">
        <f t="shared" si="98"/>
        <v>0</v>
      </c>
      <c r="AG107" s="348">
        <f>(AF107+AE107+AD107+AC107*(1+RdsonTopTc*Ta-RdsonTopTc*25))/(1-AC107*RdsonTopTc*ThetaJA_Q1)</f>
        <v>5.2536961495560947E-2</v>
      </c>
      <c r="AH107" s="348">
        <f t="shared" si="100"/>
        <v>1.211513660774542</v>
      </c>
      <c r="AI107" s="348">
        <f>Rdson2*AH107^2</f>
        <v>8.0727094263383266E-3</v>
      </c>
      <c r="AJ107" s="348">
        <f t="shared" si="102"/>
        <v>1.5584602879999999E-2</v>
      </c>
      <c r="AK107" s="348">
        <f>(AJ107+AI107*(1+RdsonBotTc*Ta-RdsonBotTc*25))/(1-AI107*RdsonBotTc*ThetaJA_Q2)</f>
        <v>2.3699402351866516E-2</v>
      </c>
      <c r="AL107" s="348">
        <f t="shared" si="104"/>
        <v>1.5584602879999999E-2</v>
      </c>
      <c r="AM107" s="348">
        <f t="shared" si="105"/>
        <v>2.6764170047999997E-2</v>
      </c>
      <c r="AN107" s="348">
        <f t="shared" si="106"/>
        <v>7.4284464161975719E-2</v>
      </c>
      <c r="AO107" s="348">
        <f t="shared" si="107"/>
        <v>1.452E-5</v>
      </c>
      <c r="AP107" s="348">
        <f t="shared" si="108"/>
        <v>0.10709952</v>
      </c>
      <c r="AQ107" s="348">
        <f t="shared" si="109"/>
        <v>4.9827049411764704E-2</v>
      </c>
      <c r="AR107" s="348">
        <f t="shared" si="110"/>
        <v>2.5963519999999997E-2</v>
      </c>
      <c r="AS107" s="348">
        <f t="shared" si="133"/>
        <v>0.10711404000000001</v>
      </c>
      <c r="AT107" s="348">
        <f xml:space="preserve"> SUM(U107,X107,AA107,AG107,AK107,AL107,AM107,AS107,AN107)</f>
        <v>0.51463165372666275</v>
      </c>
      <c r="AU107">
        <f t="shared" si="112"/>
        <v>5.6594999999999995</v>
      </c>
      <c r="AV107" s="526">
        <f t="shared" si="127"/>
        <v>0.91664712017988237</v>
      </c>
      <c r="AW107" s="534">
        <f t="shared" si="113"/>
        <v>3.8610722549982524</v>
      </c>
      <c r="AX107" s="534">
        <f t="shared" si="114"/>
        <v>1.7892368157238585</v>
      </c>
      <c r="AY107" s="9"/>
      <c r="AZ107" s="4">
        <f t="shared" si="128"/>
        <v>91.664712017988236</v>
      </c>
      <c r="BA107" s="348">
        <f t="shared" si="115"/>
        <v>0.21238964965986318</v>
      </c>
      <c r="BB107" s="348">
        <f t="shared" si="129"/>
        <v>0.10300053389542746</v>
      </c>
      <c r="BC107" s="348">
        <f t="shared" si="130"/>
        <v>7.0201313727240949E-2</v>
      </c>
      <c r="BD107" s="348">
        <f t="shared" si="131"/>
        <v>3.2531578467706518E-2</v>
      </c>
      <c r="BE107" s="348">
        <f t="shared" si="132"/>
        <v>7.4284464161975719E-2</v>
      </c>
      <c r="BK107" s="18"/>
      <c r="BL107" s="19"/>
    </row>
    <row r="108" spans="7:64" x14ac:dyDescent="0.25">
      <c r="G108">
        <v>99</v>
      </c>
      <c r="H108" s="531">
        <f t="shared" si="85"/>
        <v>6.6</v>
      </c>
      <c r="I108" s="4">
        <f t="shared" si="86"/>
        <v>1</v>
      </c>
      <c r="J108" s="348">
        <f t="shared" si="116"/>
        <v>1.7324999999999999</v>
      </c>
      <c r="K108" s="348">
        <f t="shared" si="87"/>
        <v>1.7324999999999999</v>
      </c>
      <c r="L108" s="4">
        <f>Vout*K108/(Vin*Efficiency)</f>
        <v>0.96249999999999991</v>
      </c>
      <c r="M108" s="348">
        <f t="shared" si="89"/>
        <v>0.50609338593929598</v>
      </c>
      <c r="N108" s="4">
        <f>(Vin-(Rdson1+Rdcr)*K108-Vout)*M108/(Fsw*Lf)</f>
        <v>0.60156759726112885</v>
      </c>
      <c r="O108" s="4">
        <f t="shared" si="117"/>
        <v>2.0332837986305643</v>
      </c>
      <c r="P108" s="4">
        <f t="shared" si="118"/>
        <v>1.4317162013694356</v>
      </c>
      <c r="Q108" s="4">
        <f>IF(MIN(Vin, -P108/(Coss_Q1+Coss_Q2)*0.00000002)&lt;0, 0, MIN(Vin, -P108/(Coss_Q1+Coss_Q2)*0.00000002))</f>
        <v>0</v>
      </c>
      <c r="R108" s="4">
        <f t="shared" si="119"/>
        <v>1.7411815570198905</v>
      </c>
      <c r="S108" s="348">
        <f>R108^2*Rdcr</f>
        <v>1.2430024179475462E-2</v>
      </c>
      <c r="T108" s="348">
        <f t="shared" si="93"/>
        <v>0.2</v>
      </c>
      <c r="U108" s="348">
        <f>(T108+S108*(1+Ltc*(Ta-25)))/(1-S108*Ltc*ThetaCa)</f>
        <v>0.21264147527381252</v>
      </c>
      <c r="V108" s="4">
        <f t="shared" si="120"/>
        <v>0.17365760710723457</v>
      </c>
      <c r="W108" s="348">
        <f t="shared" si="121"/>
        <v>3.0156964506210648E-5</v>
      </c>
      <c r="X108" s="348">
        <f t="shared" si="122"/>
        <v>3.0156964506210648E-5</v>
      </c>
      <c r="Y108" s="4">
        <f t="shared" si="123"/>
        <v>0.87052612716610978</v>
      </c>
      <c r="Z108" s="348">
        <f t="shared" si="124"/>
        <v>2.273447214236478E-3</v>
      </c>
      <c r="AA108" s="525">
        <f t="shared" si="125"/>
        <v>2.273447214236478E-3</v>
      </c>
      <c r="AB108" s="348">
        <f t="shared" si="126"/>
        <v>1.2386807522224421</v>
      </c>
      <c r="AC108" s="348">
        <f>Rdson1*AB108^2</f>
        <v>1.2274640047410839E-2</v>
      </c>
      <c r="AD108" s="348">
        <f t="shared" si="96"/>
        <v>9.1346840267225986E-3</v>
      </c>
      <c r="AE108" s="348">
        <f t="shared" si="97"/>
        <v>3.1326609599999992E-2</v>
      </c>
      <c r="AF108" s="348">
        <f t="shared" si="98"/>
        <v>0</v>
      </c>
      <c r="AG108" s="348">
        <f>(AF108+AE108+AD108+AC108*(1+RdsonTopTc*Ta-RdsonTopTc*25))/(1-AC108*RdsonTopTc*ThetaJA_Q1)</f>
        <v>5.2878728492984986E-2</v>
      </c>
      <c r="AH108" s="348">
        <f t="shared" si="100"/>
        <v>1.2236761044409812</v>
      </c>
      <c r="AI108" s="348">
        <f>Rdson2*AH108^2</f>
        <v>8.2356076471892022E-3</v>
      </c>
      <c r="AJ108" s="348">
        <f t="shared" si="102"/>
        <v>1.5743629439999997E-2</v>
      </c>
      <c r="AK108" s="348">
        <f>(AJ108+AI108*(1+RdsonBotTc*Ta-RdsonBotTc*25))/(1-AI108*RdsonBotTc*ThetaJA_Q2)</f>
        <v>2.4022762337135472E-2</v>
      </c>
      <c r="AL108" s="348">
        <f t="shared" si="104"/>
        <v>1.5743629439999997E-2</v>
      </c>
      <c r="AM108" s="348">
        <f t="shared" si="105"/>
        <v>2.7037273823999994E-2</v>
      </c>
      <c r="AN108" s="348">
        <f t="shared" si="106"/>
        <v>7.5792830362655272E-2</v>
      </c>
      <c r="AO108" s="348">
        <f t="shared" si="107"/>
        <v>1.452E-5</v>
      </c>
      <c r="AP108" s="348">
        <f t="shared" si="108"/>
        <v>0.10709952</v>
      </c>
      <c r="AQ108" s="348">
        <f t="shared" si="109"/>
        <v>4.9827049411764704E-2</v>
      </c>
      <c r="AR108" s="348">
        <f t="shared" si="110"/>
        <v>2.5963519999999997E-2</v>
      </c>
      <c r="AS108" s="348">
        <f t="shared" si="133"/>
        <v>0.10711404000000001</v>
      </c>
      <c r="AT108" s="348">
        <f xml:space="preserve"> SUM(U108,X108,AA108,AG108,AK108,AL108,AM108,AS108,AN108)</f>
        <v>0.51753434390933095</v>
      </c>
      <c r="AU108">
        <f t="shared" si="112"/>
        <v>5.7172499999999991</v>
      </c>
      <c r="AV108" s="526">
        <f t="shared" si="127"/>
        <v>0.91699242261444014</v>
      </c>
      <c r="AW108" s="534">
        <f t="shared" si="113"/>
        <v>3.8897831069253739</v>
      </c>
      <c r="AX108" s="534">
        <f t="shared" si="114"/>
        <v>1.8119784484480508</v>
      </c>
      <c r="AY108" s="9"/>
      <c r="AZ108" s="4">
        <f t="shared" si="128"/>
        <v>91.699242261444013</v>
      </c>
      <c r="BA108" s="348">
        <f t="shared" si="115"/>
        <v>0.21264147527381252</v>
      </c>
      <c r="BB108" s="348">
        <f t="shared" si="129"/>
        <v>0.10393876465412046</v>
      </c>
      <c r="BC108" s="348">
        <f t="shared" si="130"/>
        <v>7.0723329216824976E-2</v>
      </c>
      <c r="BD108" s="348">
        <f t="shared" si="131"/>
        <v>3.294506269905547E-2</v>
      </c>
      <c r="BE108" s="348">
        <f t="shared" si="132"/>
        <v>7.5792830362655272E-2</v>
      </c>
      <c r="BK108" s="18"/>
      <c r="BL108" s="19"/>
    </row>
    <row r="109" spans="7:64" x14ac:dyDescent="0.25">
      <c r="G109">
        <v>100</v>
      </c>
      <c r="H109" s="531">
        <f t="shared" si="85"/>
        <v>6.6</v>
      </c>
      <c r="I109" s="4">
        <f t="shared" si="86"/>
        <v>1</v>
      </c>
      <c r="J109" s="348">
        <f t="shared" si="116"/>
        <v>1.75</v>
      </c>
      <c r="K109" s="348">
        <f t="shared" si="87"/>
        <v>1.75</v>
      </c>
      <c r="L109" s="4">
        <f>Vout*K109/(Vin*Efficiency)</f>
        <v>0.97222222222222221</v>
      </c>
      <c r="M109" s="348">
        <f t="shared" si="89"/>
        <v>0.50615457027205124</v>
      </c>
      <c r="N109" s="4">
        <f>(Vin-(Rdson1+Rdcr)*K109-Vout)*M109/(Fsw*Lf)</f>
        <v>0.60160147191942714</v>
      </c>
      <c r="O109" s="4">
        <f t="shared" si="117"/>
        <v>2.0508007359597134</v>
      </c>
      <c r="P109" s="4">
        <f t="shared" si="118"/>
        <v>1.4491992640402864</v>
      </c>
      <c r="Q109" s="4">
        <f>IF(MIN(Vin, -P109/(Coss_Q1+Coss_Q2)*0.00000002)&lt;0, 0, MIN(Vin, -P109/(Coss_Q1+Coss_Q2)*0.00000002))</f>
        <v>0</v>
      </c>
      <c r="R109" s="4">
        <f t="shared" si="119"/>
        <v>1.7585961335445863</v>
      </c>
      <c r="S109" s="348">
        <f>R109^2*Rdcr</f>
        <v>1.2679907479763669E-2</v>
      </c>
      <c r="T109" s="348">
        <f t="shared" si="93"/>
        <v>0.2</v>
      </c>
      <c r="U109" s="348">
        <f>(T109+S109*(1+Ltc*(Ta-25)))/(1-S109*Ltc*ThetaCa)</f>
        <v>0.21289586747195316</v>
      </c>
      <c r="V109" s="4">
        <f t="shared" si="120"/>
        <v>0.1736673858787782</v>
      </c>
      <c r="W109" s="348">
        <f t="shared" si="121"/>
        <v>3.0160360917968451E-5</v>
      </c>
      <c r="X109" s="348">
        <f t="shared" si="122"/>
        <v>3.0160360917968451E-5</v>
      </c>
      <c r="Y109" s="4">
        <f t="shared" si="123"/>
        <v>0.87923145085154542</v>
      </c>
      <c r="Z109" s="348">
        <f t="shared" si="124"/>
        <v>2.3191438324995407E-3</v>
      </c>
      <c r="AA109" s="525">
        <f t="shared" si="125"/>
        <v>2.3191438324995407E-3</v>
      </c>
      <c r="AB109" s="348">
        <f t="shared" si="126"/>
        <v>1.2511451458475318</v>
      </c>
      <c r="AC109" s="348">
        <f>Rdson1*AB109^2</f>
        <v>1.2522913407822732E-2</v>
      </c>
      <c r="AD109" s="348">
        <f t="shared" si="96"/>
        <v>9.2269535623460599E-3</v>
      </c>
      <c r="AE109" s="348">
        <f t="shared" si="97"/>
        <v>3.1326609599999992E-2</v>
      </c>
      <c r="AF109" s="348">
        <f t="shared" si="98"/>
        <v>0</v>
      </c>
      <c r="AG109" s="348">
        <f>(AF109+AE109+AD109+AC109*(1+RdsonTopTc*Ta-RdsonTopTc*25))/(1-AC109*RdsonTopTc*ThetaJA_Q1)</f>
        <v>5.3223108413318919E-2</v>
      </c>
      <c r="AH109" s="348">
        <f t="shared" si="100"/>
        <v>1.2358382519327225</v>
      </c>
      <c r="AI109" s="348">
        <f>Rdson2*AH109^2</f>
        <v>8.4001290171706999E-3</v>
      </c>
      <c r="AJ109" s="348">
        <f t="shared" si="102"/>
        <v>1.5902655999999998E-2</v>
      </c>
      <c r="AK109" s="348">
        <f>(AJ109+AI109*(1+RdsonBotTc*Ta-RdsonBotTc*25))/(1-AI109*RdsonBotTc*ThetaJA_Q2)</f>
        <v>2.4347780406443784E-2</v>
      </c>
      <c r="AL109" s="348">
        <f t="shared" si="104"/>
        <v>1.5902655999999998E-2</v>
      </c>
      <c r="AM109" s="348">
        <f t="shared" si="105"/>
        <v>2.7310377599999994E-2</v>
      </c>
      <c r="AN109" s="348">
        <f t="shared" si="106"/>
        <v>7.7316509022949217E-2</v>
      </c>
      <c r="AO109" s="348">
        <f t="shared" si="107"/>
        <v>1.452E-5</v>
      </c>
      <c r="AP109" s="348">
        <f t="shared" si="108"/>
        <v>0.10709952</v>
      </c>
      <c r="AQ109" s="348">
        <f t="shared" si="109"/>
        <v>4.9827049411764704E-2</v>
      </c>
      <c r="AR109" s="348">
        <f t="shared" si="110"/>
        <v>2.5963519999999997E-2</v>
      </c>
      <c r="AS109" s="348">
        <f t="shared" si="133"/>
        <v>0.10711404000000001</v>
      </c>
      <c r="AT109" s="348">
        <f xml:space="preserve"> SUM(U109,X109,AA109,AG109,AK109,AL109,AM109,AS109,AN109)</f>
        <v>0.52045964310808257</v>
      </c>
      <c r="AU109">
        <f t="shared" si="112"/>
        <v>5.7749999999999995</v>
      </c>
      <c r="AV109" s="526">
        <f t="shared" si="127"/>
        <v>0.91732777706265622</v>
      </c>
      <c r="AW109" s="534">
        <f t="shared" si="113"/>
        <v>3.9186376696125405</v>
      </c>
      <c r="AX109" s="534">
        <f t="shared" si="114"/>
        <v>1.8348112757944082</v>
      </c>
      <c r="AY109" s="9"/>
      <c r="AZ109" s="4">
        <f t="shared" si="128"/>
        <v>91.732777706265622</v>
      </c>
      <c r="BA109" s="348">
        <f t="shared" si="115"/>
        <v>0.21289586747195316</v>
      </c>
      <c r="BB109" s="348">
        <f t="shared" si="129"/>
        <v>0.1048812664197627</v>
      </c>
      <c r="BC109" s="348">
        <f t="shared" si="130"/>
        <v>7.1247957629318917E-2</v>
      </c>
      <c r="BD109" s="348">
        <f t="shared" si="131"/>
        <v>3.3360205014443783E-2</v>
      </c>
      <c r="BE109" s="348">
        <f t="shared" si="132"/>
        <v>7.7316509022949217E-2</v>
      </c>
      <c r="BK109" s="18"/>
      <c r="BL109" s="19"/>
    </row>
    <row r="110" spans="7:64" x14ac:dyDescent="0.25">
      <c r="H110" s="531"/>
      <c r="I110" s="4"/>
      <c r="J110" s="4"/>
      <c r="L110" s="4"/>
      <c r="R110" s="348"/>
      <c r="S110" s="348"/>
      <c r="T110" s="348"/>
      <c r="U110" s="348"/>
      <c r="W110" s="348"/>
      <c r="X110" s="348"/>
      <c r="Y110" s="348"/>
      <c r="Z110" s="348"/>
      <c r="AA110" s="525"/>
      <c r="AB110" s="348"/>
      <c r="AC110" s="348"/>
      <c r="AD110" s="348"/>
      <c r="AE110" s="348"/>
      <c r="AG110" s="348"/>
      <c r="AH110" s="348"/>
      <c r="AI110" s="348"/>
      <c r="AJ110" s="348"/>
      <c r="AK110" s="348"/>
      <c r="AL110" s="348"/>
      <c r="AM110" s="348"/>
      <c r="AN110" s="348"/>
      <c r="AO110" s="348"/>
      <c r="AP110" s="348"/>
      <c r="AQ110" s="348"/>
      <c r="AR110" s="348"/>
      <c r="AS110" s="348"/>
      <c r="AT110" s="348"/>
      <c r="AV110" s="526"/>
      <c r="AW110" s="534"/>
      <c r="AX110" s="534"/>
      <c r="AY110" s="9"/>
      <c r="AZ110" s="48"/>
      <c r="BA110" s="348"/>
      <c r="BB110" s="348"/>
      <c r="BC110" s="348"/>
      <c r="BD110" s="348"/>
      <c r="BE110" s="348"/>
    </row>
    <row r="111" spans="7:64" x14ac:dyDescent="0.25">
      <c r="H111" s="531"/>
      <c r="I111" s="4"/>
      <c r="J111" s="4"/>
      <c r="L111" s="4"/>
      <c r="R111" s="348"/>
      <c r="S111" s="348"/>
      <c r="T111" s="348"/>
      <c r="U111" s="348"/>
      <c r="W111" s="348"/>
      <c r="X111" s="348"/>
      <c r="Y111" s="348"/>
      <c r="Z111" s="348"/>
      <c r="AA111" s="525"/>
      <c r="AB111" s="348"/>
      <c r="AC111" s="348"/>
      <c r="AD111" s="348"/>
      <c r="AE111" s="348"/>
      <c r="AG111" s="348"/>
      <c r="AH111" s="348"/>
      <c r="AI111" s="348"/>
      <c r="AJ111" s="348"/>
      <c r="AK111" s="348"/>
      <c r="AL111" s="348"/>
      <c r="AM111" s="348"/>
      <c r="AN111" s="348"/>
      <c r="AO111" s="348"/>
      <c r="AP111" s="348"/>
      <c r="AQ111" s="348"/>
      <c r="AR111" s="348"/>
      <c r="AS111" s="348"/>
      <c r="AT111" s="348"/>
      <c r="AV111" s="526"/>
      <c r="AW111" s="534"/>
      <c r="AX111" s="534"/>
      <c r="AY111" s="9"/>
      <c r="AZ111" s="48"/>
      <c r="BA111" s="348"/>
      <c r="BB111" s="348"/>
      <c r="BC111" s="348"/>
      <c r="BD111" s="348"/>
      <c r="BE111" s="348"/>
    </row>
    <row r="112" spans="7:64" x14ac:dyDescent="0.25">
      <c r="H112" s="531"/>
      <c r="I112" s="4"/>
      <c r="J112" s="4"/>
      <c r="L112" s="4"/>
      <c r="R112" s="348"/>
      <c r="S112" s="348"/>
      <c r="T112" s="348"/>
      <c r="U112" s="348"/>
      <c r="W112" s="348"/>
      <c r="X112" s="348"/>
      <c r="Y112" s="348"/>
      <c r="Z112" s="348"/>
      <c r="AA112" s="525"/>
      <c r="AB112" s="348"/>
      <c r="AC112" s="348"/>
      <c r="AD112" s="348"/>
      <c r="AE112" s="348"/>
      <c r="AG112" s="348"/>
      <c r="AH112" s="348"/>
      <c r="AI112" s="348"/>
      <c r="AJ112" s="348"/>
      <c r="AK112" s="348"/>
      <c r="AL112" s="348"/>
      <c r="AM112" s="348"/>
      <c r="AN112" s="348"/>
      <c r="AO112" s="348"/>
      <c r="AP112" s="348"/>
      <c r="AQ112" s="348"/>
      <c r="AR112" s="348"/>
      <c r="AS112" s="348"/>
      <c r="AT112" s="348"/>
      <c r="AV112" s="526"/>
      <c r="AW112" s="534"/>
      <c r="AX112" s="534"/>
      <c r="AY112" s="9"/>
      <c r="AZ112" s="48"/>
      <c r="BA112" s="348"/>
      <c r="BB112" s="348"/>
      <c r="BC112" s="348"/>
      <c r="BD112" s="348"/>
      <c r="BE112" s="348"/>
    </row>
    <row r="113" spans="8:57" x14ac:dyDescent="0.25">
      <c r="H113" s="531"/>
      <c r="I113" s="4"/>
      <c r="J113" s="4"/>
      <c r="L113" s="4"/>
      <c r="R113" s="348"/>
      <c r="S113" s="348"/>
      <c r="T113" s="348"/>
      <c r="U113" s="348"/>
      <c r="W113" s="348"/>
      <c r="X113" s="348"/>
      <c r="Y113" s="348"/>
      <c r="Z113" s="348"/>
      <c r="AA113" s="525"/>
      <c r="AB113" s="348"/>
      <c r="AC113" s="348"/>
      <c r="AD113" s="348"/>
      <c r="AE113" s="348"/>
      <c r="AG113" s="348"/>
      <c r="AH113" s="348"/>
      <c r="AI113" s="348"/>
      <c r="AJ113" s="348"/>
      <c r="AK113" s="348"/>
      <c r="AL113" s="348"/>
      <c r="AM113" s="348"/>
      <c r="AN113" s="348"/>
      <c r="AO113" s="348"/>
      <c r="AP113" s="348"/>
      <c r="AQ113" s="348"/>
      <c r="AR113" s="348"/>
      <c r="AS113" s="348"/>
      <c r="AT113" s="348"/>
      <c r="AV113" s="526"/>
      <c r="AW113" s="534"/>
      <c r="AX113" s="534"/>
      <c r="AY113" s="9"/>
      <c r="AZ113" s="48"/>
      <c r="BA113" s="348"/>
      <c r="BB113" s="348"/>
      <c r="BC113" s="348"/>
      <c r="BD113" s="348"/>
      <c r="BE113" s="348"/>
    </row>
    <row r="114" spans="8:57" x14ac:dyDescent="0.25">
      <c r="H114" s="531"/>
      <c r="I114" s="4"/>
      <c r="J114" s="4"/>
      <c r="L114" s="4"/>
      <c r="R114" s="348"/>
      <c r="S114" s="348"/>
      <c r="T114" s="348"/>
      <c r="U114" s="348"/>
      <c r="W114" s="348"/>
      <c r="X114" s="348"/>
      <c r="Y114" s="348"/>
      <c r="Z114" s="348"/>
      <c r="AA114" s="525"/>
      <c r="AB114" s="348"/>
      <c r="AC114" s="348"/>
      <c r="AD114" s="348"/>
      <c r="AE114" s="348"/>
      <c r="AG114" s="348"/>
      <c r="AH114" s="348"/>
      <c r="AI114" s="348"/>
      <c r="AJ114" s="348"/>
      <c r="AK114" s="348"/>
      <c r="AL114" s="348"/>
      <c r="AM114" s="348"/>
      <c r="AN114" s="348"/>
      <c r="AO114" s="348"/>
      <c r="AP114" s="348"/>
      <c r="AQ114" s="348"/>
      <c r="AR114" s="348"/>
      <c r="AS114" s="348"/>
      <c r="AT114" s="348"/>
      <c r="AV114" s="526"/>
      <c r="AW114" s="534"/>
      <c r="AX114" s="534"/>
      <c r="AY114" s="9"/>
      <c r="AZ114" s="48"/>
      <c r="BA114" s="348"/>
      <c r="BB114" s="348"/>
      <c r="BC114" s="348"/>
      <c r="BD114" s="348"/>
      <c r="BE114" s="348"/>
    </row>
    <row r="115" spans="8:57" x14ac:dyDescent="0.25">
      <c r="H115" s="531"/>
      <c r="I115" s="4"/>
      <c r="J115" s="4"/>
      <c r="L115" s="4"/>
      <c r="R115" s="348"/>
      <c r="S115" s="348"/>
      <c r="T115" s="348"/>
      <c r="U115" s="348"/>
      <c r="W115" s="348"/>
      <c r="X115" s="348"/>
      <c r="Y115" s="348"/>
      <c r="Z115" s="348"/>
      <c r="AA115" s="525"/>
      <c r="AB115" s="348"/>
      <c r="AC115" s="348"/>
      <c r="AD115" s="348"/>
      <c r="AE115" s="348"/>
      <c r="AG115" s="348"/>
      <c r="AH115" s="348"/>
      <c r="AI115" s="348"/>
      <c r="AJ115" s="348"/>
      <c r="AK115" s="348"/>
      <c r="AL115" s="348"/>
      <c r="AM115" s="348"/>
      <c r="AN115" s="348"/>
      <c r="AO115" s="348"/>
      <c r="AP115" s="348"/>
      <c r="AQ115" s="348"/>
      <c r="AR115" s="348"/>
      <c r="AS115" s="348"/>
      <c r="AT115" s="348"/>
      <c r="AV115" s="526"/>
      <c r="AW115" s="534"/>
      <c r="AX115" s="534"/>
      <c r="AY115" s="9"/>
      <c r="AZ115" s="48"/>
      <c r="BA115" s="348"/>
      <c r="BB115" s="348"/>
      <c r="BC115" s="348"/>
      <c r="BD115" s="348"/>
      <c r="BE115" s="348"/>
    </row>
    <row r="116" spans="8:57" x14ac:dyDescent="0.25">
      <c r="H116" s="531"/>
      <c r="I116" s="4"/>
      <c r="J116" s="4"/>
      <c r="L116" s="4"/>
      <c r="R116" s="348"/>
      <c r="S116" s="348"/>
      <c r="T116" s="348"/>
      <c r="U116" s="348"/>
      <c r="W116" s="348"/>
      <c r="X116" s="348"/>
      <c r="Y116" s="348"/>
      <c r="Z116" s="348"/>
      <c r="AA116" s="525"/>
      <c r="AB116" s="348"/>
      <c r="AC116" s="348"/>
      <c r="AD116" s="348"/>
      <c r="AE116" s="348"/>
      <c r="AG116" s="348"/>
      <c r="AH116" s="348"/>
      <c r="AI116" s="348"/>
      <c r="AJ116" s="348"/>
      <c r="AK116" s="348"/>
      <c r="AL116" s="348"/>
      <c r="AM116" s="348"/>
      <c r="AN116" s="348"/>
      <c r="AO116" s="348"/>
      <c r="AP116" s="348"/>
      <c r="AQ116" s="348"/>
      <c r="AR116" s="348"/>
      <c r="AS116" s="348"/>
      <c r="AT116" s="348"/>
      <c r="AV116" s="526"/>
      <c r="AW116" s="534"/>
      <c r="AX116" s="534"/>
      <c r="AY116" s="9"/>
      <c r="AZ116" s="48"/>
      <c r="BA116" s="348"/>
      <c r="BB116" s="348"/>
      <c r="BC116" s="348"/>
      <c r="BD116" s="348"/>
      <c r="BE116" s="348"/>
    </row>
    <row r="117" spans="8:57" x14ac:dyDescent="0.25">
      <c r="H117" s="531"/>
      <c r="I117" s="4"/>
      <c r="J117" s="4"/>
      <c r="L117" s="4"/>
      <c r="R117" s="348"/>
      <c r="S117" s="348"/>
      <c r="T117" s="348"/>
      <c r="U117" s="348"/>
      <c r="W117" s="348"/>
      <c r="X117" s="348"/>
      <c r="Y117" s="348"/>
      <c r="Z117" s="348"/>
      <c r="AA117" s="525"/>
      <c r="AB117" s="348"/>
      <c r="AC117" s="348"/>
      <c r="AD117" s="348"/>
      <c r="AE117" s="348"/>
      <c r="AG117" s="348"/>
      <c r="AH117" s="348"/>
      <c r="AI117" s="348"/>
      <c r="AJ117" s="348"/>
      <c r="AK117" s="348"/>
      <c r="AL117" s="348"/>
      <c r="AM117" s="348"/>
      <c r="AN117" s="348"/>
      <c r="AO117" s="348"/>
      <c r="AP117" s="348"/>
      <c r="AQ117" s="348"/>
      <c r="AR117" s="348"/>
      <c r="AS117" s="348"/>
      <c r="AT117" s="348"/>
      <c r="AV117" s="526"/>
      <c r="AW117" s="534"/>
      <c r="AX117" s="534"/>
      <c r="AY117" s="9"/>
      <c r="AZ117" s="48"/>
      <c r="BA117" s="348"/>
      <c r="BB117" s="348"/>
      <c r="BC117" s="348"/>
      <c r="BD117" s="348"/>
      <c r="BE117" s="348"/>
    </row>
    <row r="118" spans="8:57" x14ac:dyDescent="0.25">
      <c r="H118" s="531"/>
      <c r="I118" s="4"/>
      <c r="J118" s="4"/>
      <c r="L118" s="4"/>
      <c r="R118" s="348"/>
      <c r="S118" s="348"/>
      <c r="T118" s="348"/>
      <c r="U118" s="348"/>
      <c r="W118" s="348"/>
      <c r="X118" s="348"/>
      <c r="Y118" s="348"/>
      <c r="Z118" s="348"/>
      <c r="AA118" s="525"/>
      <c r="AB118" s="348"/>
      <c r="AC118" s="348"/>
      <c r="AD118" s="348"/>
      <c r="AE118" s="348"/>
      <c r="AG118" s="348"/>
      <c r="AH118" s="348"/>
      <c r="AI118" s="348"/>
      <c r="AJ118" s="348"/>
      <c r="AK118" s="348"/>
      <c r="AL118" s="348"/>
      <c r="AM118" s="348"/>
      <c r="AN118" s="348"/>
      <c r="AO118" s="348"/>
      <c r="AP118" s="348"/>
      <c r="AQ118" s="348"/>
      <c r="AR118" s="348"/>
      <c r="AS118" s="348"/>
      <c r="AT118" s="348"/>
      <c r="AV118" s="526"/>
      <c r="AW118" s="534"/>
      <c r="AX118" s="534"/>
      <c r="AY118" s="9"/>
      <c r="AZ118" s="48"/>
      <c r="BA118" s="348"/>
      <c r="BB118" s="348"/>
      <c r="BC118" s="348"/>
      <c r="BD118" s="348"/>
      <c r="BE118" s="348"/>
    </row>
    <row r="119" spans="8:57" x14ac:dyDescent="0.25">
      <c r="H119" s="531"/>
      <c r="I119" s="4"/>
      <c r="J119" s="4"/>
      <c r="L119" s="4"/>
      <c r="R119" s="348"/>
      <c r="S119" s="348"/>
      <c r="T119" s="348"/>
      <c r="U119" s="348"/>
      <c r="W119" s="348"/>
      <c r="X119" s="348"/>
      <c r="Y119" s="348"/>
      <c r="Z119" s="348"/>
      <c r="AA119" s="525"/>
      <c r="AB119" s="348"/>
      <c r="AC119" s="348"/>
      <c r="AD119" s="348"/>
      <c r="AE119" s="348"/>
      <c r="AG119" s="348"/>
      <c r="AH119" s="348"/>
      <c r="AI119" s="348"/>
      <c r="AJ119" s="348"/>
      <c r="AK119" s="348"/>
      <c r="AL119" s="348"/>
      <c r="AM119" s="348"/>
      <c r="AN119" s="348"/>
      <c r="AO119" s="348"/>
      <c r="AP119" s="348"/>
      <c r="AQ119" s="348"/>
      <c r="AR119" s="348"/>
      <c r="AS119" s="348"/>
      <c r="AT119" s="348"/>
      <c r="AV119" s="526"/>
      <c r="AW119" s="534"/>
      <c r="AX119" s="534"/>
      <c r="AY119" s="9"/>
      <c r="AZ119" s="48"/>
      <c r="BA119" s="348"/>
      <c r="BB119" s="348"/>
      <c r="BC119" s="348"/>
      <c r="BD119" s="348"/>
      <c r="BE119" s="348"/>
    </row>
    <row r="120" spans="8:57" x14ac:dyDescent="0.25">
      <c r="H120" s="531"/>
      <c r="I120" s="4"/>
      <c r="J120" s="4"/>
      <c r="L120" s="4"/>
      <c r="R120" s="348"/>
      <c r="S120" s="348"/>
      <c r="T120" s="348"/>
      <c r="U120" s="348"/>
      <c r="W120" s="348"/>
      <c r="X120" s="348"/>
      <c r="Y120" s="348"/>
      <c r="Z120" s="348"/>
      <c r="AA120" s="525"/>
      <c r="AB120" s="348"/>
      <c r="AC120" s="348"/>
      <c r="AD120" s="348"/>
      <c r="AE120" s="348"/>
      <c r="AG120" s="348"/>
      <c r="AH120" s="348"/>
      <c r="AI120" s="348"/>
      <c r="AJ120" s="348"/>
      <c r="AK120" s="348"/>
      <c r="AL120" s="348"/>
      <c r="AM120" s="348"/>
      <c r="AN120" s="348"/>
      <c r="AO120" s="348"/>
      <c r="AP120" s="348"/>
      <c r="AQ120" s="348"/>
      <c r="AR120" s="348"/>
      <c r="AS120" s="348"/>
      <c r="AT120" s="348"/>
      <c r="AV120" s="526"/>
      <c r="AW120" s="534"/>
      <c r="AX120" s="534"/>
      <c r="AY120" s="9"/>
      <c r="AZ120" s="48"/>
      <c r="BA120" s="348"/>
      <c r="BB120" s="348"/>
      <c r="BC120" s="348"/>
      <c r="BD120" s="348"/>
      <c r="BE120" s="348"/>
    </row>
    <row r="121" spans="8:57" x14ac:dyDescent="0.25">
      <c r="H121" s="531"/>
      <c r="I121" s="4"/>
      <c r="J121" s="4"/>
      <c r="L121" s="4"/>
      <c r="R121" s="348"/>
      <c r="S121" s="348"/>
      <c r="T121" s="348"/>
      <c r="U121" s="348"/>
      <c r="W121" s="348"/>
      <c r="X121" s="348"/>
      <c r="Y121" s="348"/>
      <c r="Z121" s="348"/>
      <c r="AA121" s="525"/>
      <c r="AB121" s="348"/>
      <c r="AC121" s="348"/>
      <c r="AD121" s="348"/>
      <c r="AE121" s="348"/>
      <c r="AG121" s="348"/>
      <c r="AH121" s="348"/>
      <c r="AI121" s="348"/>
      <c r="AJ121" s="348"/>
      <c r="AK121" s="348"/>
      <c r="AL121" s="348"/>
      <c r="AM121" s="348"/>
      <c r="AN121" s="348"/>
      <c r="AO121" s="348"/>
      <c r="AP121" s="348"/>
      <c r="AQ121" s="348"/>
      <c r="AR121" s="348"/>
      <c r="AS121" s="348"/>
      <c r="AT121" s="348"/>
      <c r="AV121" s="526"/>
      <c r="AW121" s="534"/>
      <c r="AX121" s="534"/>
      <c r="AY121" s="9"/>
      <c r="AZ121" s="48"/>
      <c r="BA121" s="348"/>
      <c r="BB121" s="348"/>
      <c r="BC121" s="348"/>
      <c r="BD121" s="348"/>
      <c r="BE121" s="348"/>
    </row>
    <row r="122" spans="8:57" x14ac:dyDescent="0.25">
      <c r="H122" s="531"/>
      <c r="I122" s="4"/>
      <c r="J122" s="4"/>
      <c r="L122" s="4"/>
      <c r="R122" s="348"/>
      <c r="S122" s="348"/>
      <c r="T122" s="348"/>
      <c r="U122" s="348"/>
      <c r="W122" s="348"/>
      <c r="X122" s="348"/>
      <c r="Y122" s="348"/>
      <c r="Z122" s="348"/>
      <c r="AA122" s="525"/>
      <c r="AB122" s="348"/>
      <c r="AC122" s="348"/>
      <c r="AD122" s="348"/>
      <c r="AE122" s="348"/>
      <c r="AG122" s="348"/>
      <c r="AH122" s="348"/>
      <c r="AI122" s="348"/>
      <c r="AJ122" s="348"/>
      <c r="AK122" s="348"/>
      <c r="AL122" s="348"/>
      <c r="AM122" s="348"/>
      <c r="AN122" s="348"/>
      <c r="AO122" s="348"/>
      <c r="AP122" s="348"/>
      <c r="AQ122" s="348"/>
      <c r="AR122" s="348"/>
      <c r="AS122" s="348"/>
      <c r="AT122" s="348"/>
      <c r="AV122" s="526"/>
      <c r="AW122" s="534"/>
      <c r="AX122" s="534"/>
      <c r="AY122" s="9"/>
      <c r="AZ122" s="48"/>
      <c r="BA122" s="348"/>
      <c r="BB122" s="348"/>
      <c r="BC122" s="348"/>
      <c r="BD122" s="348"/>
      <c r="BE122" s="348"/>
    </row>
    <row r="123" spans="8:57" x14ac:dyDescent="0.25">
      <c r="H123" s="531"/>
      <c r="I123" s="4"/>
      <c r="J123" s="4"/>
      <c r="L123" s="4"/>
      <c r="R123" s="348"/>
      <c r="S123" s="348"/>
      <c r="T123" s="348"/>
      <c r="U123" s="348"/>
      <c r="W123" s="348"/>
      <c r="X123" s="348"/>
      <c r="Y123" s="348"/>
      <c r="Z123" s="348"/>
      <c r="AA123" s="525"/>
      <c r="AB123" s="348"/>
      <c r="AC123" s="348"/>
      <c r="AD123" s="348"/>
      <c r="AE123" s="348"/>
      <c r="AG123" s="348"/>
      <c r="AH123" s="348"/>
      <c r="AI123" s="348"/>
      <c r="AJ123" s="348"/>
      <c r="AK123" s="348"/>
      <c r="AL123" s="348"/>
      <c r="AM123" s="348"/>
      <c r="AN123" s="348"/>
      <c r="AO123" s="348"/>
      <c r="AP123" s="348"/>
      <c r="AQ123" s="348"/>
      <c r="AR123" s="348"/>
      <c r="AS123" s="348"/>
      <c r="AT123" s="348"/>
      <c r="AV123" s="526"/>
      <c r="AW123" s="534"/>
      <c r="AX123" s="534"/>
      <c r="AY123" s="9"/>
      <c r="AZ123" s="48"/>
      <c r="BA123" s="348"/>
      <c r="BB123" s="348"/>
      <c r="BC123" s="348"/>
      <c r="BD123" s="348"/>
      <c r="BE123" s="348"/>
    </row>
    <row r="124" spans="8:57" x14ac:dyDescent="0.25">
      <c r="H124" s="531"/>
      <c r="I124" s="4"/>
      <c r="J124" s="4"/>
      <c r="L124" s="4"/>
      <c r="R124" s="348"/>
      <c r="S124" s="348"/>
      <c r="T124" s="348"/>
      <c r="U124" s="348"/>
      <c r="W124" s="348"/>
      <c r="X124" s="348"/>
      <c r="Y124" s="348"/>
      <c r="Z124" s="348"/>
      <c r="AA124" s="525"/>
      <c r="AB124" s="348"/>
      <c r="AC124" s="348"/>
      <c r="AD124" s="348"/>
      <c r="AE124" s="348"/>
      <c r="AG124" s="348"/>
      <c r="AH124" s="348"/>
      <c r="AI124" s="348"/>
      <c r="AJ124" s="348"/>
      <c r="AK124" s="348"/>
      <c r="AL124" s="348"/>
      <c r="AM124" s="348"/>
      <c r="AN124" s="348"/>
      <c r="AO124" s="348"/>
      <c r="AP124" s="348"/>
      <c r="AQ124" s="348"/>
      <c r="AR124" s="348"/>
      <c r="AS124" s="348"/>
      <c r="AT124" s="348"/>
      <c r="AV124" s="526"/>
      <c r="AW124" s="534"/>
      <c r="AX124" s="534"/>
      <c r="AY124" s="9"/>
      <c r="AZ124" s="48"/>
      <c r="BA124" s="348"/>
      <c r="BB124" s="348"/>
      <c r="BC124" s="348"/>
      <c r="BD124" s="348"/>
      <c r="BE124" s="348"/>
    </row>
    <row r="125" spans="8:57" x14ac:dyDescent="0.25">
      <c r="H125" s="531"/>
      <c r="I125" s="4"/>
      <c r="J125" s="4"/>
      <c r="L125" s="4"/>
      <c r="R125" s="348"/>
      <c r="S125" s="348"/>
      <c r="T125" s="348"/>
      <c r="U125" s="348"/>
      <c r="W125" s="348"/>
      <c r="X125" s="348"/>
      <c r="Y125" s="348"/>
      <c r="Z125" s="348"/>
      <c r="AA125" s="525"/>
      <c r="AB125" s="348"/>
      <c r="AC125" s="348"/>
      <c r="AD125" s="348"/>
      <c r="AE125" s="348"/>
      <c r="AG125" s="348"/>
      <c r="AH125" s="348"/>
      <c r="AI125" s="348"/>
      <c r="AJ125" s="348"/>
      <c r="AK125" s="348"/>
      <c r="AL125" s="348"/>
      <c r="AM125" s="348"/>
      <c r="AN125" s="348"/>
      <c r="AO125" s="348"/>
      <c r="AP125" s="348"/>
      <c r="AQ125" s="348"/>
      <c r="AR125" s="348"/>
      <c r="AS125" s="348"/>
      <c r="AT125" s="348"/>
      <c r="AV125" s="526"/>
      <c r="AW125" s="534"/>
      <c r="AX125" s="534"/>
      <c r="AY125" s="9"/>
      <c r="AZ125" s="48"/>
      <c r="BA125" s="348"/>
      <c r="BB125" s="348"/>
      <c r="BC125" s="348"/>
      <c r="BD125" s="348"/>
      <c r="BE125" s="348"/>
    </row>
    <row r="126" spans="8:57" x14ac:dyDescent="0.25">
      <c r="H126" s="531"/>
      <c r="I126" s="4"/>
      <c r="J126" s="4"/>
      <c r="L126" s="4"/>
      <c r="R126" s="348"/>
      <c r="S126" s="348"/>
      <c r="T126" s="348"/>
      <c r="U126" s="348"/>
      <c r="W126" s="348"/>
      <c r="X126" s="348"/>
      <c r="Y126" s="348"/>
      <c r="Z126" s="348"/>
      <c r="AA126" s="525"/>
      <c r="AB126" s="348"/>
      <c r="AC126" s="348"/>
      <c r="AD126" s="348"/>
      <c r="AE126" s="348"/>
      <c r="AG126" s="348"/>
      <c r="AH126" s="348"/>
      <c r="AI126" s="348"/>
      <c r="AJ126" s="348"/>
      <c r="AK126" s="348"/>
      <c r="AL126" s="348"/>
      <c r="AM126" s="348"/>
      <c r="AN126" s="348"/>
      <c r="AO126" s="348"/>
      <c r="AP126" s="348"/>
      <c r="AQ126" s="348"/>
      <c r="AR126" s="348"/>
      <c r="AS126" s="348"/>
      <c r="AT126" s="348"/>
      <c r="AV126" s="526"/>
      <c r="AW126" s="534"/>
      <c r="AX126" s="534"/>
      <c r="AY126" s="9"/>
      <c r="AZ126" s="48"/>
      <c r="BA126" s="348"/>
      <c r="BB126" s="348"/>
      <c r="BC126" s="348"/>
      <c r="BD126" s="348"/>
      <c r="BE126" s="348"/>
    </row>
    <row r="127" spans="8:57" x14ac:dyDescent="0.25">
      <c r="H127" s="531"/>
      <c r="I127" s="4"/>
      <c r="J127" s="4"/>
      <c r="L127" s="4"/>
      <c r="R127" s="348"/>
      <c r="S127" s="348"/>
      <c r="T127" s="348"/>
      <c r="U127" s="348"/>
      <c r="W127" s="348"/>
      <c r="X127" s="348"/>
      <c r="Y127" s="348"/>
      <c r="Z127" s="348"/>
      <c r="AA127" s="525"/>
      <c r="AB127" s="348"/>
      <c r="AC127" s="348"/>
      <c r="AD127" s="348"/>
      <c r="AE127" s="348"/>
      <c r="AG127" s="348"/>
      <c r="AH127" s="348"/>
      <c r="AI127" s="348"/>
      <c r="AJ127" s="348"/>
      <c r="AK127" s="348"/>
      <c r="AL127" s="348"/>
      <c r="AM127" s="348"/>
      <c r="AN127" s="348"/>
      <c r="AO127" s="348"/>
      <c r="AP127" s="348"/>
      <c r="AQ127" s="348"/>
      <c r="AR127" s="348"/>
      <c r="AS127" s="348"/>
      <c r="AT127" s="348"/>
      <c r="AV127" s="526"/>
      <c r="AW127" s="534"/>
      <c r="AX127" s="534"/>
      <c r="AY127" s="9"/>
      <c r="AZ127" s="48"/>
      <c r="BA127" s="348"/>
      <c r="BB127" s="348"/>
      <c r="BC127" s="348"/>
      <c r="BD127" s="348"/>
      <c r="BE127" s="348"/>
    </row>
    <row r="128" spans="8:57" x14ac:dyDescent="0.25">
      <c r="H128" s="531"/>
      <c r="I128" s="4"/>
      <c r="J128" s="4"/>
      <c r="L128" s="4"/>
      <c r="R128" s="348"/>
      <c r="S128" s="348"/>
      <c r="T128" s="348"/>
      <c r="U128" s="348"/>
      <c r="W128" s="348"/>
      <c r="X128" s="348"/>
      <c r="Y128" s="348"/>
      <c r="Z128" s="348"/>
      <c r="AA128" s="525"/>
      <c r="AB128" s="348"/>
      <c r="AC128" s="348"/>
      <c r="AD128" s="348"/>
      <c r="AE128" s="348"/>
      <c r="AG128" s="348"/>
      <c r="AH128" s="348"/>
      <c r="AI128" s="348"/>
      <c r="AJ128" s="348"/>
      <c r="AK128" s="348"/>
      <c r="AL128" s="348"/>
      <c r="AM128" s="348"/>
      <c r="AN128" s="348"/>
      <c r="AO128" s="348"/>
      <c r="AP128" s="348"/>
      <c r="AQ128" s="348"/>
      <c r="AR128" s="348"/>
      <c r="AS128" s="348"/>
      <c r="AT128" s="348"/>
      <c r="AV128" s="526"/>
      <c r="AW128" s="534"/>
      <c r="AX128" s="534"/>
      <c r="AY128" s="9"/>
      <c r="AZ128" s="48"/>
      <c r="BA128" s="348"/>
      <c r="BB128" s="348"/>
      <c r="BC128" s="348"/>
      <c r="BD128" s="348"/>
      <c r="BE128" s="348"/>
    </row>
    <row r="129" spans="8:57" x14ac:dyDescent="0.25">
      <c r="H129" s="531"/>
      <c r="I129" s="4"/>
      <c r="J129" s="4"/>
      <c r="L129" s="4"/>
      <c r="R129" s="348"/>
      <c r="S129" s="348"/>
      <c r="T129" s="348"/>
      <c r="U129" s="348"/>
      <c r="W129" s="348"/>
      <c r="X129" s="348"/>
      <c r="Y129" s="348"/>
      <c r="Z129" s="348"/>
      <c r="AA129" s="525"/>
      <c r="AB129" s="348"/>
      <c r="AC129" s="348"/>
      <c r="AD129" s="348"/>
      <c r="AE129" s="348"/>
      <c r="AG129" s="348"/>
      <c r="AH129" s="348"/>
      <c r="AI129" s="348"/>
      <c r="AJ129" s="348"/>
      <c r="AK129" s="348"/>
      <c r="AL129" s="348"/>
      <c r="AM129" s="348"/>
      <c r="AN129" s="348"/>
      <c r="AO129" s="348"/>
      <c r="AP129" s="348"/>
      <c r="AQ129" s="348"/>
      <c r="AR129" s="348"/>
      <c r="AS129" s="348"/>
      <c r="AT129" s="348"/>
      <c r="AV129" s="526"/>
      <c r="AW129" s="534"/>
      <c r="AX129" s="534"/>
      <c r="AY129" s="9"/>
      <c r="AZ129" s="48"/>
      <c r="BA129" s="348"/>
      <c r="BB129" s="348"/>
      <c r="BC129" s="348"/>
      <c r="BD129" s="348"/>
      <c r="BE129" s="348"/>
    </row>
    <row r="130" spans="8:57" x14ac:dyDescent="0.25">
      <c r="H130" s="531"/>
      <c r="I130" s="4"/>
      <c r="J130" s="4"/>
      <c r="L130" s="4"/>
      <c r="R130" s="348"/>
      <c r="S130" s="348"/>
      <c r="T130" s="348"/>
      <c r="U130" s="348"/>
      <c r="W130" s="348"/>
      <c r="X130" s="348"/>
      <c r="Y130" s="348"/>
      <c r="Z130" s="348"/>
      <c r="AA130" s="525"/>
      <c r="AB130" s="348"/>
      <c r="AC130" s="348"/>
      <c r="AD130" s="348"/>
      <c r="AE130" s="348"/>
      <c r="AG130" s="348"/>
      <c r="AH130" s="348"/>
      <c r="AI130" s="348"/>
      <c r="AJ130" s="348"/>
      <c r="AK130" s="348"/>
      <c r="AL130" s="348"/>
      <c r="AM130" s="348"/>
      <c r="AN130" s="348"/>
      <c r="AO130" s="348"/>
      <c r="AP130" s="348"/>
      <c r="AQ130" s="348"/>
      <c r="AR130" s="348"/>
      <c r="AS130" s="348"/>
      <c r="AT130" s="348"/>
      <c r="AV130" s="526"/>
      <c r="AW130" s="534"/>
      <c r="AX130" s="534"/>
      <c r="AY130" s="9"/>
      <c r="AZ130" s="48"/>
      <c r="BA130" s="348"/>
      <c r="BB130" s="348"/>
      <c r="BC130" s="348"/>
      <c r="BD130" s="348"/>
      <c r="BE130" s="348"/>
    </row>
    <row r="131" spans="8:57" x14ac:dyDescent="0.25">
      <c r="H131" s="531"/>
      <c r="I131" s="4"/>
      <c r="J131" s="4"/>
      <c r="L131" s="4"/>
      <c r="R131" s="348"/>
      <c r="S131" s="348"/>
      <c r="T131" s="348"/>
      <c r="U131" s="348"/>
      <c r="W131" s="348"/>
      <c r="X131" s="348"/>
      <c r="Y131" s="348"/>
      <c r="Z131" s="348"/>
      <c r="AA131" s="525"/>
      <c r="AB131" s="348"/>
      <c r="AC131" s="348"/>
      <c r="AD131" s="348"/>
      <c r="AE131" s="348"/>
      <c r="AG131" s="348"/>
      <c r="AH131" s="348"/>
      <c r="AI131" s="348"/>
      <c r="AJ131" s="348"/>
      <c r="AK131" s="348"/>
      <c r="AL131" s="348"/>
      <c r="AM131" s="348"/>
      <c r="AN131" s="348"/>
      <c r="AO131" s="348"/>
      <c r="AP131" s="348"/>
      <c r="AQ131" s="348"/>
      <c r="AR131" s="348"/>
      <c r="AS131" s="348"/>
      <c r="AT131" s="348"/>
      <c r="AV131" s="526"/>
      <c r="AW131" s="534"/>
      <c r="AX131" s="534"/>
      <c r="AY131" s="9"/>
      <c r="AZ131" s="48"/>
      <c r="BA131" s="348"/>
      <c r="BB131" s="348"/>
      <c r="BC131" s="348"/>
      <c r="BD131" s="348"/>
      <c r="BE131" s="348"/>
    </row>
    <row r="132" spans="8:57" x14ac:dyDescent="0.25">
      <c r="H132" s="531"/>
      <c r="I132" s="4"/>
      <c r="J132" s="4"/>
      <c r="L132" s="4"/>
      <c r="R132" s="348"/>
      <c r="S132" s="348"/>
      <c r="T132" s="348"/>
      <c r="U132" s="348"/>
      <c r="W132" s="348"/>
      <c r="X132" s="348"/>
      <c r="Y132" s="348"/>
      <c r="Z132" s="348"/>
      <c r="AA132" s="525"/>
      <c r="AB132" s="348"/>
      <c r="AC132" s="348"/>
      <c r="AD132" s="348"/>
      <c r="AE132" s="348"/>
      <c r="AG132" s="348"/>
      <c r="AH132" s="348"/>
      <c r="AI132" s="348"/>
      <c r="AJ132" s="348"/>
      <c r="AK132" s="348"/>
      <c r="AL132" s="348"/>
      <c r="AM132" s="348"/>
      <c r="AN132" s="348"/>
      <c r="AO132" s="348"/>
      <c r="AP132" s="348"/>
      <c r="AQ132" s="348"/>
      <c r="AR132" s="348"/>
      <c r="AS132" s="348"/>
      <c r="AT132" s="348"/>
      <c r="AV132" s="526"/>
      <c r="AW132" s="534"/>
      <c r="AX132" s="534"/>
      <c r="AY132" s="9"/>
      <c r="AZ132" s="48"/>
      <c r="BA132" s="348"/>
      <c r="BB132" s="348"/>
      <c r="BC132" s="348"/>
      <c r="BD132" s="348"/>
      <c r="BE132" s="348"/>
    </row>
    <row r="133" spans="8:57" x14ac:dyDescent="0.25">
      <c r="H133" s="531"/>
      <c r="I133" s="4"/>
      <c r="J133" s="4"/>
      <c r="L133" s="4"/>
      <c r="R133" s="348"/>
      <c r="S133" s="348"/>
      <c r="T133" s="348"/>
      <c r="U133" s="348"/>
      <c r="W133" s="348"/>
      <c r="X133" s="348"/>
      <c r="Y133" s="348"/>
      <c r="Z133" s="348"/>
      <c r="AA133" s="525"/>
      <c r="AB133" s="348"/>
      <c r="AC133" s="348"/>
      <c r="AD133" s="348"/>
      <c r="AE133" s="348"/>
      <c r="AG133" s="348"/>
      <c r="AH133" s="348"/>
      <c r="AI133" s="348"/>
      <c r="AJ133" s="348"/>
      <c r="AK133" s="348"/>
      <c r="AL133" s="348"/>
      <c r="AM133" s="348"/>
      <c r="AN133" s="348"/>
      <c r="AO133" s="348"/>
      <c r="AP133" s="348"/>
      <c r="AQ133" s="348"/>
      <c r="AR133" s="348"/>
      <c r="AS133" s="348"/>
      <c r="AT133" s="348"/>
      <c r="AV133" s="526"/>
      <c r="AW133" s="534"/>
      <c r="AX133" s="534"/>
      <c r="AY133" s="9"/>
      <c r="AZ133" s="48"/>
      <c r="BA133" s="348"/>
      <c r="BB133" s="348"/>
      <c r="BC133" s="348"/>
      <c r="BD133" s="348"/>
      <c r="BE133" s="348"/>
    </row>
    <row r="134" spans="8:57" x14ac:dyDescent="0.25">
      <c r="H134" s="531"/>
      <c r="I134" s="4"/>
      <c r="J134" s="4"/>
      <c r="L134" s="4"/>
      <c r="R134" s="348"/>
      <c r="S134" s="348"/>
      <c r="T134" s="348"/>
      <c r="U134" s="348"/>
      <c r="W134" s="348"/>
      <c r="X134" s="348"/>
      <c r="Y134" s="348"/>
      <c r="Z134" s="348"/>
      <c r="AA134" s="525"/>
      <c r="AB134" s="348"/>
      <c r="AC134" s="348"/>
      <c r="AD134" s="348"/>
      <c r="AE134" s="348"/>
      <c r="AG134" s="348"/>
      <c r="AH134" s="348"/>
      <c r="AI134" s="348"/>
      <c r="AJ134" s="348"/>
      <c r="AK134" s="348"/>
      <c r="AL134" s="348"/>
      <c r="AM134" s="348"/>
      <c r="AN134" s="348"/>
      <c r="AO134" s="348"/>
      <c r="AP134" s="348"/>
      <c r="AQ134" s="348"/>
      <c r="AR134" s="348"/>
      <c r="AS134" s="348"/>
      <c r="AT134" s="348"/>
      <c r="AV134" s="526"/>
      <c r="AW134" s="534"/>
      <c r="AX134" s="534"/>
      <c r="AY134" s="9"/>
      <c r="AZ134" s="48"/>
      <c r="BA134" s="348"/>
      <c r="BB134" s="348"/>
      <c r="BC134" s="348"/>
      <c r="BD134" s="348"/>
      <c r="BE134" s="348"/>
    </row>
    <row r="135" spans="8:57" x14ac:dyDescent="0.25">
      <c r="H135" s="531"/>
      <c r="I135" s="4"/>
      <c r="J135" s="4"/>
      <c r="L135" s="4"/>
      <c r="R135" s="348"/>
      <c r="S135" s="348"/>
      <c r="T135" s="348"/>
      <c r="U135" s="348"/>
      <c r="W135" s="348"/>
      <c r="X135" s="348"/>
      <c r="Y135" s="348"/>
      <c r="Z135" s="348"/>
      <c r="AA135" s="525"/>
      <c r="AB135" s="348"/>
      <c r="AC135" s="348"/>
      <c r="AD135" s="348"/>
      <c r="AE135" s="348"/>
      <c r="AG135" s="348"/>
      <c r="AH135" s="348"/>
      <c r="AI135" s="348"/>
      <c r="AJ135" s="348"/>
      <c r="AK135" s="348"/>
      <c r="AL135" s="348"/>
      <c r="AM135" s="348"/>
      <c r="AN135" s="348"/>
      <c r="AO135" s="348"/>
      <c r="AP135" s="348"/>
      <c r="AQ135" s="348"/>
      <c r="AR135" s="348"/>
      <c r="AS135" s="348"/>
      <c r="AT135" s="348"/>
      <c r="AV135" s="526"/>
      <c r="AW135" s="534"/>
      <c r="AX135" s="534"/>
      <c r="AY135" s="9"/>
      <c r="AZ135" s="48"/>
      <c r="BA135" s="348"/>
      <c r="BB135" s="348"/>
      <c r="BC135" s="348"/>
      <c r="BD135" s="348"/>
      <c r="BE135" s="348"/>
    </row>
    <row r="136" spans="8:57" x14ac:dyDescent="0.25">
      <c r="H136" s="531"/>
      <c r="I136" s="4"/>
      <c r="J136" s="4"/>
      <c r="L136" s="4"/>
      <c r="R136" s="348"/>
      <c r="S136" s="348"/>
      <c r="T136" s="348"/>
      <c r="U136" s="348"/>
      <c r="W136" s="348"/>
      <c r="X136" s="348"/>
      <c r="Y136" s="348"/>
      <c r="Z136" s="348"/>
      <c r="AA136" s="525"/>
      <c r="AB136" s="348"/>
      <c r="AC136" s="348"/>
      <c r="AD136" s="348"/>
      <c r="AE136" s="348"/>
      <c r="AG136" s="348"/>
      <c r="AH136" s="348"/>
      <c r="AI136" s="348"/>
      <c r="AJ136" s="348"/>
      <c r="AK136" s="348"/>
      <c r="AL136" s="348"/>
      <c r="AM136" s="348"/>
      <c r="AN136" s="348"/>
      <c r="AO136" s="348"/>
      <c r="AP136" s="348"/>
      <c r="AQ136" s="348"/>
      <c r="AR136" s="348"/>
      <c r="AS136" s="348"/>
      <c r="AT136" s="348"/>
      <c r="AV136" s="526"/>
      <c r="AW136" s="534"/>
      <c r="AX136" s="534"/>
      <c r="AY136" s="9"/>
      <c r="AZ136" s="48"/>
      <c r="BA136" s="348"/>
      <c r="BB136" s="348"/>
      <c r="BC136" s="348"/>
      <c r="BD136" s="348"/>
      <c r="BE136" s="348"/>
    </row>
    <row r="137" spans="8:57" x14ac:dyDescent="0.25">
      <c r="H137" s="531"/>
      <c r="I137" s="4"/>
      <c r="J137" s="4"/>
      <c r="L137" s="4"/>
      <c r="R137" s="348"/>
      <c r="S137" s="348"/>
      <c r="T137" s="348"/>
      <c r="U137" s="348"/>
      <c r="W137" s="348"/>
      <c r="X137" s="348"/>
      <c r="Y137" s="348"/>
      <c r="Z137" s="348"/>
      <c r="AA137" s="525"/>
      <c r="AB137" s="348"/>
      <c r="AC137" s="348"/>
      <c r="AD137" s="348"/>
      <c r="AE137" s="348"/>
      <c r="AG137" s="348"/>
      <c r="AH137" s="348"/>
      <c r="AI137" s="348"/>
      <c r="AJ137" s="348"/>
      <c r="AK137" s="348"/>
      <c r="AL137" s="348"/>
      <c r="AM137" s="348"/>
      <c r="AN137" s="348"/>
      <c r="AO137" s="348"/>
      <c r="AP137" s="348"/>
      <c r="AQ137" s="348"/>
      <c r="AR137" s="348"/>
      <c r="AS137" s="348"/>
      <c r="AT137" s="348"/>
      <c r="AV137" s="526"/>
      <c r="AW137" s="534"/>
      <c r="AX137" s="534"/>
      <c r="AY137" s="9"/>
      <c r="AZ137" s="48"/>
      <c r="BA137" s="348"/>
      <c r="BB137" s="348"/>
      <c r="BC137" s="348"/>
      <c r="BD137" s="348"/>
      <c r="BE137" s="348"/>
    </row>
    <row r="138" spans="8:57" x14ac:dyDescent="0.25">
      <c r="H138" s="531"/>
      <c r="I138" s="4"/>
      <c r="J138" s="4"/>
      <c r="L138" s="4"/>
      <c r="R138" s="348"/>
      <c r="S138" s="348"/>
      <c r="T138" s="348"/>
      <c r="U138" s="348"/>
      <c r="W138" s="348"/>
      <c r="X138" s="348"/>
      <c r="Y138" s="348"/>
      <c r="Z138" s="348"/>
      <c r="AA138" s="525"/>
      <c r="AB138" s="348"/>
      <c r="AC138" s="348"/>
      <c r="AD138" s="348"/>
      <c r="AE138" s="348"/>
      <c r="AG138" s="348"/>
      <c r="AH138" s="348"/>
      <c r="AI138" s="348"/>
      <c r="AJ138" s="348"/>
      <c r="AK138" s="348"/>
      <c r="AL138" s="348"/>
      <c r="AM138" s="348"/>
      <c r="AN138" s="348"/>
      <c r="AO138" s="348"/>
      <c r="AP138" s="348"/>
      <c r="AQ138" s="348"/>
      <c r="AR138" s="348"/>
      <c r="AS138" s="348"/>
      <c r="AT138" s="348"/>
      <c r="AV138" s="526"/>
      <c r="AW138" s="534"/>
      <c r="AX138" s="534"/>
      <c r="AY138" s="9"/>
      <c r="AZ138" s="48"/>
      <c r="BA138" s="348"/>
      <c r="BB138" s="348"/>
      <c r="BC138" s="348"/>
      <c r="BD138" s="348"/>
      <c r="BE138" s="348"/>
    </row>
    <row r="139" spans="8:57" x14ac:dyDescent="0.25">
      <c r="H139" s="531"/>
      <c r="I139" s="4"/>
      <c r="J139" s="4"/>
      <c r="L139" s="4"/>
      <c r="R139" s="348"/>
      <c r="S139" s="348"/>
      <c r="T139" s="348"/>
      <c r="U139" s="348"/>
      <c r="W139" s="348"/>
      <c r="X139" s="348"/>
      <c r="Y139" s="348"/>
      <c r="Z139" s="348"/>
      <c r="AA139" s="525"/>
      <c r="AB139" s="348"/>
      <c r="AC139" s="348"/>
      <c r="AD139" s="348"/>
      <c r="AE139" s="348"/>
      <c r="AG139" s="348"/>
      <c r="AH139" s="348"/>
      <c r="AI139" s="348"/>
      <c r="AJ139" s="348"/>
      <c r="AK139" s="348"/>
      <c r="AL139" s="348"/>
      <c r="AM139" s="348"/>
      <c r="AN139" s="348"/>
      <c r="AO139" s="348"/>
      <c r="AP139" s="348"/>
      <c r="AQ139" s="348"/>
      <c r="AR139" s="348"/>
      <c r="AS139" s="348"/>
      <c r="AT139" s="348"/>
      <c r="AV139" s="526"/>
      <c r="AW139" s="534"/>
      <c r="AX139" s="534"/>
      <c r="AY139" s="9"/>
      <c r="AZ139" s="48"/>
      <c r="BA139" s="348"/>
      <c r="BB139" s="348"/>
      <c r="BC139" s="348"/>
      <c r="BD139" s="348"/>
      <c r="BE139" s="348"/>
    </row>
    <row r="140" spans="8:57" x14ac:dyDescent="0.25">
      <c r="H140" s="531"/>
      <c r="I140" s="4"/>
      <c r="J140" s="4"/>
      <c r="L140" s="4"/>
      <c r="R140" s="348"/>
      <c r="S140" s="348"/>
      <c r="T140" s="348"/>
      <c r="U140" s="348"/>
      <c r="W140" s="348"/>
      <c r="X140" s="348"/>
      <c r="Y140" s="348"/>
      <c r="Z140" s="348"/>
      <c r="AA140" s="525"/>
      <c r="AB140" s="348"/>
      <c r="AC140" s="348"/>
      <c r="AD140" s="348"/>
      <c r="AE140" s="348"/>
      <c r="AG140" s="348"/>
      <c r="AH140" s="348"/>
      <c r="AI140" s="348"/>
      <c r="AJ140" s="348"/>
      <c r="AK140" s="348"/>
      <c r="AL140" s="348"/>
      <c r="AM140" s="348"/>
      <c r="AN140" s="348"/>
      <c r="AO140" s="348"/>
      <c r="AP140" s="348"/>
      <c r="AQ140" s="348"/>
      <c r="AR140" s="348"/>
      <c r="AS140" s="348"/>
      <c r="AT140" s="348"/>
      <c r="AV140" s="526"/>
      <c r="AW140" s="534"/>
      <c r="AX140" s="534"/>
      <c r="AY140" s="9"/>
      <c r="AZ140" s="48"/>
      <c r="BA140" s="348"/>
      <c r="BB140" s="348"/>
      <c r="BC140" s="348"/>
      <c r="BD140" s="348"/>
      <c r="BE140" s="348"/>
    </row>
    <row r="141" spans="8:57" x14ac:dyDescent="0.25">
      <c r="H141" s="531"/>
      <c r="I141" s="4"/>
      <c r="J141" s="4"/>
      <c r="L141" s="4"/>
      <c r="R141" s="348"/>
      <c r="S141" s="348"/>
      <c r="T141" s="348"/>
      <c r="U141" s="348"/>
      <c r="W141" s="348"/>
      <c r="X141" s="348"/>
      <c r="Y141" s="348"/>
      <c r="Z141" s="348"/>
      <c r="AA141" s="525"/>
      <c r="AB141" s="348"/>
      <c r="AC141" s="348"/>
      <c r="AD141" s="348"/>
      <c r="AE141" s="348"/>
      <c r="AG141" s="348"/>
      <c r="AH141" s="348"/>
      <c r="AI141" s="348"/>
      <c r="AJ141" s="348"/>
      <c r="AK141" s="348"/>
      <c r="AL141" s="348"/>
      <c r="AM141" s="348"/>
      <c r="AN141" s="348"/>
      <c r="AO141" s="348"/>
      <c r="AP141" s="348"/>
      <c r="AQ141" s="348"/>
      <c r="AR141" s="348"/>
      <c r="AS141" s="348"/>
      <c r="AT141" s="348"/>
      <c r="AV141" s="526"/>
      <c r="AW141" s="534"/>
      <c r="AX141" s="534"/>
      <c r="AY141" s="9"/>
      <c r="AZ141" s="48"/>
      <c r="BA141" s="348"/>
      <c r="BB141" s="348"/>
      <c r="BC141" s="348"/>
      <c r="BD141" s="348"/>
      <c r="BE141" s="348"/>
    </row>
    <row r="142" spans="8:57" x14ac:dyDescent="0.25">
      <c r="H142" s="531"/>
      <c r="I142" s="4"/>
      <c r="J142" s="4"/>
      <c r="L142" s="4"/>
      <c r="R142" s="348"/>
      <c r="S142" s="348"/>
      <c r="T142" s="348"/>
      <c r="U142" s="348"/>
      <c r="W142" s="348"/>
      <c r="X142" s="348"/>
      <c r="Y142" s="348"/>
      <c r="Z142" s="348"/>
      <c r="AA142" s="525"/>
      <c r="AB142" s="348"/>
      <c r="AC142" s="348"/>
      <c r="AD142" s="348"/>
      <c r="AE142" s="348"/>
      <c r="AG142" s="348"/>
      <c r="AH142" s="348"/>
      <c r="AI142" s="348"/>
      <c r="AJ142" s="348"/>
      <c r="AK142" s="348"/>
      <c r="AL142" s="348"/>
      <c r="AM142" s="348"/>
      <c r="AN142" s="348"/>
      <c r="AO142" s="348"/>
      <c r="AP142" s="348"/>
      <c r="AQ142" s="348"/>
      <c r="AR142" s="348"/>
      <c r="AS142" s="348"/>
      <c r="AT142" s="348"/>
      <c r="AV142" s="526"/>
      <c r="AW142" s="534"/>
      <c r="AX142" s="534"/>
      <c r="AY142" s="9"/>
      <c r="AZ142" s="48"/>
      <c r="BA142" s="348"/>
      <c r="BB142" s="348"/>
      <c r="BC142" s="348"/>
      <c r="BD142" s="348"/>
      <c r="BE142" s="348"/>
    </row>
    <row r="143" spans="8:57" x14ac:dyDescent="0.25">
      <c r="H143" s="531"/>
      <c r="I143" s="4"/>
      <c r="J143" s="4"/>
      <c r="L143" s="4"/>
      <c r="R143" s="348"/>
      <c r="S143" s="348"/>
      <c r="T143" s="348"/>
      <c r="U143" s="348"/>
      <c r="W143" s="348"/>
      <c r="X143" s="348"/>
      <c r="Y143" s="348"/>
      <c r="Z143" s="348"/>
      <c r="AA143" s="525"/>
      <c r="AB143" s="348"/>
      <c r="AC143" s="348"/>
      <c r="AD143" s="348"/>
      <c r="AE143" s="348"/>
      <c r="AG143" s="348"/>
      <c r="AH143" s="348"/>
      <c r="AI143" s="348"/>
      <c r="AJ143" s="348"/>
      <c r="AK143" s="348"/>
      <c r="AL143" s="348"/>
      <c r="AM143" s="348"/>
      <c r="AN143" s="348"/>
      <c r="AO143" s="348"/>
      <c r="AP143" s="348"/>
      <c r="AQ143" s="348"/>
      <c r="AR143" s="348"/>
      <c r="AS143" s="348"/>
      <c r="AT143" s="348"/>
      <c r="AV143" s="526"/>
      <c r="AW143" s="534"/>
      <c r="AX143" s="534"/>
      <c r="AY143" s="9"/>
      <c r="AZ143" s="48"/>
      <c r="BA143" s="348"/>
      <c r="BB143" s="348"/>
      <c r="BC143" s="348"/>
      <c r="BD143" s="348"/>
      <c r="BE143" s="348"/>
    </row>
    <row r="144" spans="8:57" x14ac:dyDescent="0.25">
      <c r="H144" s="531"/>
      <c r="I144" s="4"/>
      <c r="J144" s="4"/>
      <c r="L144" s="4"/>
      <c r="R144" s="348"/>
      <c r="S144" s="348"/>
      <c r="T144" s="348"/>
      <c r="U144" s="348"/>
      <c r="W144" s="348"/>
      <c r="X144" s="348"/>
      <c r="Y144" s="348"/>
      <c r="Z144" s="348"/>
      <c r="AA144" s="525"/>
      <c r="AB144" s="348"/>
      <c r="AC144" s="348"/>
      <c r="AD144" s="348"/>
      <c r="AE144" s="348"/>
      <c r="AG144" s="348"/>
      <c r="AH144" s="348"/>
      <c r="AI144" s="348"/>
      <c r="AJ144" s="348"/>
      <c r="AK144" s="348"/>
      <c r="AL144" s="348"/>
      <c r="AM144" s="348"/>
      <c r="AN144" s="348"/>
      <c r="AO144" s="348"/>
      <c r="AP144" s="348"/>
      <c r="AQ144" s="348"/>
      <c r="AR144" s="348"/>
      <c r="AS144" s="348"/>
      <c r="AT144" s="348"/>
      <c r="AV144" s="526"/>
      <c r="AW144" s="534"/>
      <c r="AX144" s="534"/>
      <c r="AY144" s="9"/>
      <c r="AZ144" s="48"/>
      <c r="BA144" s="348"/>
      <c r="BB144" s="348"/>
      <c r="BC144" s="348"/>
      <c r="BD144" s="348"/>
      <c r="BE144" s="348"/>
    </row>
    <row r="145" spans="8:57" x14ac:dyDescent="0.25">
      <c r="H145" s="531"/>
      <c r="I145" s="4"/>
      <c r="J145" s="4"/>
      <c r="L145" s="4"/>
      <c r="R145" s="348"/>
      <c r="S145" s="348"/>
      <c r="T145" s="348"/>
      <c r="U145" s="348"/>
      <c r="W145" s="348"/>
      <c r="X145" s="348"/>
      <c r="Y145" s="348"/>
      <c r="Z145" s="348"/>
      <c r="AA145" s="525"/>
      <c r="AB145" s="348"/>
      <c r="AC145" s="348"/>
      <c r="AD145" s="348"/>
      <c r="AE145" s="348"/>
      <c r="AG145" s="348"/>
      <c r="AH145" s="348"/>
      <c r="AI145" s="348"/>
      <c r="AJ145" s="348"/>
      <c r="AK145" s="348"/>
      <c r="AL145" s="348"/>
      <c r="AM145" s="348"/>
      <c r="AN145" s="348"/>
      <c r="AO145" s="348"/>
      <c r="AP145" s="348"/>
      <c r="AQ145" s="348"/>
      <c r="AR145" s="348"/>
      <c r="AS145" s="348"/>
      <c r="AT145" s="348"/>
      <c r="AV145" s="526"/>
      <c r="AW145" s="534"/>
      <c r="AX145" s="534"/>
      <c r="AY145" s="9"/>
      <c r="AZ145" s="48"/>
      <c r="BA145" s="348"/>
      <c r="BB145" s="348"/>
      <c r="BC145" s="348"/>
      <c r="BD145" s="348"/>
      <c r="BE145" s="348"/>
    </row>
    <row r="146" spans="8:57" x14ac:dyDescent="0.25">
      <c r="H146" s="531"/>
      <c r="I146" s="4"/>
      <c r="J146" s="4"/>
      <c r="L146" s="4"/>
      <c r="R146" s="348"/>
      <c r="S146" s="348"/>
      <c r="T146" s="348"/>
      <c r="U146" s="348"/>
      <c r="W146" s="348"/>
      <c r="X146" s="348"/>
      <c r="Y146" s="348"/>
      <c r="Z146" s="348"/>
      <c r="AA146" s="525"/>
      <c r="AB146" s="348"/>
      <c r="AC146" s="348"/>
      <c r="AD146" s="348"/>
      <c r="AE146" s="348"/>
      <c r="AG146" s="348"/>
      <c r="AH146" s="348"/>
      <c r="AI146" s="348"/>
      <c r="AJ146" s="348"/>
      <c r="AK146" s="348"/>
      <c r="AL146" s="348"/>
      <c r="AM146" s="348"/>
      <c r="AN146" s="348"/>
      <c r="AO146" s="348"/>
      <c r="AP146" s="348"/>
      <c r="AQ146" s="348"/>
      <c r="AR146" s="348"/>
      <c r="AS146" s="348"/>
      <c r="AT146" s="348"/>
      <c r="AV146" s="526"/>
      <c r="AW146" s="534"/>
      <c r="AX146" s="534"/>
      <c r="AY146" s="9"/>
      <c r="AZ146" s="48"/>
      <c r="BA146" s="348"/>
      <c r="BB146" s="348"/>
      <c r="BC146" s="348"/>
      <c r="BD146" s="348"/>
      <c r="BE146" s="348"/>
    </row>
    <row r="147" spans="8:57" x14ac:dyDescent="0.25">
      <c r="H147" s="531"/>
      <c r="I147" s="4"/>
      <c r="J147" s="4"/>
      <c r="L147" s="4"/>
      <c r="R147" s="348"/>
      <c r="S147" s="348"/>
      <c r="T147" s="348"/>
      <c r="U147" s="348"/>
      <c r="W147" s="348"/>
      <c r="X147" s="348"/>
      <c r="Y147" s="348"/>
      <c r="Z147" s="348"/>
      <c r="AA147" s="525"/>
      <c r="AB147" s="348"/>
      <c r="AC147" s="348"/>
      <c r="AD147" s="348"/>
      <c r="AE147" s="348"/>
      <c r="AG147" s="348"/>
      <c r="AH147" s="348"/>
      <c r="AI147" s="348"/>
      <c r="AJ147" s="348"/>
      <c r="AK147" s="348"/>
      <c r="AL147" s="348"/>
      <c r="AM147" s="348"/>
      <c r="AN147" s="348"/>
      <c r="AO147" s="348"/>
      <c r="AP147" s="348"/>
      <c r="AQ147" s="348"/>
      <c r="AR147" s="348"/>
      <c r="AS147" s="348"/>
      <c r="AT147" s="348"/>
      <c r="AV147" s="526"/>
      <c r="AW147" s="534"/>
      <c r="AX147" s="534"/>
      <c r="AY147" s="9"/>
      <c r="AZ147" s="48"/>
      <c r="BA147" s="348"/>
      <c r="BB147" s="348"/>
      <c r="BC147" s="348"/>
      <c r="BD147" s="348"/>
      <c r="BE147" s="348"/>
    </row>
    <row r="148" spans="8:57" x14ac:dyDescent="0.25">
      <c r="H148" s="531"/>
      <c r="I148" s="4"/>
      <c r="J148" s="4"/>
      <c r="L148" s="4"/>
      <c r="R148" s="348"/>
      <c r="S148" s="348"/>
      <c r="T148" s="348"/>
      <c r="U148" s="348"/>
      <c r="W148" s="348"/>
      <c r="X148" s="348"/>
      <c r="Y148" s="348"/>
      <c r="Z148" s="348"/>
      <c r="AA148" s="525"/>
      <c r="AB148" s="348"/>
      <c r="AC148" s="348"/>
      <c r="AD148" s="348"/>
      <c r="AE148" s="348"/>
      <c r="AG148" s="348"/>
      <c r="AH148" s="348"/>
      <c r="AI148" s="348"/>
      <c r="AJ148" s="348"/>
      <c r="AK148" s="348"/>
      <c r="AL148" s="348"/>
      <c r="AM148" s="348"/>
      <c r="AN148" s="348"/>
      <c r="AO148" s="348"/>
      <c r="AP148" s="348"/>
      <c r="AQ148" s="348"/>
      <c r="AR148" s="348"/>
      <c r="AS148" s="348"/>
      <c r="AT148" s="348"/>
      <c r="AV148" s="526"/>
      <c r="AW148" s="534"/>
      <c r="AX148" s="534"/>
      <c r="AY148" s="9"/>
      <c r="AZ148" s="48"/>
      <c r="BA148" s="348"/>
      <c r="BB148" s="348"/>
      <c r="BC148" s="348"/>
      <c r="BD148" s="348"/>
      <c r="BE148" s="348"/>
    </row>
    <row r="149" spans="8:57" x14ac:dyDescent="0.25">
      <c r="H149" s="531"/>
      <c r="I149" s="4"/>
      <c r="J149" s="4"/>
      <c r="L149" s="4"/>
      <c r="R149" s="348"/>
      <c r="S149" s="348"/>
      <c r="T149" s="348"/>
      <c r="U149" s="348"/>
      <c r="W149" s="348"/>
      <c r="X149" s="348"/>
      <c r="Y149" s="348"/>
      <c r="Z149" s="348"/>
      <c r="AA149" s="525"/>
      <c r="AB149" s="348"/>
      <c r="AC149" s="348"/>
      <c r="AD149" s="348"/>
      <c r="AE149" s="348"/>
      <c r="AG149" s="348"/>
      <c r="AH149" s="348"/>
      <c r="AI149" s="348"/>
      <c r="AJ149" s="348"/>
      <c r="AK149" s="348"/>
      <c r="AL149" s="348"/>
      <c r="AM149" s="348"/>
      <c r="AN149" s="348"/>
      <c r="AO149" s="348"/>
      <c r="AP149" s="348"/>
      <c r="AQ149" s="348"/>
      <c r="AR149" s="348"/>
      <c r="AS149" s="348"/>
      <c r="AT149" s="348"/>
      <c r="AV149" s="526"/>
      <c r="AW149" s="534"/>
      <c r="AX149" s="534"/>
      <c r="AY149" s="9"/>
      <c r="AZ149" s="48"/>
      <c r="BA149" s="348"/>
      <c r="BB149" s="348"/>
      <c r="BC149" s="348"/>
      <c r="BD149" s="348"/>
      <c r="BE149" s="348"/>
    </row>
    <row r="150" spans="8:57" x14ac:dyDescent="0.25">
      <c r="H150" s="531"/>
      <c r="I150" s="4"/>
      <c r="J150" s="4"/>
      <c r="L150" s="4"/>
      <c r="R150" s="348"/>
      <c r="S150" s="348"/>
      <c r="T150" s="348"/>
      <c r="U150" s="348"/>
      <c r="W150" s="348"/>
      <c r="X150" s="348"/>
      <c r="Y150" s="348"/>
      <c r="Z150" s="348"/>
      <c r="AA150" s="525"/>
      <c r="AB150" s="348"/>
      <c r="AC150" s="348"/>
      <c r="AD150" s="348"/>
      <c r="AE150" s="348"/>
      <c r="AG150" s="348"/>
      <c r="AH150" s="348"/>
      <c r="AI150" s="348"/>
      <c r="AJ150" s="348"/>
      <c r="AK150" s="348"/>
      <c r="AL150" s="348"/>
      <c r="AM150" s="348"/>
      <c r="AN150" s="348"/>
      <c r="AO150" s="348"/>
      <c r="AP150" s="348"/>
      <c r="AQ150" s="348"/>
      <c r="AR150" s="348"/>
      <c r="AS150" s="348"/>
      <c r="AT150" s="348"/>
      <c r="AV150" s="526"/>
      <c r="AW150" s="534"/>
      <c r="AX150" s="534"/>
      <c r="AY150" s="9"/>
      <c r="AZ150" s="48"/>
      <c r="BA150" s="348"/>
      <c r="BB150" s="348"/>
      <c r="BC150" s="348"/>
      <c r="BD150" s="348"/>
      <c r="BE150" s="348"/>
    </row>
    <row r="151" spans="8:57" x14ac:dyDescent="0.25">
      <c r="H151" s="531"/>
      <c r="I151" s="4"/>
      <c r="J151" s="4"/>
      <c r="L151" s="4"/>
      <c r="R151" s="348"/>
      <c r="S151" s="348"/>
      <c r="T151" s="348"/>
      <c r="U151" s="348"/>
      <c r="W151" s="348"/>
      <c r="X151" s="348"/>
      <c r="Y151" s="348"/>
      <c r="Z151" s="348"/>
      <c r="AA151" s="525"/>
      <c r="AB151" s="348"/>
      <c r="AC151" s="348"/>
      <c r="AD151" s="348"/>
      <c r="AE151" s="348"/>
      <c r="AG151" s="348"/>
      <c r="AH151" s="348"/>
      <c r="AI151" s="348"/>
      <c r="AJ151" s="348"/>
      <c r="AK151" s="348"/>
      <c r="AL151" s="348"/>
      <c r="AM151" s="348"/>
      <c r="AN151" s="348"/>
      <c r="AO151" s="348"/>
      <c r="AP151" s="348"/>
      <c r="AQ151" s="348"/>
      <c r="AR151" s="348"/>
      <c r="AS151" s="348"/>
      <c r="AT151" s="348"/>
      <c r="AV151" s="526"/>
      <c r="AW151" s="534"/>
      <c r="AX151" s="534"/>
      <c r="AY151" s="9"/>
      <c r="AZ151" s="48"/>
      <c r="BA151" s="348"/>
      <c r="BB151" s="348"/>
      <c r="BC151" s="348"/>
      <c r="BD151" s="348"/>
      <c r="BE151" s="348"/>
    </row>
    <row r="152" spans="8:57" x14ac:dyDescent="0.25">
      <c r="H152" s="531"/>
      <c r="I152" s="4"/>
      <c r="J152" s="4"/>
      <c r="L152" s="4"/>
      <c r="R152" s="348"/>
      <c r="S152" s="348"/>
      <c r="T152" s="348"/>
      <c r="U152" s="348"/>
      <c r="W152" s="348"/>
      <c r="X152" s="348"/>
      <c r="Y152" s="348"/>
      <c r="Z152" s="348"/>
      <c r="AA152" s="525"/>
      <c r="AB152" s="348"/>
      <c r="AC152" s="348"/>
      <c r="AD152" s="348"/>
      <c r="AE152" s="348"/>
      <c r="AG152" s="348"/>
      <c r="AH152" s="348"/>
      <c r="AI152" s="348"/>
      <c r="AJ152" s="348"/>
      <c r="AK152" s="348"/>
      <c r="AL152" s="348"/>
      <c r="AM152" s="348"/>
      <c r="AN152" s="348"/>
      <c r="AO152" s="348"/>
      <c r="AP152" s="348"/>
      <c r="AQ152" s="348"/>
      <c r="AR152" s="348"/>
      <c r="AS152" s="348"/>
      <c r="AT152" s="348"/>
      <c r="AV152" s="526"/>
      <c r="AW152" s="534"/>
      <c r="AX152" s="534"/>
      <c r="AY152" s="9"/>
      <c r="AZ152" s="48"/>
      <c r="BA152" s="348"/>
      <c r="BB152" s="348"/>
      <c r="BC152" s="348"/>
      <c r="BD152" s="348"/>
      <c r="BE152" s="348"/>
    </row>
    <row r="153" spans="8:57" x14ac:dyDescent="0.25">
      <c r="H153" s="531"/>
      <c r="I153" s="4"/>
      <c r="J153" s="4"/>
      <c r="L153" s="4"/>
      <c r="R153" s="348"/>
      <c r="S153" s="348"/>
      <c r="T153" s="348"/>
      <c r="U153" s="348"/>
      <c r="W153" s="348"/>
      <c r="X153" s="348"/>
      <c r="Y153" s="348"/>
      <c r="Z153" s="348"/>
      <c r="AA153" s="525"/>
      <c r="AB153" s="348"/>
      <c r="AC153" s="348"/>
      <c r="AD153" s="348"/>
      <c r="AE153" s="348"/>
      <c r="AG153" s="348"/>
      <c r="AH153" s="348"/>
      <c r="AI153" s="348"/>
      <c r="AJ153" s="348"/>
      <c r="AK153" s="348"/>
      <c r="AL153" s="348"/>
      <c r="AM153" s="348"/>
      <c r="AN153" s="348"/>
      <c r="AO153" s="348"/>
      <c r="AP153" s="348"/>
      <c r="AQ153" s="348"/>
      <c r="AR153" s="348"/>
      <c r="AS153" s="348"/>
      <c r="AT153" s="348"/>
      <c r="AV153" s="526"/>
      <c r="AW153" s="534"/>
      <c r="AX153" s="534"/>
      <c r="AY153" s="9"/>
      <c r="AZ153" s="48"/>
      <c r="BA153" s="348"/>
      <c r="BB153" s="348"/>
      <c r="BC153" s="348"/>
      <c r="BD153" s="348"/>
      <c r="BE153" s="348"/>
    </row>
    <row r="154" spans="8:57" x14ac:dyDescent="0.25">
      <c r="H154" s="531"/>
      <c r="I154" s="4"/>
      <c r="J154" s="4"/>
      <c r="L154" s="4"/>
      <c r="R154" s="348"/>
      <c r="S154" s="348"/>
      <c r="T154" s="348"/>
      <c r="U154" s="348"/>
      <c r="W154" s="348"/>
      <c r="X154" s="348"/>
      <c r="Y154" s="348"/>
      <c r="Z154" s="348"/>
      <c r="AA154" s="525"/>
      <c r="AB154" s="348"/>
      <c r="AC154" s="348"/>
      <c r="AD154" s="348"/>
      <c r="AE154" s="348"/>
      <c r="AG154" s="348"/>
      <c r="AH154" s="348"/>
      <c r="AI154" s="348"/>
      <c r="AJ154" s="348"/>
      <c r="AK154" s="348"/>
      <c r="AL154" s="348"/>
      <c r="AM154" s="348"/>
      <c r="AN154" s="348"/>
      <c r="AO154" s="348"/>
      <c r="AP154" s="348"/>
      <c r="AQ154" s="348"/>
      <c r="AR154" s="348"/>
      <c r="AS154" s="348"/>
      <c r="AT154" s="348"/>
      <c r="AV154" s="526"/>
      <c r="AW154" s="534"/>
      <c r="AX154" s="534"/>
      <c r="AY154" s="9"/>
      <c r="AZ154" s="48"/>
      <c r="BA154" s="348"/>
      <c r="BB154" s="348"/>
      <c r="BC154" s="348"/>
      <c r="BD154" s="348"/>
      <c r="BE154" s="348"/>
    </row>
    <row r="155" spans="8:57" x14ac:dyDescent="0.25">
      <c r="H155" s="531"/>
      <c r="I155" s="4"/>
      <c r="J155" s="4"/>
      <c r="L155" s="4"/>
      <c r="R155" s="348"/>
      <c r="S155" s="348"/>
      <c r="T155" s="348"/>
      <c r="U155" s="348"/>
      <c r="W155" s="348"/>
      <c r="X155" s="348"/>
      <c r="Y155" s="348"/>
      <c r="Z155" s="348"/>
      <c r="AA155" s="525"/>
      <c r="AB155" s="348"/>
      <c r="AC155" s="348"/>
      <c r="AD155" s="348"/>
      <c r="AE155" s="348"/>
      <c r="AG155" s="348"/>
      <c r="AH155" s="348"/>
      <c r="AI155" s="348"/>
      <c r="AJ155" s="348"/>
      <c r="AK155" s="348"/>
      <c r="AL155" s="348"/>
      <c r="AM155" s="348"/>
      <c r="AN155" s="348"/>
      <c r="AO155" s="348"/>
      <c r="AP155" s="348"/>
      <c r="AQ155" s="348"/>
      <c r="AR155" s="348"/>
      <c r="AS155" s="348"/>
      <c r="AT155" s="348"/>
      <c r="AV155" s="526"/>
      <c r="AW155" s="534"/>
      <c r="AX155" s="534"/>
      <c r="AY155" s="9"/>
      <c r="AZ155" s="48"/>
      <c r="BA155" s="348"/>
      <c r="BB155" s="348"/>
      <c r="BC155" s="348"/>
      <c r="BD155" s="348"/>
      <c r="BE155" s="348"/>
    </row>
    <row r="156" spans="8:57" x14ac:dyDescent="0.25">
      <c r="H156" s="531"/>
      <c r="I156" s="4"/>
      <c r="J156" s="4"/>
      <c r="L156" s="4"/>
      <c r="R156" s="348"/>
      <c r="S156" s="348"/>
      <c r="T156" s="348"/>
      <c r="U156" s="348"/>
      <c r="W156" s="348"/>
      <c r="X156" s="348"/>
      <c r="Y156" s="348"/>
      <c r="Z156" s="348"/>
      <c r="AA156" s="525"/>
      <c r="AB156" s="348"/>
      <c r="AC156" s="348"/>
      <c r="AD156" s="348"/>
      <c r="AE156" s="348"/>
      <c r="AG156" s="348"/>
      <c r="AH156" s="348"/>
      <c r="AI156" s="348"/>
      <c r="AJ156" s="348"/>
      <c r="AK156" s="348"/>
      <c r="AL156" s="348"/>
      <c r="AM156" s="348"/>
      <c r="AN156" s="348"/>
      <c r="AO156" s="348"/>
      <c r="AP156" s="348"/>
      <c r="AQ156" s="348"/>
      <c r="AR156" s="348"/>
      <c r="AS156" s="348"/>
      <c r="AT156" s="348"/>
      <c r="AV156" s="526"/>
      <c r="AW156" s="534"/>
      <c r="AX156" s="534"/>
      <c r="AY156" s="9"/>
      <c r="AZ156" s="48"/>
      <c r="BA156" s="348"/>
      <c r="BB156" s="348"/>
      <c r="BC156" s="348"/>
      <c r="BD156" s="348"/>
      <c r="BE156" s="348"/>
    </row>
    <row r="157" spans="8:57" x14ac:dyDescent="0.25">
      <c r="H157" s="531"/>
      <c r="I157" s="4"/>
      <c r="J157" s="4"/>
      <c r="L157" s="4"/>
      <c r="R157" s="348"/>
      <c r="S157" s="348"/>
      <c r="T157" s="348"/>
      <c r="U157" s="348"/>
      <c r="W157" s="348"/>
      <c r="X157" s="348"/>
      <c r="Y157" s="348"/>
      <c r="Z157" s="348"/>
      <c r="AA157" s="525"/>
      <c r="AB157" s="348"/>
      <c r="AC157" s="348"/>
      <c r="AD157" s="348"/>
      <c r="AE157" s="348"/>
      <c r="AG157" s="348"/>
      <c r="AH157" s="348"/>
      <c r="AI157" s="348"/>
      <c r="AJ157" s="348"/>
      <c r="AK157" s="348"/>
      <c r="AL157" s="348"/>
      <c r="AM157" s="348"/>
      <c r="AN157" s="348"/>
      <c r="AO157" s="348"/>
      <c r="AP157" s="348"/>
      <c r="AQ157" s="348"/>
      <c r="AR157" s="348"/>
      <c r="AS157" s="348"/>
      <c r="AT157" s="348"/>
      <c r="AV157" s="526"/>
      <c r="AW157" s="534"/>
      <c r="AX157" s="534"/>
      <c r="AY157" s="9"/>
      <c r="AZ157" s="48"/>
      <c r="BA157" s="348"/>
      <c r="BB157" s="348"/>
      <c r="BC157" s="348"/>
      <c r="BD157" s="348"/>
      <c r="BE157" s="348"/>
    </row>
    <row r="158" spans="8:57" x14ac:dyDescent="0.25">
      <c r="H158" s="531"/>
      <c r="I158" s="4"/>
      <c r="J158" s="4"/>
      <c r="L158" s="4"/>
      <c r="R158" s="348"/>
      <c r="S158" s="348"/>
      <c r="T158" s="348"/>
      <c r="U158" s="348"/>
      <c r="W158" s="348"/>
      <c r="X158" s="348"/>
      <c r="Y158" s="348"/>
      <c r="Z158" s="348"/>
      <c r="AA158" s="525"/>
      <c r="AB158" s="348"/>
      <c r="AC158" s="348"/>
      <c r="AD158" s="348"/>
      <c r="AE158" s="348"/>
      <c r="AG158" s="348"/>
      <c r="AH158" s="348"/>
      <c r="AI158" s="348"/>
      <c r="AJ158" s="348"/>
      <c r="AK158" s="348"/>
      <c r="AL158" s="348"/>
      <c r="AM158" s="348"/>
      <c r="AN158" s="348"/>
      <c r="AO158" s="348"/>
      <c r="AP158" s="348"/>
      <c r="AQ158" s="348"/>
      <c r="AR158" s="348"/>
      <c r="AS158" s="348"/>
      <c r="AT158" s="348"/>
      <c r="AV158" s="526"/>
      <c r="AW158" s="534"/>
      <c r="AX158" s="534"/>
      <c r="AY158" s="9"/>
      <c r="AZ158" s="48"/>
      <c r="BA158" s="348"/>
      <c r="BB158" s="348"/>
      <c r="BC158" s="348"/>
      <c r="BD158" s="348"/>
      <c r="BE158" s="348"/>
    </row>
    <row r="159" spans="8:57" x14ac:dyDescent="0.25">
      <c r="H159" s="531"/>
      <c r="I159" s="4"/>
      <c r="J159" s="4"/>
      <c r="L159" s="4"/>
      <c r="R159" s="348"/>
      <c r="S159" s="348"/>
      <c r="T159" s="348"/>
      <c r="U159" s="348"/>
      <c r="W159" s="348"/>
      <c r="X159" s="348"/>
      <c r="Y159" s="348"/>
      <c r="Z159" s="348"/>
      <c r="AA159" s="525"/>
      <c r="AB159" s="348"/>
      <c r="AC159" s="348"/>
      <c r="AD159" s="348"/>
      <c r="AE159" s="348"/>
      <c r="AG159" s="348"/>
      <c r="AH159" s="348"/>
      <c r="AI159" s="348"/>
      <c r="AJ159" s="348"/>
      <c r="AK159" s="348"/>
      <c r="AL159" s="348"/>
      <c r="AM159" s="348"/>
      <c r="AN159" s="348"/>
      <c r="AO159" s="348"/>
      <c r="AP159" s="348"/>
      <c r="AQ159" s="348"/>
      <c r="AR159" s="348"/>
      <c r="AS159" s="348"/>
      <c r="AT159" s="348"/>
      <c r="AV159" s="526"/>
      <c r="AW159" s="534"/>
      <c r="AX159" s="534"/>
      <c r="AY159" s="9"/>
      <c r="AZ159" s="48"/>
      <c r="BA159" s="348"/>
      <c r="BB159" s="348"/>
      <c r="BC159" s="348"/>
      <c r="BD159" s="348"/>
      <c r="BE159" s="348"/>
    </row>
    <row r="160" spans="8:57" x14ac:dyDescent="0.25">
      <c r="H160" s="531"/>
      <c r="I160" s="4"/>
      <c r="J160" s="4"/>
      <c r="L160" s="4"/>
      <c r="R160" s="348"/>
      <c r="S160" s="348"/>
      <c r="T160" s="348"/>
      <c r="U160" s="348"/>
      <c r="W160" s="348"/>
      <c r="X160" s="348"/>
      <c r="Y160" s="348"/>
      <c r="Z160" s="348"/>
      <c r="AA160" s="525"/>
      <c r="AB160" s="348"/>
      <c r="AC160" s="348"/>
      <c r="AD160" s="348"/>
      <c r="AE160" s="348"/>
      <c r="AG160" s="348"/>
      <c r="AH160" s="348"/>
      <c r="AI160" s="348"/>
      <c r="AJ160" s="348"/>
      <c r="AK160" s="348"/>
      <c r="AL160" s="348"/>
      <c r="AM160" s="348"/>
      <c r="AN160" s="348"/>
      <c r="AO160" s="348"/>
      <c r="AP160" s="348"/>
      <c r="AQ160" s="348"/>
      <c r="AR160" s="348"/>
      <c r="AS160" s="348"/>
      <c r="AT160" s="348"/>
      <c r="AV160" s="526"/>
      <c r="AW160" s="534"/>
      <c r="AX160" s="534"/>
      <c r="AY160" s="9"/>
      <c r="AZ160" s="48"/>
      <c r="BA160" s="348"/>
      <c r="BB160" s="348"/>
      <c r="BC160" s="348"/>
      <c r="BD160" s="348"/>
      <c r="BE160" s="348"/>
    </row>
    <row r="161" spans="8:57" x14ac:dyDescent="0.25">
      <c r="H161" s="531"/>
      <c r="I161" s="4"/>
      <c r="J161" s="4"/>
      <c r="L161" s="4"/>
      <c r="R161" s="348"/>
      <c r="S161" s="348"/>
      <c r="T161" s="348"/>
      <c r="U161" s="348"/>
      <c r="W161" s="348"/>
      <c r="X161" s="348"/>
      <c r="Y161" s="348"/>
      <c r="Z161" s="348"/>
      <c r="AA161" s="525"/>
      <c r="AB161" s="348"/>
      <c r="AC161" s="348"/>
      <c r="AD161" s="348"/>
      <c r="AE161" s="348"/>
      <c r="AG161" s="348"/>
      <c r="AH161" s="348"/>
      <c r="AI161" s="348"/>
      <c r="AJ161" s="348"/>
      <c r="AK161" s="348"/>
      <c r="AL161" s="348"/>
      <c r="AM161" s="348"/>
      <c r="AN161" s="348"/>
      <c r="AO161" s="348"/>
      <c r="AP161" s="348"/>
      <c r="AQ161" s="348"/>
      <c r="AR161" s="348"/>
      <c r="AS161" s="348"/>
      <c r="AT161" s="348"/>
      <c r="AV161" s="526"/>
      <c r="AW161" s="534"/>
      <c r="AX161" s="534"/>
      <c r="AY161" s="9"/>
      <c r="AZ161" s="48"/>
      <c r="BA161" s="348"/>
      <c r="BB161" s="348"/>
      <c r="BC161" s="348"/>
      <c r="BD161" s="348"/>
      <c r="BE161" s="348"/>
    </row>
    <row r="162" spans="8:57" x14ac:dyDescent="0.25">
      <c r="H162" s="531"/>
      <c r="I162" s="4"/>
      <c r="J162" s="4"/>
      <c r="L162" s="4"/>
      <c r="R162" s="348"/>
      <c r="S162" s="348"/>
      <c r="T162" s="348"/>
      <c r="U162" s="348"/>
      <c r="W162" s="348"/>
      <c r="X162" s="348"/>
      <c r="Y162" s="348"/>
      <c r="Z162" s="348"/>
      <c r="AA162" s="525"/>
      <c r="AB162" s="348"/>
      <c r="AC162" s="348"/>
      <c r="AD162" s="348"/>
      <c r="AE162" s="348"/>
      <c r="AG162" s="348"/>
      <c r="AH162" s="348"/>
      <c r="AI162" s="348"/>
      <c r="AJ162" s="348"/>
      <c r="AK162" s="348"/>
      <c r="AL162" s="348"/>
      <c r="AM162" s="348"/>
      <c r="AN162" s="348"/>
      <c r="AO162" s="348"/>
      <c r="AP162" s="348"/>
      <c r="AQ162" s="348"/>
      <c r="AR162" s="348"/>
      <c r="AS162" s="348"/>
      <c r="AT162" s="348"/>
      <c r="AV162" s="526"/>
      <c r="AW162" s="534"/>
      <c r="AX162" s="534"/>
      <c r="AY162" s="9"/>
      <c r="AZ162" s="48"/>
      <c r="BA162" s="348"/>
      <c r="BB162" s="348"/>
      <c r="BC162" s="348"/>
      <c r="BD162" s="348"/>
      <c r="BE162" s="348"/>
    </row>
    <row r="163" spans="8:57" x14ac:dyDescent="0.25">
      <c r="H163" s="531"/>
      <c r="I163" s="4"/>
      <c r="J163" s="4"/>
      <c r="L163" s="4"/>
      <c r="R163" s="348"/>
      <c r="S163" s="348"/>
      <c r="T163" s="348"/>
      <c r="U163" s="348"/>
      <c r="W163" s="348"/>
      <c r="X163" s="348"/>
      <c r="Y163" s="348"/>
      <c r="Z163" s="348"/>
      <c r="AA163" s="525"/>
      <c r="AB163" s="348"/>
      <c r="AC163" s="348"/>
      <c r="AD163" s="348"/>
      <c r="AE163" s="348"/>
      <c r="AG163" s="348"/>
      <c r="AH163" s="348"/>
      <c r="AI163" s="348"/>
      <c r="AJ163" s="348"/>
      <c r="AK163" s="348"/>
      <c r="AL163" s="348"/>
      <c r="AM163" s="348"/>
      <c r="AN163" s="348"/>
      <c r="AO163" s="348"/>
      <c r="AP163" s="348"/>
      <c r="AQ163" s="348"/>
      <c r="AR163" s="348"/>
      <c r="AS163" s="348"/>
      <c r="AT163" s="348"/>
      <c r="AV163" s="526"/>
      <c r="AW163" s="534"/>
      <c r="AX163" s="534"/>
      <c r="AY163" s="9"/>
      <c r="AZ163" s="48"/>
      <c r="BA163" s="348"/>
      <c r="BB163" s="348"/>
      <c r="BC163" s="348"/>
      <c r="BD163" s="348"/>
      <c r="BE163" s="348"/>
    </row>
    <row r="164" spans="8:57" x14ac:dyDescent="0.25">
      <c r="H164" s="531"/>
      <c r="I164" s="4"/>
      <c r="J164" s="4"/>
      <c r="L164" s="4"/>
      <c r="R164" s="348"/>
      <c r="S164" s="348"/>
      <c r="T164" s="348"/>
      <c r="U164" s="348"/>
      <c r="W164" s="348"/>
      <c r="X164" s="348"/>
      <c r="Y164" s="348"/>
      <c r="Z164" s="348"/>
      <c r="AA164" s="525"/>
      <c r="AB164" s="348"/>
      <c r="AC164" s="348"/>
      <c r="AD164" s="348"/>
      <c r="AE164" s="348"/>
      <c r="AG164" s="348"/>
      <c r="AH164" s="348"/>
      <c r="AI164" s="348"/>
      <c r="AJ164" s="348"/>
      <c r="AK164" s="348"/>
      <c r="AL164" s="348"/>
      <c r="AM164" s="348"/>
      <c r="AN164" s="348"/>
      <c r="AO164" s="348"/>
      <c r="AP164" s="348"/>
      <c r="AQ164" s="348"/>
      <c r="AR164" s="348"/>
      <c r="AS164" s="348"/>
      <c r="AT164" s="348"/>
      <c r="AV164" s="526"/>
      <c r="AW164" s="534"/>
      <c r="AX164" s="534"/>
      <c r="AY164" s="9"/>
      <c r="AZ164" s="48"/>
      <c r="BA164" s="348"/>
      <c r="BB164" s="348"/>
      <c r="BC164" s="348"/>
      <c r="BD164" s="348"/>
      <c r="BE164" s="348"/>
    </row>
    <row r="165" spans="8:57" x14ac:dyDescent="0.25">
      <c r="H165" s="531"/>
      <c r="I165" s="4"/>
      <c r="J165" s="4"/>
      <c r="L165" s="4"/>
      <c r="R165" s="348"/>
      <c r="S165" s="348"/>
      <c r="T165" s="348"/>
      <c r="U165" s="348"/>
      <c r="W165" s="348"/>
      <c r="X165" s="348"/>
      <c r="Y165" s="348"/>
      <c r="Z165" s="348"/>
      <c r="AA165" s="525"/>
      <c r="AB165" s="348"/>
      <c r="AC165" s="348"/>
      <c r="AD165" s="348"/>
      <c r="AE165" s="348"/>
      <c r="AG165" s="348"/>
      <c r="AH165" s="348"/>
      <c r="AI165" s="348"/>
      <c r="AJ165" s="348"/>
      <c r="AK165" s="348"/>
      <c r="AL165" s="348"/>
      <c r="AM165" s="348"/>
      <c r="AN165" s="348"/>
      <c r="AO165" s="348"/>
      <c r="AP165" s="348"/>
      <c r="AQ165" s="348"/>
      <c r="AR165" s="348"/>
      <c r="AS165" s="348"/>
      <c r="AT165" s="348"/>
      <c r="AV165" s="526"/>
      <c r="AW165" s="534"/>
      <c r="AX165" s="534"/>
      <c r="AY165" s="9"/>
      <c r="AZ165" s="48"/>
      <c r="BA165" s="348"/>
      <c r="BB165" s="348"/>
      <c r="BC165" s="348"/>
      <c r="BD165" s="348"/>
      <c r="BE165" s="348"/>
    </row>
    <row r="166" spans="8:57" x14ac:dyDescent="0.25">
      <c r="H166" s="531"/>
      <c r="I166" s="4"/>
      <c r="J166" s="4"/>
      <c r="L166" s="4"/>
      <c r="R166" s="348"/>
      <c r="S166" s="348"/>
      <c r="T166" s="348"/>
      <c r="U166" s="348"/>
      <c r="W166" s="348"/>
      <c r="X166" s="348"/>
      <c r="Y166" s="348"/>
      <c r="Z166" s="348"/>
      <c r="AA166" s="525"/>
      <c r="AB166" s="348"/>
      <c r="AC166" s="348"/>
      <c r="AD166" s="348"/>
      <c r="AE166" s="348"/>
      <c r="AG166" s="348"/>
      <c r="AH166" s="348"/>
      <c r="AI166" s="348"/>
      <c r="AJ166" s="348"/>
      <c r="AK166" s="348"/>
      <c r="AL166" s="348"/>
      <c r="AM166" s="348"/>
      <c r="AN166" s="348"/>
      <c r="AO166" s="348"/>
      <c r="AP166" s="348"/>
      <c r="AQ166" s="348"/>
      <c r="AR166" s="348"/>
      <c r="AS166" s="348"/>
      <c r="AT166" s="348"/>
      <c r="AV166" s="526"/>
      <c r="AW166" s="534"/>
      <c r="AX166" s="534"/>
      <c r="AY166" s="9"/>
      <c r="AZ166" s="48"/>
      <c r="BA166" s="348"/>
      <c r="BB166" s="348"/>
      <c r="BC166" s="348"/>
      <c r="BD166" s="348"/>
      <c r="BE166" s="348"/>
    </row>
    <row r="167" spans="8:57" x14ac:dyDescent="0.25">
      <c r="H167" s="531"/>
      <c r="I167" s="4"/>
      <c r="J167" s="4"/>
      <c r="L167" s="4"/>
      <c r="R167" s="348"/>
      <c r="S167" s="348"/>
      <c r="T167" s="348"/>
      <c r="U167" s="348"/>
      <c r="W167" s="348"/>
      <c r="X167" s="348"/>
      <c r="Y167" s="348"/>
      <c r="Z167" s="348"/>
      <c r="AA167" s="525"/>
      <c r="AB167" s="348"/>
      <c r="AC167" s="348"/>
      <c r="AD167" s="348"/>
      <c r="AE167" s="348"/>
      <c r="AG167" s="348"/>
      <c r="AH167" s="348"/>
      <c r="AI167" s="348"/>
      <c r="AJ167" s="348"/>
      <c r="AK167" s="348"/>
      <c r="AL167" s="348"/>
      <c r="AM167" s="348"/>
      <c r="AN167" s="348"/>
      <c r="AO167" s="348"/>
      <c r="AP167" s="348"/>
      <c r="AQ167" s="348"/>
      <c r="AR167" s="348"/>
      <c r="AS167" s="348"/>
      <c r="AT167" s="348"/>
      <c r="AV167" s="526"/>
      <c r="AW167" s="534"/>
      <c r="AX167" s="534"/>
      <c r="AY167" s="9"/>
      <c r="AZ167" s="48"/>
      <c r="BA167" s="348"/>
      <c r="BB167" s="348"/>
      <c r="BC167" s="348"/>
      <c r="BD167" s="348"/>
      <c r="BE167" s="348"/>
    </row>
    <row r="168" spans="8:57" x14ac:dyDescent="0.25">
      <c r="H168" s="531"/>
      <c r="I168" s="4"/>
      <c r="J168" s="4"/>
      <c r="L168" s="4"/>
      <c r="R168" s="348"/>
      <c r="S168" s="348"/>
      <c r="T168" s="348"/>
      <c r="U168" s="348"/>
      <c r="W168" s="348"/>
      <c r="X168" s="348"/>
      <c r="Y168" s="348"/>
      <c r="Z168" s="348"/>
      <c r="AA168" s="525"/>
      <c r="AB168" s="348"/>
      <c r="AC168" s="348"/>
      <c r="AD168" s="348"/>
      <c r="AE168" s="348"/>
      <c r="AG168" s="348"/>
      <c r="AH168" s="348"/>
      <c r="AI168" s="348"/>
      <c r="AJ168" s="348"/>
      <c r="AK168" s="348"/>
      <c r="AL168" s="348"/>
      <c r="AM168" s="348"/>
      <c r="AN168" s="348"/>
      <c r="AO168" s="348"/>
      <c r="AP168" s="348"/>
      <c r="AQ168" s="348"/>
      <c r="AR168" s="348"/>
      <c r="AS168" s="348"/>
      <c r="AT168" s="348"/>
      <c r="AV168" s="526"/>
      <c r="AW168" s="534"/>
      <c r="AX168" s="534"/>
      <c r="AY168" s="9"/>
      <c r="AZ168" s="48"/>
      <c r="BA168" s="348"/>
      <c r="BB168" s="348"/>
      <c r="BC168" s="348"/>
      <c r="BD168" s="348"/>
      <c r="BE168" s="348"/>
    </row>
    <row r="169" spans="8:57" x14ac:dyDescent="0.25">
      <c r="H169" s="531"/>
      <c r="I169" s="4"/>
      <c r="J169" s="4"/>
      <c r="L169" s="4"/>
      <c r="R169" s="348"/>
      <c r="S169" s="348"/>
      <c r="T169" s="348"/>
      <c r="U169" s="348"/>
      <c r="W169" s="348"/>
      <c r="X169" s="348"/>
      <c r="Y169" s="348"/>
      <c r="Z169" s="348"/>
      <c r="AA169" s="525"/>
      <c r="AB169" s="348"/>
      <c r="AC169" s="348"/>
      <c r="AD169" s="348"/>
      <c r="AE169" s="348"/>
      <c r="AG169" s="348"/>
      <c r="AH169" s="348"/>
      <c r="AI169" s="348"/>
      <c r="AJ169" s="348"/>
      <c r="AK169" s="348"/>
      <c r="AL169" s="348"/>
      <c r="AM169" s="348"/>
      <c r="AN169" s="348"/>
      <c r="AO169" s="348"/>
      <c r="AP169" s="348"/>
      <c r="AQ169" s="348"/>
      <c r="AR169" s="348"/>
      <c r="AS169" s="348"/>
      <c r="AT169" s="348"/>
      <c r="AV169" s="526"/>
      <c r="AW169" s="534"/>
      <c r="AX169" s="534"/>
      <c r="AY169" s="9"/>
      <c r="AZ169" s="48"/>
      <c r="BA169" s="348"/>
      <c r="BB169" s="348"/>
      <c r="BC169" s="348"/>
      <c r="BD169" s="348"/>
      <c r="BE169" s="348"/>
    </row>
    <row r="170" spans="8:57" x14ac:dyDescent="0.25">
      <c r="H170" s="531"/>
      <c r="I170" s="4"/>
      <c r="J170" s="4"/>
      <c r="L170" s="4"/>
      <c r="R170" s="348"/>
      <c r="S170" s="348"/>
      <c r="T170" s="348"/>
      <c r="U170" s="348"/>
      <c r="W170" s="348"/>
      <c r="X170" s="348"/>
      <c r="Y170" s="348"/>
      <c r="Z170" s="348"/>
      <c r="AA170" s="525"/>
      <c r="AB170" s="348"/>
      <c r="AC170" s="348"/>
      <c r="AD170" s="348"/>
      <c r="AE170" s="348"/>
      <c r="AG170" s="348"/>
      <c r="AH170" s="348"/>
      <c r="AI170" s="348"/>
      <c r="AJ170" s="348"/>
      <c r="AK170" s="348"/>
      <c r="AL170" s="348"/>
      <c r="AM170" s="348"/>
      <c r="AN170" s="348"/>
      <c r="AO170" s="348"/>
      <c r="AP170" s="348"/>
      <c r="AQ170" s="348"/>
      <c r="AR170" s="348"/>
      <c r="AS170" s="348"/>
      <c r="AT170" s="348"/>
      <c r="AV170" s="526"/>
      <c r="AW170" s="534"/>
      <c r="AX170" s="534"/>
      <c r="AY170" s="9"/>
      <c r="AZ170" s="48"/>
      <c r="BA170" s="348"/>
      <c r="BB170" s="348"/>
      <c r="BC170" s="348"/>
      <c r="BD170" s="348"/>
      <c r="BE170" s="348"/>
    </row>
    <row r="171" spans="8:57" x14ac:dyDescent="0.25">
      <c r="H171" s="531"/>
      <c r="I171" s="4"/>
      <c r="J171" s="4"/>
      <c r="L171" s="4"/>
      <c r="R171" s="348"/>
      <c r="S171" s="348"/>
      <c r="T171" s="348"/>
      <c r="U171" s="348"/>
      <c r="W171" s="348"/>
      <c r="X171" s="348"/>
      <c r="Y171" s="348"/>
      <c r="Z171" s="348"/>
      <c r="AA171" s="525"/>
      <c r="AB171" s="348"/>
      <c r="AC171" s="348"/>
      <c r="AD171" s="348"/>
      <c r="AE171" s="348"/>
      <c r="AG171" s="348"/>
      <c r="AH171" s="348"/>
      <c r="AI171" s="348"/>
      <c r="AJ171" s="348"/>
      <c r="AK171" s="348"/>
      <c r="AL171" s="348"/>
      <c r="AM171" s="348"/>
      <c r="AN171" s="348"/>
      <c r="AO171" s="348"/>
      <c r="AP171" s="348"/>
      <c r="AQ171" s="348"/>
      <c r="AR171" s="348"/>
      <c r="AS171" s="348"/>
      <c r="AT171" s="348"/>
      <c r="AV171" s="526"/>
      <c r="AW171" s="534"/>
      <c r="AX171" s="534"/>
      <c r="AY171" s="9"/>
      <c r="AZ171" s="48"/>
      <c r="BA171" s="348"/>
      <c r="BB171" s="348"/>
      <c r="BC171" s="348"/>
      <c r="BD171" s="348"/>
      <c r="BE171" s="348"/>
    </row>
    <row r="172" spans="8:57" x14ac:dyDescent="0.25">
      <c r="H172" s="531"/>
      <c r="I172" s="4"/>
      <c r="J172" s="4"/>
      <c r="L172" s="4"/>
      <c r="R172" s="348"/>
      <c r="S172" s="348"/>
      <c r="T172" s="348"/>
      <c r="U172" s="348"/>
      <c r="W172" s="348"/>
      <c r="X172" s="348"/>
      <c r="Y172" s="348"/>
      <c r="Z172" s="348"/>
      <c r="AA172" s="525"/>
      <c r="AB172" s="348"/>
      <c r="AC172" s="348"/>
      <c r="AD172" s="348"/>
      <c r="AE172" s="348"/>
      <c r="AG172" s="348"/>
      <c r="AH172" s="348"/>
      <c r="AI172" s="348"/>
      <c r="AJ172" s="348"/>
      <c r="AK172" s="348"/>
      <c r="AL172" s="348"/>
      <c r="AM172" s="348"/>
      <c r="AN172" s="348"/>
      <c r="AO172" s="348"/>
      <c r="AP172" s="348"/>
      <c r="AQ172" s="348"/>
      <c r="AR172" s="348"/>
      <c r="AS172" s="348"/>
      <c r="AT172" s="348"/>
      <c r="AV172" s="526"/>
      <c r="AW172" s="534"/>
      <c r="AX172" s="534"/>
      <c r="AY172" s="9"/>
      <c r="AZ172" s="48"/>
      <c r="BA172" s="348"/>
      <c r="BB172" s="348"/>
      <c r="BC172" s="348"/>
      <c r="BD172" s="348"/>
      <c r="BE172" s="348"/>
    </row>
    <row r="173" spans="8:57" x14ac:dyDescent="0.25">
      <c r="H173" s="531"/>
      <c r="I173" s="4"/>
      <c r="J173" s="4"/>
      <c r="L173" s="4"/>
      <c r="R173" s="348"/>
      <c r="S173" s="348"/>
      <c r="T173" s="348"/>
      <c r="U173" s="348"/>
      <c r="W173" s="348"/>
      <c r="X173" s="348"/>
      <c r="Y173" s="348"/>
      <c r="Z173" s="348"/>
      <c r="AA173" s="525"/>
      <c r="AB173" s="348"/>
      <c r="AC173" s="348"/>
      <c r="AD173" s="348"/>
      <c r="AE173" s="348"/>
      <c r="AG173" s="348"/>
      <c r="AH173" s="348"/>
      <c r="AI173" s="348"/>
      <c r="AJ173" s="348"/>
      <c r="AK173" s="348"/>
      <c r="AL173" s="348"/>
      <c r="AM173" s="348"/>
      <c r="AN173" s="348"/>
      <c r="AO173" s="348"/>
      <c r="AP173" s="348"/>
      <c r="AQ173" s="348"/>
      <c r="AR173" s="348"/>
      <c r="AS173" s="348"/>
      <c r="AT173" s="348"/>
      <c r="AV173" s="526"/>
      <c r="AW173" s="534"/>
      <c r="AX173" s="534"/>
      <c r="AY173" s="9"/>
      <c r="AZ173" s="48"/>
      <c r="BA173" s="348"/>
      <c r="BB173" s="348"/>
      <c r="BC173" s="348"/>
      <c r="BD173" s="348"/>
      <c r="BE173" s="348"/>
    </row>
    <row r="174" spans="8:57" x14ac:dyDescent="0.25">
      <c r="H174" s="531"/>
      <c r="I174" s="4"/>
      <c r="J174" s="4"/>
      <c r="L174" s="4"/>
      <c r="R174" s="348"/>
      <c r="S174" s="348"/>
      <c r="T174" s="348"/>
      <c r="U174" s="348"/>
      <c r="W174" s="348"/>
      <c r="X174" s="348"/>
      <c r="Y174" s="348"/>
      <c r="Z174" s="348"/>
      <c r="AA174" s="525"/>
      <c r="AB174" s="348"/>
      <c r="AC174" s="348"/>
      <c r="AD174" s="348"/>
      <c r="AE174" s="348"/>
      <c r="AG174" s="348"/>
      <c r="AH174" s="348"/>
      <c r="AI174" s="348"/>
      <c r="AJ174" s="348"/>
      <c r="AK174" s="348"/>
      <c r="AL174" s="348"/>
      <c r="AM174" s="348"/>
      <c r="AN174" s="348"/>
      <c r="AO174" s="348"/>
      <c r="AP174" s="348"/>
      <c r="AQ174" s="348"/>
      <c r="AR174" s="348"/>
      <c r="AS174" s="348"/>
      <c r="AT174" s="348"/>
      <c r="AV174" s="526"/>
      <c r="AW174" s="534"/>
      <c r="AX174" s="534"/>
      <c r="AY174" s="9"/>
      <c r="AZ174" s="48"/>
      <c r="BA174" s="348"/>
      <c r="BB174" s="348"/>
      <c r="BC174" s="348"/>
      <c r="BD174" s="348"/>
      <c r="BE174" s="348"/>
    </row>
    <row r="175" spans="8:57" x14ac:dyDescent="0.25">
      <c r="H175" s="531"/>
      <c r="I175" s="4"/>
      <c r="J175" s="4"/>
      <c r="L175" s="4"/>
      <c r="R175" s="348"/>
      <c r="S175" s="348"/>
      <c r="T175" s="348"/>
      <c r="U175" s="348"/>
      <c r="W175" s="348"/>
      <c r="X175" s="348"/>
      <c r="Y175" s="348"/>
      <c r="Z175" s="348"/>
      <c r="AA175" s="525"/>
      <c r="AB175" s="348"/>
      <c r="AC175" s="348"/>
      <c r="AD175" s="348"/>
      <c r="AE175" s="348"/>
      <c r="AG175" s="348"/>
      <c r="AH175" s="348"/>
      <c r="AI175" s="348"/>
      <c r="AJ175" s="348"/>
      <c r="AK175" s="348"/>
      <c r="AL175" s="348"/>
      <c r="AM175" s="348"/>
      <c r="AN175" s="348"/>
      <c r="AO175" s="348"/>
      <c r="AP175" s="348"/>
      <c r="AQ175" s="348"/>
      <c r="AR175" s="348"/>
      <c r="AS175" s="348"/>
      <c r="AT175" s="348"/>
      <c r="AV175" s="526"/>
      <c r="AW175" s="534"/>
      <c r="AX175" s="534"/>
      <c r="AY175" s="9"/>
      <c r="AZ175" s="48"/>
      <c r="BA175" s="348"/>
      <c r="BB175" s="348"/>
      <c r="BC175" s="348"/>
      <c r="BD175" s="348"/>
      <c r="BE175" s="348"/>
    </row>
    <row r="176" spans="8:57" x14ac:dyDescent="0.25">
      <c r="H176" s="531"/>
      <c r="I176" s="4"/>
      <c r="J176" s="4"/>
      <c r="L176" s="4"/>
      <c r="R176" s="348"/>
      <c r="S176" s="348"/>
      <c r="T176" s="348"/>
      <c r="U176" s="348"/>
      <c r="W176" s="348"/>
      <c r="X176" s="348"/>
      <c r="Y176" s="348"/>
      <c r="Z176" s="348"/>
      <c r="AA176" s="525"/>
      <c r="AB176" s="348"/>
      <c r="AC176" s="348"/>
      <c r="AD176" s="348"/>
      <c r="AE176" s="348"/>
      <c r="AG176" s="348"/>
      <c r="AH176" s="348"/>
      <c r="AI176" s="348"/>
      <c r="AJ176" s="348"/>
      <c r="AK176" s="348"/>
      <c r="AL176" s="348"/>
      <c r="AM176" s="348"/>
      <c r="AN176" s="348"/>
      <c r="AO176" s="348"/>
      <c r="AP176" s="348"/>
      <c r="AQ176" s="348"/>
      <c r="AR176" s="348"/>
      <c r="AS176" s="348"/>
      <c r="AT176" s="348"/>
      <c r="AV176" s="526"/>
      <c r="AW176" s="534"/>
      <c r="AX176" s="534"/>
      <c r="AY176" s="9"/>
      <c r="AZ176" s="48"/>
      <c r="BA176" s="348"/>
      <c r="BB176" s="348"/>
      <c r="BC176" s="348"/>
      <c r="BD176" s="348"/>
      <c r="BE176" s="348"/>
    </row>
    <row r="177" spans="8:57" x14ac:dyDescent="0.25">
      <c r="H177" s="531"/>
      <c r="I177" s="4"/>
      <c r="J177" s="4"/>
      <c r="L177" s="4"/>
      <c r="R177" s="348"/>
      <c r="S177" s="348"/>
      <c r="T177" s="348"/>
      <c r="U177" s="348"/>
      <c r="W177" s="348"/>
      <c r="X177" s="348"/>
      <c r="Y177" s="348"/>
      <c r="Z177" s="348"/>
      <c r="AA177" s="525"/>
      <c r="AB177" s="348"/>
      <c r="AC177" s="348"/>
      <c r="AD177" s="348"/>
      <c r="AE177" s="348"/>
      <c r="AG177" s="348"/>
      <c r="AH177" s="348"/>
      <c r="AI177" s="348"/>
      <c r="AJ177" s="348"/>
      <c r="AK177" s="348"/>
      <c r="AL177" s="348"/>
      <c r="AM177" s="348"/>
      <c r="AN177" s="348"/>
      <c r="AO177" s="348"/>
      <c r="AP177" s="348"/>
      <c r="AQ177" s="348"/>
      <c r="AR177" s="348"/>
      <c r="AS177" s="348"/>
      <c r="AT177" s="348"/>
      <c r="AV177" s="526"/>
      <c r="AW177" s="534"/>
      <c r="AX177" s="534"/>
      <c r="AY177" s="9"/>
      <c r="AZ177" s="48"/>
      <c r="BA177" s="348"/>
      <c r="BB177" s="348"/>
      <c r="BC177" s="348"/>
      <c r="BD177" s="348"/>
      <c r="BE177" s="348"/>
    </row>
    <row r="178" spans="8:57" x14ac:dyDescent="0.25">
      <c r="H178" s="531"/>
      <c r="I178" s="4"/>
      <c r="J178" s="4"/>
      <c r="L178" s="4"/>
      <c r="R178" s="348"/>
      <c r="S178" s="348"/>
      <c r="T178" s="348"/>
      <c r="U178" s="348"/>
      <c r="W178" s="348"/>
      <c r="X178" s="348"/>
      <c r="Y178" s="348"/>
      <c r="Z178" s="348"/>
      <c r="AA178" s="525"/>
      <c r="AB178" s="348"/>
      <c r="AC178" s="348"/>
      <c r="AD178" s="348"/>
      <c r="AE178" s="348"/>
      <c r="AG178" s="348"/>
      <c r="AH178" s="348"/>
      <c r="AI178" s="348"/>
      <c r="AJ178" s="348"/>
      <c r="AK178" s="348"/>
      <c r="AL178" s="348"/>
      <c r="AM178" s="348"/>
      <c r="AN178" s="348"/>
      <c r="AO178" s="348"/>
      <c r="AP178" s="348"/>
      <c r="AQ178" s="348"/>
      <c r="AR178" s="348"/>
      <c r="AS178" s="348"/>
      <c r="AT178" s="348"/>
      <c r="AV178" s="526"/>
      <c r="AW178" s="534"/>
      <c r="AX178" s="534"/>
      <c r="AY178" s="9"/>
      <c r="AZ178" s="48"/>
      <c r="BA178" s="348"/>
      <c r="BB178" s="348"/>
      <c r="BC178" s="348"/>
      <c r="BD178" s="348"/>
      <c r="BE178" s="348"/>
    </row>
    <row r="179" spans="8:57" x14ac:dyDescent="0.25">
      <c r="H179" s="531"/>
      <c r="I179" s="4"/>
      <c r="J179" s="4"/>
      <c r="L179" s="4"/>
      <c r="R179" s="348"/>
      <c r="S179" s="348"/>
      <c r="T179" s="348"/>
      <c r="U179" s="348"/>
      <c r="W179" s="348"/>
      <c r="X179" s="348"/>
      <c r="Y179" s="348"/>
      <c r="Z179" s="348"/>
      <c r="AA179" s="525"/>
      <c r="AB179" s="348"/>
      <c r="AC179" s="348"/>
      <c r="AD179" s="348"/>
      <c r="AE179" s="348"/>
      <c r="AG179" s="348"/>
      <c r="AH179" s="348"/>
      <c r="AI179" s="348"/>
      <c r="AJ179" s="348"/>
      <c r="AK179" s="348"/>
      <c r="AL179" s="348"/>
      <c r="AM179" s="348"/>
      <c r="AN179" s="348"/>
      <c r="AO179" s="348"/>
      <c r="AP179" s="348"/>
      <c r="AQ179" s="348"/>
      <c r="AR179" s="348"/>
      <c r="AS179" s="348"/>
      <c r="AT179" s="348"/>
      <c r="AV179" s="526"/>
      <c r="AW179" s="534"/>
      <c r="AX179" s="534"/>
      <c r="AY179" s="9"/>
      <c r="AZ179" s="48"/>
      <c r="BA179" s="348"/>
      <c r="BB179" s="348"/>
      <c r="BC179" s="348"/>
      <c r="BD179" s="348"/>
      <c r="BE179" s="348"/>
    </row>
    <row r="180" spans="8:57" x14ac:dyDescent="0.25">
      <c r="H180" s="531"/>
      <c r="I180" s="4"/>
      <c r="J180" s="4"/>
      <c r="L180" s="4"/>
      <c r="R180" s="348"/>
      <c r="S180" s="348"/>
      <c r="T180" s="348"/>
      <c r="U180" s="348"/>
      <c r="W180" s="348"/>
      <c r="X180" s="348"/>
      <c r="Y180" s="348"/>
      <c r="Z180" s="348"/>
      <c r="AA180" s="525"/>
      <c r="AB180" s="348"/>
      <c r="AC180" s="348"/>
      <c r="AD180" s="348"/>
      <c r="AE180" s="348"/>
      <c r="AG180" s="348"/>
      <c r="AH180" s="348"/>
      <c r="AI180" s="348"/>
      <c r="AJ180" s="348"/>
      <c r="AK180" s="348"/>
      <c r="AL180" s="348"/>
      <c r="AM180" s="348"/>
      <c r="AN180" s="348"/>
      <c r="AO180" s="348"/>
      <c r="AP180" s="348"/>
      <c r="AQ180" s="348"/>
      <c r="AR180" s="348"/>
      <c r="AS180" s="348"/>
      <c r="AT180" s="348"/>
      <c r="AV180" s="526"/>
      <c r="AW180" s="534"/>
      <c r="AX180" s="534"/>
      <c r="AY180" s="9"/>
      <c r="AZ180" s="48"/>
      <c r="BA180" s="348"/>
      <c r="BB180" s="348"/>
      <c r="BC180" s="348"/>
      <c r="BD180" s="348"/>
      <c r="BE180" s="348"/>
    </row>
    <row r="181" spans="8:57" x14ac:dyDescent="0.25">
      <c r="H181" s="531"/>
      <c r="I181" s="4"/>
      <c r="J181" s="4"/>
      <c r="L181" s="4"/>
      <c r="R181" s="348"/>
      <c r="S181" s="348"/>
      <c r="T181" s="348"/>
      <c r="U181" s="348"/>
      <c r="W181" s="348"/>
      <c r="X181" s="348"/>
      <c r="Y181" s="348"/>
      <c r="Z181" s="348"/>
      <c r="AA181" s="525"/>
      <c r="AB181" s="348"/>
      <c r="AC181" s="348"/>
      <c r="AD181" s="348"/>
      <c r="AE181" s="348"/>
      <c r="AG181" s="348"/>
      <c r="AH181" s="348"/>
      <c r="AI181" s="348"/>
      <c r="AJ181" s="348"/>
      <c r="AK181" s="348"/>
      <c r="AL181" s="348"/>
      <c r="AM181" s="348"/>
      <c r="AN181" s="348"/>
      <c r="AO181" s="348"/>
      <c r="AP181" s="348"/>
      <c r="AQ181" s="348"/>
      <c r="AR181" s="348"/>
      <c r="AS181" s="348"/>
      <c r="AT181" s="348"/>
      <c r="AV181" s="526"/>
      <c r="AW181" s="534"/>
      <c r="AX181" s="534"/>
      <c r="AY181" s="9"/>
      <c r="AZ181" s="48"/>
      <c r="BA181" s="348"/>
      <c r="BB181" s="348"/>
      <c r="BC181" s="348"/>
      <c r="BD181" s="348"/>
      <c r="BE181" s="348"/>
    </row>
    <row r="182" spans="8:57" x14ac:dyDescent="0.25">
      <c r="H182" s="531"/>
      <c r="I182" s="4"/>
      <c r="J182" s="4"/>
      <c r="L182" s="4"/>
      <c r="R182" s="348"/>
      <c r="S182" s="348"/>
      <c r="T182" s="348"/>
      <c r="U182" s="348"/>
      <c r="W182" s="348"/>
      <c r="X182" s="348"/>
      <c r="Y182" s="348"/>
      <c r="Z182" s="348"/>
      <c r="AA182" s="525"/>
      <c r="AB182" s="348"/>
      <c r="AC182" s="348"/>
      <c r="AD182" s="348"/>
      <c r="AE182" s="348"/>
      <c r="AG182" s="348"/>
      <c r="AH182" s="348"/>
      <c r="AI182" s="348"/>
      <c r="AJ182" s="348"/>
      <c r="AK182" s="348"/>
      <c r="AL182" s="348"/>
      <c r="AM182" s="348"/>
      <c r="AN182" s="348"/>
      <c r="AO182" s="348"/>
      <c r="AP182" s="348"/>
      <c r="AQ182" s="348"/>
      <c r="AR182" s="348"/>
      <c r="AS182" s="348"/>
      <c r="AT182" s="348"/>
      <c r="AV182" s="526"/>
      <c r="AW182" s="534"/>
      <c r="AX182" s="534"/>
      <c r="AY182" s="9"/>
      <c r="AZ182" s="48"/>
      <c r="BA182" s="348"/>
      <c r="BB182" s="348"/>
      <c r="BC182" s="348"/>
      <c r="BD182" s="348"/>
      <c r="BE182" s="348"/>
    </row>
    <row r="183" spans="8:57" x14ac:dyDescent="0.25">
      <c r="H183" s="531"/>
      <c r="I183" s="4"/>
      <c r="J183" s="4"/>
      <c r="L183" s="4"/>
      <c r="R183" s="348"/>
      <c r="S183" s="348"/>
      <c r="T183" s="348"/>
      <c r="U183" s="348"/>
      <c r="W183" s="348"/>
      <c r="X183" s="348"/>
      <c r="Y183" s="348"/>
      <c r="Z183" s="348"/>
      <c r="AA183" s="525"/>
      <c r="AB183" s="348"/>
      <c r="AC183" s="348"/>
      <c r="AD183" s="348"/>
      <c r="AE183" s="348"/>
      <c r="AG183" s="348"/>
      <c r="AH183" s="348"/>
      <c r="AI183" s="348"/>
      <c r="AJ183" s="348"/>
      <c r="AK183" s="348"/>
      <c r="AL183" s="348"/>
      <c r="AM183" s="348"/>
      <c r="AN183" s="348"/>
      <c r="AO183" s="348"/>
      <c r="AP183" s="348"/>
      <c r="AQ183" s="348"/>
      <c r="AR183" s="348"/>
      <c r="AS183" s="348"/>
      <c r="AT183" s="348"/>
      <c r="AV183" s="526"/>
      <c r="AW183" s="534"/>
      <c r="AX183" s="534"/>
      <c r="AY183" s="9"/>
      <c r="AZ183" s="48"/>
      <c r="BA183" s="348"/>
      <c r="BB183" s="348"/>
      <c r="BC183" s="348"/>
      <c r="BD183" s="348"/>
      <c r="BE183" s="348"/>
    </row>
    <row r="184" spans="8:57" x14ac:dyDescent="0.25">
      <c r="H184" s="531"/>
      <c r="I184" s="4"/>
      <c r="J184" s="4"/>
      <c r="L184" s="4"/>
      <c r="R184" s="348"/>
      <c r="S184" s="348"/>
      <c r="T184" s="348"/>
      <c r="U184" s="348"/>
      <c r="W184" s="348"/>
      <c r="X184" s="348"/>
      <c r="Y184" s="348"/>
      <c r="Z184" s="348"/>
      <c r="AA184" s="525"/>
      <c r="AB184" s="348"/>
      <c r="AC184" s="348"/>
      <c r="AD184" s="348"/>
      <c r="AE184" s="348"/>
      <c r="AG184" s="348"/>
      <c r="AH184" s="348"/>
      <c r="AI184" s="348"/>
      <c r="AJ184" s="348"/>
      <c r="AK184" s="348"/>
      <c r="AL184" s="348"/>
      <c r="AM184" s="348"/>
      <c r="AN184" s="348"/>
      <c r="AO184" s="348"/>
      <c r="AP184" s="348"/>
      <c r="AQ184" s="348"/>
      <c r="AR184" s="348"/>
      <c r="AS184" s="348"/>
      <c r="AT184" s="348"/>
      <c r="AV184" s="526"/>
      <c r="AW184" s="534"/>
      <c r="AX184" s="534"/>
      <c r="AY184" s="9"/>
      <c r="AZ184" s="48"/>
      <c r="BA184" s="348"/>
      <c r="BB184" s="348"/>
      <c r="BC184" s="348"/>
      <c r="BD184" s="348"/>
      <c r="BE184" s="348"/>
    </row>
    <row r="185" spans="8:57" x14ac:dyDescent="0.25">
      <c r="H185" s="531"/>
      <c r="I185" s="4"/>
      <c r="J185" s="4"/>
      <c r="L185" s="4"/>
      <c r="R185" s="348"/>
      <c r="S185" s="348"/>
      <c r="T185" s="348"/>
      <c r="U185" s="348"/>
      <c r="W185" s="348"/>
      <c r="X185" s="348"/>
      <c r="Y185" s="348"/>
      <c r="Z185" s="348"/>
      <c r="AA185" s="525"/>
      <c r="AB185" s="348"/>
      <c r="AC185" s="348"/>
      <c r="AD185" s="348"/>
      <c r="AE185" s="348"/>
      <c r="AG185" s="348"/>
      <c r="AH185" s="348"/>
      <c r="AI185" s="348"/>
      <c r="AJ185" s="348"/>
      <c r="AK185" s="348"/>
      <c r="AL185" s="348"/>
      <c r="AM185" s="348"/>
      <c r="AN185" s="348"/>
      <c r="AO185" s="348"/>
      <c r="AP185" s="348"/>
      <c r="AQ185" s="348"/>
      <c r="AR185" s="348"/>
      <c r="AS185" s="348"/>
      <c r="AT185" s="348"/>
      <c r="AV185" s="526"/>
      <c r="AW185" s="534"/>
      <c r="AX185" s="534"/>
      <c r="AY185" s="9"/>
      <c r="AZ185" s="48"/>
      <c r="BA185" s="348"/>
      <c r="BB185" s="348"/>
      <c r="BC185" s="348"/>
      <c r="BD185" s="348"/>
      <c r="BE185" s="348"/>
    </row>
    <row r="186" spans="8:57" x14ac:dyDescent="0.25">
      <c r="H186" s="531"/>
      <c r="I186" s="4"/>
      <c r="J186" s="4"/>
      <c r="L186" s="4"/>
      <c r="R186" s="348"/>
      <c r="S186" s="348"/>
      <c r="T186" s="348"/>
      <c r="U186" s="348"/>
      <c r="W186" s="348"/>
      <c r="X186" s="348"/>
      <c r="Y186" s="348"/>
      <c r="Z186" s="348"/>
      <c r="AA186" s="525"/>
      <c r="AB186" s="348"/>
      <c r="AC186" s="348"/>
      <c r="AD186" s="348"/>
      <c r="AE186" s="348"/>
      <c r="AG186" s="348"/>
      <c r="AH186" s="348"/>
      <c r="AI186" s="348"/>
      <c r="AJ186" s="348"/>
      <c r="AK186" s="348"/>
      <c r="AL186" s="348"/>
      <c r="AM186" s="348"/>
      <c r="AN186" s="348"/>
      <c r="AO186" s="348"/>
      <c r="AP186" s="348"/>
      <c r="AQ186" s="348"/>
      <c r="AR186" s="348"/>
      <c r="AS186" s="348"/>
      <c r="AT186" s="348"/>
      <c r="AV186" s="526"/>
      <c r="AW186" s="534"/>
      <c r="AX186" s="534"/>
      <c r="AY186" s="9"/>
      <c r="AZ186" s="48"/>
      <c r="BA186" s="348"/>
      <c r="BB186" s="348"/>
      <c r="BC186" s="348"/>
      <c r="BD186" s="348"/>
      <c r="BE186" s="348"/>
    </row>
    <row r="187" spans="8:57" x14ac:dyDescent="0.25">
      <c r="H187" s="531"/>
      <c r="I187" s="4"/>
      <c r="J187" s="4"/>
      <c r="L187" s="4"/>
      <c r="R187" s="348"/>
      <c r="S187" s="348"/>
      <c r="T187" s="348"/>
      <c r="U187" s="348"/>
      <c r="W187" s="348"/>
      <c r="X187" s="348"/>
      <c r="Y187" s="348"/>
      <c r="Z187" s="348"/>
      <c r="AA187" s="525"/>
      <c r="AB187" s="348"/>
      <c r="AC187" s="348"/>
      <c r="AD187" s="348"/>
      <c r="AE187" s="348"/>
      <c r="AG187" s="348"/>
      <c r="AH187" s="348"/>
      <c r="AI187" s="348"/>
      <c r="AJ187" s="348"/>
      <c r="AK187" s="348"/>
      <c r="AL187" s="348"/>
      <c r="AM187" s="348"/>
      <c r="AN187" s="348"/>
      <c r="AO187" s="348"/>
      <c r="AP187" s="348"/>
      <c r="AQ187" s="348"/>
      <c r="AR187" s="348"/>
      <c r="AS187" s="348"/>
      <c r="AT187" s="348"/>
      <c r="AV187" s="526"/>
      <c r="AW187" s="534"/>
      <c r="AX187" s="534"/>
      <c r="AY187" s="9"/>
      <c r="AZ187" s="48"/>
      <c r="BA187" s="348"/>
      <c r="BB187" s="348"/>
      <c r="BC187" s="348"/>
      <c r="BD187" s="348"/>
      <c r="BE187" s="348"/>
    </row>
    <row r="188" spans="8:57" x14ac:dyDescent="0.25">
      <c r="H188" s="531"/>
      <c r="I188" s="4"/>
      <c r="J188" s="4"/>
      <c r="L188" s="4"/>
      <c r="R188" s="348"/>
      <c r="S188" s="348"/>
      <c r="T188" s="348"/>
      <c r="U188" s="348"/>
      <c r="W188" s="348"/>
      <c r="X188" s="348"/>
      <c r="Y188" s="348"/>
      <c r="Z188" s="348"/>
      <c r="AA188" s="525"/>
      <c r="AB188" s="348"/>
      <c r="AC188" s="348"/>
      <c r="AD188" s="348"/>
      <c r="AE188" s="348"/>
      <c r="AG188" s="348"/>
      <c r="AH188" s="348"/>
      <c r="AI188" s="348"/>
      <c r="AJ188" s="348"/>
      <c r="AK188" s="348"/>
      <c r="AL188" s="348"/>
      <c r="AM188" s="348"/>
      <c r="AN188" s="348"/>
      <c r="AO188" s="348"/>
      <c r="AP188" s="348"/>
      <c r="AQ188" s="348"/>
      <c r="AR188" s="348"/>
      <c r="AS188" s="348"/>
      <c r="AT188" s="348"/>
      <c r="AV188" s="526"/>
      <c r="AW188" s="534"/>
      <c r="AX188" s="534"/>
      <c r="AY188" s="9"/>
      <c r="AZ188" s="48"/>
      <c r="BA188" s="348"/>
      <c r="BB188" s="348"/>
      <c r="BC188" s="348"/>
      <c r="BD188" s="348"/>
      <c r="BE188" s="348"/>
    </row>
    <row r="189" spans="8:57" x14ac:dyDescent="0.25">
      <c r="H189" s="531"/>
      <c r="I189" s="4"/>
      <c r="J189" s="4"/>
      <c r="L189" s="4"/>
      <c r="R189" s="348"/>
      <c r="S189" s="348"/>
      <c r="T189" s="348"/>
      <c r="U189" s="348"/>
      <c r="W189" s="348"/>
      <c r="X189" s="348"/>
      <c r="Y189" s="348"/>
      <c r="Z189" s="348"/>
      <c r="AA189" s="525"/>
      <c r="AB189" s="348"/>
      <c r="AC189" s="348"/>
      <c r="AD189" s="348"/>
      <c r="AE189" s="348"/>
      <c r="AG189" s="348"/>
      <c r="AH189" s="348"/>
      <c r="AI189" s="348"/>
      <c r="AJ189" s="348"/>
      <c r="AK189" s="348"/>
      <c r="AL189" s="348"/>
      <c r="AM189" s="348"/>
      <c r="AN189" s="348"/>
      <c r="AO189" s="348"/>
      <c r="AP189" s="348"/>
      <c r="AQ189" s="348"/>
      <c r="AR189" s="348"/>
      <c r="AS189" s="348"/>
      <c r="AT189" s="348"/>
      <c r="AV189" s="526"/>
      <c r="AW189" s="534"/>
      <c r="AX189" s="534"/>
      <c r="AY189" s="9"/>
      <c r="AZ189" s="48"/>
      <c r="BA189" s="348"/>
      <c r="BB189" s="348"/>
      <c r="BC189" s="348"/>
      <c r="BD189" s="348"/>
      <c r="BE189" s="348"/>
    </row>
    <row r="190" spans="8:57" x14ac:dyDescent="0.25">
      <c r="H190" s="531"/>
      <c r="I190" s="4"/>
      <c r="J190" s="4"/>
      <c r="L190" s="4"/>
      <c r="R190" s="348"/>
      <c r="S190" s="348"/>
      <c r="T190" s="348"/>
      <c r="U190" s="348"/>
      <c r="W190" s="348"/>
      <c r="X190" s="348"/>
      <c r="Y190" s="348"/>
      <c r="Z190" s="348"/>
      <c r="AA190" s="525"/>
      <c r="AB190" s="348"/>
      <c r="AC190" s="348"/>
      <c r="AD190" s="348"/>
      <c r="AE190" s="348"/>
      <c r="AG190" s="348"/>
      <c r="AH190" s="348"/>
      <c r="AI190" s="348"/>
      <c r="AJ190" s="348"/>
      <c r="AK190" s="348"/>
      <c r="AL190" s="348"/>
      <c r="AM190" s="348"/>
      <c r="AN190" s="348"/>
      <c r="AO190" s="348"/>
      <c r="AP190" s="348"/>
      <c r="AQ190" s="348"/>
      <c r="AR190" s="348"/>
      <c r="AS190" s="348"/>
      <c r="AT190" s="348"/>
      <c r="AV190" s="526"/>
      <c r="AW190" s="534"/>
      <c r="AX190" s="534"/>
      <c r="AY190" s="9"/>
      <c r="AZ190" s="48"/>
      <c r="BA190" s="348"/>
      <c r="BB190" s="348"/>
      <c r="BC190" s="348"/>
      <c r="BD190" s="348"/>
      <c r="BE190" s="348"/>
    </row>
    <row r="191" spans="8:57" x14ac:dyDescent="0.25">
      <c r="H191" s="531"/>
      <c r="I191" s="4"/>
      <c r="J191" s="4"/>
      <c r="L191" s="4"/>
      <c r="R191" s="348"/>
      <c r="S191" s="348"/>
      <c r="T191" s="348"/>
      <c r="U191" s="348"/>
      <c r="W191" s="348"/>
      <c r="X191" s="348"/>
      <c r="Y191" s="348"/>
      <c r="Z191" s="348"/>
      <c r="AA191" s="525"/>
      <c r="AB191" s="348"/>
      <c r="AC191" s="348"/>
      <c r="AD191" s="348"/>
      <c r="AE191" s="348"/>
      <c r="AG191" s="348"/>
      <c r="AH191" s="348"/>
      <c r="AI191" s="348"/>
      <c r="AJ191" s="348"/>
      <c r="AK191" s="348"/>
      <c r="AL191" s="348"/>
      <c r="AM191" s="348"/>
      <c r="AN191" s="348"/>
      <c r="AO191" s="348"/>
      <c r="AP191" s="348"/>
      <c r="AQ191" s="348"/>
      <c r="AR191" s="348"/>
      <c r="AS191" s="348"/>
      <c r="AT191" s="348"/>
      <c r="AV191" s="526"/>
      <c r="AW191" s="534"/>
      <c r="AX191" s="534"/>
      <c r="AY191" s="9"/>
      <c r="AZ191" s="48"/>
      <c r="BA191" s="348"/>
      <c r="BB191" s="348"/>
      <c r="BC191" s="348"/>
      <c r="BD191" s="348"/>
      <c r="BE191" s="348"/>
    </row>
    <row r="192" spans="8:57" x14ac:dyDescent="0.25">
      <c r="H192" s="531"/>
      <c r="I192" s="4"/>
      <c r="J192" s="4"/>
      <c r="L192" s="4"/>
      <c r="R192" s="348"/>
      <c r="S192" s="348"/>
      <c r="T192" s="348"/>
      <c r="U192" s="348"/>
      <c r="W192" s="348"/>
      <c r="X192" s="348"/>
      <c r="Y192" s="348"/>
      <c r="Z192" s="348"/>
      <c r="AA192" s="525"/>
      <c r="AB192" s="348"/>
      <c r="AC192" s="348"/>
      <c r="AD192" s="348"/>
      <c r="AE192" s="348"/>
      <c r="AG192" s="348"/>
      <c r="AH192" s="348"/>
      <c r="AI192" s="348"/>
      <c r="AJ192" s="348"/>
      <c r="AK192" s="348"/>
      <c r="AL192" s="348"/>
      <c r="AM192" s="348"/>
      <c r="AN192" s="348"/>
      <c r="AO192" s="348"/>
      <c r="AP192" s="348"/>
      <c r="AQ192" s="348"/>
      <c r="AR192" s="348"/>
      <c r="AS192" s="348"/>
      <c r="AT192" s="348"/>
      <c r="AV192" s="526"/>
      <c r="AW192" s="534"/>
      <c r="AX192" s="534"/>
      <c r="AY192" s="9"/>
      <c r="AZ192" s="48"/>
      <c r="BA192" s="348"/>
      <c r="BB192" s="348"/>
      <c r="BC192" s="348"/>
      <c r="BD192" s="348"/>
      <c r="BE192" s="348"/>
    </row>
    <row r="193" spans="8:57" x14ac:dyDescent="0.25">
      <c r="H193" s="531"/>
      <c r="I193" s="4"/>
      <c r="J193" s="4"/>
      <c r="L193" s="4"/>
      <c r="R193" s="348"/>
      <c r="S193" s="348"/>
      <c r="T193" s="348"/>
      <c r="U193" s="348"/>
      <c r="W193" s="348"/>
      <c r="X193" s="348"/>
      <c r="Y193" s="348"/>
      <c r="Z193" s="348"/>
      <c r="AA193" s="525"/>
      <c r="AB193" s="348"/>
      <c r="AC193" s="348"/>
      <c r="AD193" s="348"/>
      <c r="AE193" s="348"/>
      <c r="AG193" s="348"/>
      <c r="AH193" s="348"/>
      <c r="AI193" s="348"/>
      <c r="AJ193" s="348"/>
      <c r="AK193" s="348"/>
      <c r="AL193" s="348"/>
      <c r="AM193" s="348"/>
      <c r="AN193" s="348"/>
      <c r="AO193" s="348"/>
      <c r="AP193" s="348"/>
      <c r="AQ193" s="348"/>
      <c r="AR193" s="348"/>
      <c r="AS193" s="348"/>
      <c r="AT193" s="348"/>
      <c r="AV193" s="526"/>
      <c r="AW193" s="534"/>
      <c r="AX193" s="534"/>
      <c r="AY193" s="9"/>
      <c r="AZ193" s="48"/>
      <c r="BA193" s="348"/>
      <c r="BB193" s="348"/>
      <c r="BC193" s="348"/>
      <c r="BD193" s="348"/>
      <c r="BE193" s="348"/>
    </row>
    <row r="194" spans="8:57" x14ac:dyDescent="0.25">
      <c r="H194" s="531"/>
      <c r="I194" s="4"/>
      <c r="J194" s="4"/>
      <c r="L194" s="4"/>
      <c r="R194" s="348"/>
      <c r="S194" s="348"/>
      <c r="T194" s="348"/>
      <c r="U194" s="348"/>
      <c r="W194" s="348"/>
      <c r="X194" s="348"/>
      <c r="Y194" s="348"/>
      <c r="Z194" s="348"/>
      <c r="AA194" s="525"/>
      <c r="AB194" s="348"/>
      <c r="AC194" s="348"/>
      <c r="AD194" s="348"/>
      <c r="AE194" s="348"/>
      <c r="AG194" s="348"/>
      <c r="AH194" s="348"/>
      <c r="AI194" s="348"/>
      <c r="AJ194" s="348"/>
      <c r="AK194" s="348"/>
      <c r="AL194" s="348"/>
      <c r="AM194" s="348"/>
      <c r="AN194" s="348"/>
      <c r="AO194" s="348"/>
      <c r="AP194" s="348"/>
      <c r="AQ194" s="348"/>
      <c r="AR194" s="348"/>
      <c r="AS194" s="348"/>
      <c r="AT194" s="348"/>
      <c r="AV194" s="526"/>
      <c r="AW194" s="534"/>
      <c r="AX194" s="534"/>
      <c r="AY194" s="9"/>
      <c r="AZ194" s="48"/>
      <c r="BA194" s="348"/>
      <c r="BB194" s="348"/>
      <c r="BC194" s="348"/>
      <c r="BD194" s="348"/>
      <c r="BE194" s="348"/>
    </row>
    <row r="195" spans="8:57" x14ac:dyDescent="0.25">
      <c r="H195" s="531"/>
      <c r="I195" s="4"/>
      <c r="J195" s="4"/>
      <c r="L195" s="4"/>
      <c r="R195" s="348"/>
      <c r="S195" s="348"/>
      <c r="T195" s="348"/>
      <c r="U195" s="348"/>
      <c r="W195" s="348"/>
      <c r="X195" s="348"/>
      <c r="Y195" s="348"/>
      <c r="Z195" s="348"/>
      <c r="AA195" s="525"/>
      <c r="AB195" s="348"/>
      <c r="AC195" s="348"/>
      <c r="AD195" s="348"/>
      <c r="AE195" s="348"/>
      <c r="AG195" s="348"/>
      <c r="AH195" s="348"/>
      <c r="AI195" s="348"/>
      <c r="AJ195" s="348"/>
      <c r="AK195" s="348"/>
      <c r="AL195" s="348"/>
      <c r="AM195" s="348"/>
      <c r="AN195" s="348"/>
      <c r="AO195" s="348"/>
      <c r="AP195" s="348"/>
      <c r="AQ195" s="348"/>
      <c r="AR195" s="348"/>
      <c r="AS195" s="348"/>
      <c r="AT195" s="348"/>
      <c r="AV195" s="526"/>
      <c r="AW195" s="534"/>
      <c r="AX195" s="534"/>
      <c r="AY195" s="9"/>
      <c r="AZ195" s="48"/>
      <c r="BA195" s="348"/>
      <c r="BB195" s="348"/>
      <c r="BC195" s="348"/>
      <c r="BD195" s="348"/>
      <c r="BE195" s="348"/>
    </row>
    <row r="196" spans="8:57" x14ac:dyDescent="0.25">
      <c r="H196" s="531"/>
      <c r="I196" s="4"/>
      <c r="J196" s="4"/>
      <c r="L196" s="4"/>
      <c r="R196" s="348"/>
      <c r="S196" s="348"/>
      <c r="T196" s="348"/>
      <c r="U196" s="348"/>
      <c r="W196" s="348"/>
      <c r="X196" s="348"/>
      <c r="Y196" s="348"/>
      <c r="Z196" s="348"/>
      <c r="AA196" s="525"/>
      <c r="AB196" s="348"/>
      <c r="AC196" s="348"/>
      <c r="AD196" s="348"/>
      <c r="AE196" s="348"/>
      <c r="AG196" s="348"/>
      <c r="AH196" s="348"/>
      <c r="AI196" s="348"/>
      <c r="AJ196" s="348"/>
      <c r="AK196" s="348"/>
      <c r="AL196" s="348"/>
      <c r="AM196" s="348"/>
      <c r="AN196" s="348"/>
      <c r="AO196" s="348"/>
      <c r="AP196" s="348"/>
      <c r="AQ196" s="348"/>
      <c r="AR196" s="348"/>
      <c r="AS196" s="348"/>
      <c r="AT196" s="348"/>
      <c r="AV196" s="526"/>
      <c r="AW196" s="534"/>
      <c r="AX196" s="534"/>
      <c r="AY196" s="9"/>
      <c r="AZ196" s="48"/>
      <c r="BA196" s="348"/>
      <c r="BB196" s="348"/>
      <c r="BC196" s="348"/>
      <c r="BD196" s="348"/>
      <c r="BE196" s="348"/>
    </row>
    <row r="197" spans="8:57" x14ac:dyDescent="0.25">
      <c r="H197" s="531"/>
      <c r="I197" s="4"/>
      <c r="J197" s="4"/>
      <c r="L197" s="4"/>
      <c r="R197" s="348"/>
      <c r="S197" s="348"/>
      <c r="T197" s="348"/>
      <c r="U197" s="348"/>
      <c r="W197" s="348"/>
      <c r="X197" s="348"/>
      <c r="Y197" s="348"/>
      <c r="Z197" s="348"/>
      <c r="AA197" s="525"/>
      <c r="AB197" s="348"/>
      <c r="AC197" s="348"/>
      <c r="AD197" s="348"/>
      <c r="AE197" s="348"/>
      <c r="AG197" s="348"/>
      <c r="AH197" s="348"/>
      <c r="AI197" s="348"/>
      <c r="AJ197" s="348"/>
      <c r="AK197" s="348"/>
      <c r="AL197" s="348"/>
      <c r="AM197" s="348"/>
      <c r="AN197" s="348"/>
      <c r="AO197" s="348"/>
      <c r="AP197" s="348"/>
      <c r="AQ197" s="348"/>
      <c r="AR197" s="348"/>
      <c r="AS197" s="348"/>
      <c r="AT197" s="348"/>
      <c r="AV197" s="526"/>
      <c r="AW197" s="534"/>
      <c r="AX197" s="534"/>
      <c r="AY197" s="9"/>
      <c r="AZ197" s="48"/>
      <c r="BA197" s="348"/>
      <c r="BB197" s="348"/>
      <c r="BC197" s="348"/>
      <c r="BD197" s="348"/>
      <c r="BE197" s="348"/>
    </row>
    <row r="198" spans="8:57" x14ac:dyDescent="0.25">
      <c r="H198" s="531"/>
      <c r="I198" s="4"/>
      <c r="J198" s="4"/>
      <c r="L198" s="4"/>
      <c r="R198" s="348"/>
      <c r="S198" s="348"/>
      <c r="T198" s="348"/>
      <c r="U198" s="348"/>
      <c r="W198" s="348"/>
      <c r="X198" s="348"/>
      <c r="Y198" s="348"/>
      <c r="Z198" s="348"/>
      <c r="AA198" s="525"/>
      <c r="AB198" s="348"/>
      <c r="AC198" s="348"/>
      <c r="AD198" s="348"/>
      <c r="AE198" s="348"/>
      <c r="AG198" s="348"/>
      <c r="AH198" s="348"/>
      <c r="AI198" s="348"/>
      <c r="AJ198" s="348"/>
      <c r="AK198" s="348"/>
      <c r="AL198" s="348"/>
      <c r="AM198" s="348"/>
      <c r="AN198" s="348"/>
      <c r="AO198" s="348"/>
      <c r="AP198" s="348"/>
      <c r="AQ198" s="348"/>
      <c r="AR198" s="348"/>
      <c r="AS198" s="348"/>
      <c r="AT198" s="348"/>
      <c r="AV198" s="526"/>
      <c r="AW198" s="534"/>
      <c r="AX198" s="534"/>
      <c r="AY198" s="9"/>
      <c r="AZ198" s="48"/>
      <c r="BA198" s="348"/>
      <c r="BB198" s="348"/>
      <c r="BC198" s="348"/>
      <c r="BD198" s="348"/>
      <c r="BE198" s="348"/>
    </row>
    <row r="199" spans="8:57" x14ac:dyDescent="0.25">
      <c r="H199" s="531"/>
      <c r="I199" s="4"/>
      <c r="J199" s="4"/>
      <c r="L199" s="4"/>
      <c r="R199" s="348"/>
      <c r="S199" s="348"/>
      <c r="T199" s="348"/>
      <c r="U199" s="348"/>
      <c r="W199" s="348"/>
      <c r="X199" s="348"/>
      <c r="Y199" s="348"/>
      <c r="Z199" s="348"/>
      <c r="AA199" s="525"/>
      <c r="AB199" s="348"/>
      <c r="AC199" s="348"/>
      <c r="AD199" s="348"/>
      <c r="AE199" s="348"/>
      <c r="AG199" s="348"/>
      <c r="AH199" s="348"/>
      <c r="AI199" s="348"/>
      <c r="AJ199" s="348"/>
      <c r="AK199" s="348"/>
      <c r="AL199" s="348"/>
      <c r="AM199" s="348"/>
      <c r="AN199" s="348"/>
      <c r="AO199" s="348"/>
      <c r="AP199" s="348"/>
      <c r="AQ199" s="348"/>
      <c r="AR199" s="348"/>
      <c r="AS199" s="348"/>
      <c r="AT199" s="348"/>
      <c r="AV199" s="526"/>
      <c r="AW199" s="534"/>
      <c r="AX199" s="534"/>
      <c r="AY199" s="9"/>
      <c r="AZ199" s="48"/>
      <c r="BA199" s="348"/>
      <c r="BB199" s="348"/>
      <c r="BC199" s="348"/>
      <c r="BD199" s="348"/>
      <c r="BE199" s="348"/>
    </row>
    <row r="200" spans="8:57" x14ac:dyDescent="0.25">
      <c r="H200" s="531"/>
      <c r="I200" s="4"/>
      <c r="J200" s="4"/>
      <c r="L200" s="4"/>
      <c r="R200" s="348"/>
      <c r="S200" s="348"/>
      <c r="T200" s="348"/>
      <c r="U200" s="348"/>
      <c r="W200" s="348"/>
      <c r="X200" s="348"/>
      <c r="Y200" s="348"/>
      <c r="Z200" s="348"/>
      <c r="AA200" s="525"/>
      <c r="AB200" s="348"/>
      <c r="AC200" s="348"/>
      <c r="AD200" s="348"/>
      <c r="AE200" s="348"/>
      <c r="AG200" s="348"/>
      <c r="AH200" s="348"/>
      <c r="AI200" s="348"/>
      <c r="AJ200" s="348"/>
      <c r="AK200" s="348"/>
      <c r="AL200" s="348"/>
      <c r="AM200" s="348"/>
      <c r="AN200" s="348"/>
      <c r="AO200" s="348"/>
      <c r="AP200" s="348"/>
      <c r="AQ200" s="348"/>
      <c r="AR200" s="348"/>
      <c r="AS200" s="348"/>
      <c r="AT200" s="348"/>
      <c r="AV200" s="526"/>
      <c r="AW200" s="534"/>
      <c r="AX200" s="534"/>
      <c r="AY200" s="9"/>
      <c r="AZ200" s="48"/>
      <c r="BA200" s="348"/>
      <c r="BB200" s="348"/>
      <c r="BC200" s="348"/>
      <c r="BD200" s="348"/>
      <c r="BE200" s="348"/>
    </row>
    <row r="201" spans="8:57" x14ac:dyDescent="0.25">
      <c r="H201" s="531"/>
      <c r="I201" s="4"/>
      <c r="J201" s="4"/>
      <c r="L201" s="4"/>
      <c r="R201" s="348"/>
      <c r="S201" s="348"/>
      <c r="T201" s="348"/>
      <c r="U201" s="348"/>
      <c r="W201" s="348"/>
      <c r="X201" s="348"/>
      <c r="Y201" s="348"/>
      <c r="Z201" s="348"/>
      <c r="AA201" s="525"/>
      <c r="AB201" s="348"/>
      <c r="AC201" s="348"/>
      <c r="AD201" s="348"/>
      <c r="AE201" s="348"/>
      <c r="AG201" s="348"/>
      <c r="AH201" s="348"/>
      <c r="AI201" s="348"/>
      <c r="AJ201" s="348"/>
      <c r="AK201" s="348"/>
      <c r="AL201" s="348"/>
      <c r="AM201" s="348"/>
      <c r="AN201" s="348"/>
      <c r="AO201" s="348"/>
      <c r="AP201" s="348"/>
      <c r="AQ201" s="348"/>
      <c r="AR201" s="348"/>
      <c r="AS201" s="348"/>
      <c r="AT201" s="348"/>
      <c r="AV201" s="526"/>
      <c r="AW201" s="534"/>
      <c r="AX201" s="534"/>
      <c r="AY201" s="9"/>
      <c r="AZ201" s="48"/>
      <c r="BA201" s="348"/>
      <c r="BB201" s="348"/>
      <c r="BC201" s="348"/>
      <c r="BD201" s="348"/>
      <c r="BE201" s="348"/>
    </row>
    <row r="202" spans="8:57" x14ac:dyDescent="0.25">
      <c r="H202" s="531"/>
      <c r="I202" s="4"/>
      <c r="J202" s="4"/>
      <c r="L202" s="4"/>
      <c r="R202" s="348"/>
      <c r="S202" s="348"/>
      <c r="T202" s="348"/>
      <c r="U202" s="348"/>
      <c r="W202" s="348"/>
      <c r="X202" s="348"/>
      <c r="Y202" s="348"/>
      <c r="Z202" s="348"/>
      <c r="AA202" s="525"/>
      <c r="AB202" s="348"/>
      <c r="AC202" s="348"/>
      <c r="AD202" s="348"/>
      <c r="AE202" s="348"/>
      <c r="AG202" s="348"/>
      <c r="AH202" s="348"/>
      <c r="AI202" s="348"/>
      <c r="AJ202" s="348"/>
      <c r="AK202" s="348"/>
      <c r="AL202" s="348"/>
      <c r="AM202" s="348"/>
      <c r="AN202" s="348"/>
      <c r="AO202" s="348"/>
      <c r="AP202" s="348"/>
      <c r="AQ202" s="348"/>
      <c r="AR202" s="348"/>
      <c r="AS202" s="348"/>
      <c r="AT202" s="348"/>
      <c r="AV202" s="526"/>
      <c r="AW202" s="534"/>
      <c r="AX202" s="534"/>
      <c r="AY202" s="9"/>
      <c r="AZ202" s="48"/>
      <c r="BA202" s="348"/>
      <c r="BB202" s="348"/>
      <c r="BC202" s="348"/>
      <c r="BD202" s="348"/>
      <c r="BE202" s="348"/>
    </row>
    <row r="203" spans="8:57" x14ac:dyDescent="0.25">
      <c r="H203" s="531"/>
      <c r="I203" s="4"/>
      <c r="J203" s="4"/>
      <c r="L203" s="4"/>
      <c r="R203" s="348"/>
      <c r="S203" s="348"/>
      <c r="T203" s="348"/>
      <c r="U203" s="348"/>
      <c r="W203" s="348"/>
      <c r="X203" s="348"/>
      <c r="Y203" s="348"/>
      <c r="Z203" s="348"/>
      <c r="AA203" s="525"/>
      <c r="AB203" s="348"/>
      <c r="AC203" s="348"/>
      <c r="AD203" s="348"/>
      <c r="AE203" s="348"/>
      <c r="AG203" s="348"/>
      <c r="AH203" s="348"/>
      <c r="AI203" s="348"/>
      <c r="AJ203" s="348"/>
      <c r="AK203" s="348"/>
      <c r="AL203" s="348"/>
      <c r="AM203" s="348"/>
      <c r="AN203" s="348"/>
      <c r="AO203" s="348"/>
      <c r="AP203" s="348"/>
      <c r="AQ203" s="348"/>
      <c r="AR203" s="348"/>
      <c r="AS203" s="348"/>
      <c r="AT203" s="348"/>
      <c r="AV203" s="526"/>
      <c r="AW203" s="534"/>
      <c r="AX203" s="534"/>
      <c r="AY203" s="9"/>
      <c r="AZ203" s="48"/>
      <c r="BA203" s="348"/>
      <c r="BB203" s="348"/>
      <c r="BC203" s="348"/>
      <c r="BD203" s="348"/>
      <c r="BE203" s="348"/>
    </row>
    <row r="204" spans="8:57" x14ac:dyDescent="0.25">
      <c r="H204" s="531"/>
      <c r="I204" s="4"/>
      <c r="J204" s="4"/>
      <c r="L204" s="4"/>
      <c r="R204" s="348"/>
      <c r="S204" s="348"/>
      <c r="T204" s="348"/>
      <c r="U204" s="348"/>
      <c r="W204" s="348"/>
      <c r="X204" s="348"/>
      <c r="Y204" s="348"/>
      <c r="Z204" s="348"/>
      <c r="AA204" s="525"/>
      <c r="AB204" s="348"/>
      <c r="AC204" s="348"/>
      <c r="AD204" s="348"/>
      <c r="AE204" s="348"/>
      <c r="AG204" s="348"/>
      <c r="AH204" s="348"/>
      <c r="AI204" s="348"/>
      <c r="AJ204" s="348"/>
      <c r="AK204" s="348"/>
      <c r="AL204" s="348"/>
      <c r="AM204" s="348"/>
      <c r="AN204" s="348"/>
      <c r="AO204" s="348"/>
      <c r="AP204" s="348"/>
      <c r="AQ204" s="348"/>
      <c r="AR204" s="348"/>
      <c r="AS204" s="348"/>
      <c r="AT204" s="348"/>
      <c r="AV204" s="526"/>
      <c r="AW204" s="534"/>
      <c r="AX204" s="534"/>
      <c r="AY204" s="9"/>
      <c r="AZ204" s="48"/>
      <c r="BA204" s="348"/>
      <c r="BB204" s="348"/>
      <c r="BC204" s="348"/>
      <c r="BD204" s="348"/>
      <c r="BE204" s="348"/>
    </row>
    <row r="205" spans="8:57" x14ac:dyDescent="0.25">
      <c r="H205" s="531"/>
      <c r="I205" s="4"/>
      <c r="J205" s="4"/>
      <c r="L205" s="4"/>
      <c r="R205" s="348"/>
      <c r="S205" s="348"/>
      <c r="T205" s="348"/>
      <c r="U205" s="348"/>
      <c r="W205" s="348"/>
      <c r="X205" s="348"/>
      <c r="Y205" s="348"/>
      <c r="Z205" s="348"/>
      <c r="AA205" s="525"/>
      <c r="AB205" s="348"/>
      <c r="AC205" s="348"/>
      <c r="AD205" s="348"/>
      <c r="AE205" s="348"/>
      <c r="AG205" s="348"/>
      <c r="AH205" s="348"/>
      <c r="AI205" s="348"/>
      <c r="AJ205" s="348"/>
      <c r="AK205" s="348"/>
      <c r="AL205" s="348"/>
      <c r="AM205" s="348"/>
      <c r="AN205" s="348"/>
      <c r="AO205" s="348"/>
      <c r="AP205" s="348"/>
      <c r="AQ205" s="348"/>
      <c r="AR205" s="348"/>
      <c r="AS205" s="348"/>
      <c r="AT205" s="348"/>
      <c r="AV205" s="526"/>
      <c r="AW205" s="534"/>
      <c r="AX205" s="534"/>
      <c r="AY205" s="9"/>
      <c r="AZ205" s="48"/>
      <c r="BA205" s="348"/>
      <c r="BB205" s="348"/>
      <c r="BC205" s="348"/>
      <c r="BD205" s="348"/>
      <c r="BE205" s="348"/>
    </row>
    <row r="206" spans="8:57" x14ac:dyDescent="0.25">
      <c r="H206" s="531"/>
      <c r="I206" s="4"/>
      <c r="J206" s="4"/>
      <c r="L206" s="4"/>
      <c r="R206" s="348"/>
      <c r="S206" s="348"/>
      <c r="T206" s="348"/>
      <c r="U206" s="348"/>
      <c r="W206" s="348"/>
      <c r="X206" s="348"/>
      <c r="Y206" s="348"/>
      <c r="Z206" s="348"/>
      <c r="AA206" s="525"/>
      <c r="AB206" s="348"/>
      <c r="AC206" s="348"/>
      <c r="AD206" s="348"/>
      <c r="AE206" s="348"/>
      <c r="AG206" s="348"/>
      <c r="AH206" s="348"/>
      <c r="AI206" s="348"/>
      <c r="AJ206" s="348"/>
      <c r="AK206" s="348"/>
      <c r="AL206" s="348"/>
      <c r="AM206" s="348"/>
      <c r="AN206" s="348"/>
      <c r="AO206" s="348"/>
      <c r="AP206" s="348"/>
      <c r="AQ206" s="348"/>
      <c r="AR206" s="348"/>
      <c r="AS206" s="348"/>
      <c r="AT206" s="348"/>
      <c r="AV206" s="526"/>
      <c r="AW206" s="534"/>
      <c r="AX206" s="534"/>
      <c r="AY206" s="9"/>
      <c r="AZ206" s="48"/>
      <c r="BA206" s="348"/>
      <c r="BB206" s="348"/>
      <c r="BC206" s="348"/>
      <c r="BD206" s="348"/>
      <c r="BE206" s="348"/>
    </row>
    <row r="207" spans="8:57" x14ac:dyDescent="0.25">
      <c r="H207" s="531"/>
      <c r="I207" s="4"/>
      <c r="J207" s="4"/>
      <c r="L207" s="4"/>
      <c r="R207" s="348"/>
      <c r="S207" s="348"/>
      <c r="T207" s="348"/>
      <c r="U207" s="348"/>
      <c r="W207" s="348"/>
      <c r="X207" s="348"/>
      <c r="Y207" s="348"/>
      <c r="Z207" s="348"/>
      <c r="AA207" s="525"/>
      <c r="AB207" s="348"/>
      <c r="AC207" s="348"/>
      <c r="AD207" s="348"/>
      <c r="AE207" s="348"/>
      <c r="AG207" s="348"/>
      <c r="AH207" s="348"/>
      <c r="AI207" s="348"/>
      <c r="AJ207" s="348"/>
      <c r="AK207" s="348"/>
      <c r="AL207" s="348"/>
      <c r="AM207" s="348"/>
      <c r="AN207" s="348"/>
      <c r="AO207" s="348"/>
      <c r="AP207" s="348"/>
      <c r="AQ207" s="348"/>
      <c r="AR207" s="348"/>
      <c r="AS207" s="348"/>
      <c r="AT207" s="348"/>
      <c r="AV207" s="526"/>
      <c r="AW207" s="534"/>
      <c r="AX207" s="534"/>
      <c r="AY207" s="9"/>
      <c r="AZ207" s="48"/>
      <c r="BA207" s="348"/>
      <c r="BB207" s="348"/>
      <c r="BC207" s="348"/>
      <c r="BD207" s="348"/>
      <c r="BE207" s="348"/>
    </row>
    <row r="208" spans="8:57" x14ac:dyDescent="0.25">
      <c r="H208" s="531"/>
      <c r="I208" s="4"/>
      <c r="J208" s="4"/>
      <c r="L208" s="4"/>
      <c r="R208" s="348"/>
      <c r="S208" s="348"/>
      <c r="T208" s="348"/>
      <c r="U208" s="348"/>
      <c r="W208" s="348"/>
      <c r="X208" s="348"/>
      <c r="Y208" s="348"/>
      <c r="Z208" s="348"/>
      <c r="AA208" s="525"/>
      <c r="AB208" s="348"/>
      <c r="AC208" s="348"/>
      <c r="AD208" s="348"/>
      <c r="AE208" s="348"/>
      <c r="AG208" s="348"/>
      <c r="AH208" s="348"/>
      <c r="AI208" s="348"/>
      <c r="AJ208" s="348"/>
      <c r="AK208" s="348"/>
      <c r="AL208" s="348"/>
      <c r="AM208" s="348"/>
      <c r="AN208" s="348"/>
      <c r="AO208" s="348"/>
      <c r="AP208" s="348"/>
      <c r="AQ208" s="348"/>
      <c r="AR208" s="348"/>
      <c r="AS208" s="348"/>
      <c r="AT208" s="348"/>
      <c r="AV208" s="526"/>
      <c r="AW208" s="534"/>
      <c r="AX208" s="534"/>
      <c r="AY208" s="9"/>
      <c r="AZ208" s="48"/>
      <c r="BA208" s="348"/>
      <c r="BB208" s="348"/>
      <c r="BC208" s="348"/>
      <c r="BD208" s="348"/>
      <c r="BE208" s="348"/>
    </row>
    <row r="209" spans="8:57" x14ac:dyDescent="0.25">
      <c r="H209" s="531"/>
      <c r="I209" s="4"/>
      <c r="J209" s="4"/>
      <c r="L209" s="4"/>
      <c r="R209" s="348"/>
      <c r="S209" s="348"/>
      <c r="T209" s="348"/>
      <c r="U209" s="348"/>
      <c r="W209" s="348"/>
      <c r="X209" s="348"/>
      <c r="Y209" s="348"/>
      <c r="Z209" s="348"/>
      <c r="AA209" s="525"/>
      <c r="AB209" s="348"/>
      <c r="AC209" s="348"/>
      <c r="AD209" s="348"/>
      <c r="AE209" s="348"/>
      <c r="AG209" s="348"/>
      <c r="AH209" s="348"/>
      <c r="AI209" s="348"/>
      <c r="AJ209" s="348"/>
      <c r="AK209" s="348"/>
      <c r="AL209" s="348"/>
      <c r="AM209" s="348"/>
      <c r="AN209" s="348"/>
      <c r="AO209" s="348"/>
      <c r="AP209" s="348"/>
      <c r="AQ209" s="348"/>
      <c r="AR209" s="348"/>
      <c r="AS209" s="348"/>
      <c r="AT209" s="348"/>
      <c r="AV209" s="526"/>
      <c r="AW209" s="534"/>
      <c r="AX209" s="534"/>
      <c r="AY209" s="9"/>
      <c r="AZ209" s="48"/>
      <c r="BA209" s="348"/>
      <c r="BB209" s="348"/>
      <c r="BC209" s="348"/>
      <c r="BD209" s="348"/>
      <c r="BE209" s="348"/>
    </row>
  </sheetData>
  <sheetProtection selectLockedCells="1"/>
  <mergeCells count="11">
    <mergeCell ref="Y7:AA7"/>
    <mergeCell ref="A1:D4"/>
    <mergeCell ref="A6:D7"/>
    <mergeCell ref="G7:N7"/>
    <mergeCell ref="R7:U7"/>
    <mergeCell ref="V7:X7"/>
    <mergeCell ref="AZ7:BE7"/>
    <mergeCell ref="AB7:AG7"/>
    <mergeCell ref="AH7:AK7"/>
    <mergeCell ref="AO7:AS7"/>
    <mergeCell ref="AT7:AX7"/>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2:B7"/>
  <sheetViews>
    <sheetView zoomScaleNormal="100" workbookViewId="0">
      <selection activeCell="B2" sqref="B2"/>
    </sheetView>
  </sheetViews>
  <sheetFormatPr defaultRowHeight="12.5" x14ac:dyDescent="0.25"/>
  <cols>
    <col min="1" max="1" width="10.54296875" customWidth="1"/>
    <col min="2" max="2" width="126" customWidth="1"/>
  </cols>
  <sheetData>
    <row r="2" spans="1:2" x14ac:dyDescent="0.25">
      <c r="A2" t="str">
        <f>IF(PLOT_TYPE=1, "EFF_Ch1", "EFF_Ch2")</f>
        <v>EFF_Ch1</v>
      </c>
    </row>
    <row r="5" spans="1:2" ht="409.5" customHeight="1" x14ac:dyDescent="0.25">
      <c r="B5" s="521"/>
    </row>
    <row r="7" spans="1:2" ht="409.5" customHeight="1" x14ac:dyDescent="0.25">
      <c r="B7" s="521"/>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2:AN113"/>
  <sheetViews>
    <sheetView topLeftCell="K1" zoomScaleNormal="100" workbookViewId="0">
      <selection activeCell="AR24" sqref="AR24"/>
    </sheetView>
  </sheetViews>
  <sheetFormatPr defaultRowHeight="12.5" x14ac:dyDescent="0.25"/>
  <cols>
    <col min="1" max="1" width="16.08984375" style="307" customWidth="1"/>
    <col min="2" max="2" width="15.6328125" style="307" customWidth="1"/>
    <col min="3" max="3" width="16.54296875" customWidth="1"/>
    <col min="4" max="4" width="14.36328125" style="30" customWidth="1"/>
    <col min="5" max="6" width="9.6328125" style="30" customWidth="1"/>
    <col min="7" max="7" width="18.6328125" style="30" customWidth="1"/>
    <col min="8" max="8" width="5.6328125" style="30" customWidth="1"/>
    <col min="9" max="9" width="18.6328125" style="30" bestFit="1" customWidth="1"/>
    <col min="10" max="10" width="17" customWidth="1"/>
    <col min="11" max="11" width="7.6328125" customWidth="1"/>
    <col min="12" max="12" width="12.6328125" customWidth="1"/>
    <col min="13" max="13" width="8.453125" customWidth="1"/>
    <col min="15" max="16" width="9.54296875" style="299" customWidth="1"/>
    <col min="17" max="18" width="12.08984375" style="650" customWidth="1"/>
    <col min="19" max="19" width="11.08984375" style="650" customWidth="1"/>
    <col min="20" max="20" width="12.08984375" style="650" customWidth="1"/>
    <col min="23" max="23" width="12.08984375" bestFit="1" customWidth="1"/>
    <col min="24" max="24" width="12.6328125" bestFit="1" customWidth="1"/>
    <col min="27" max="27" width="12.453125" bestFit="1" customWidth="1"/>
    <col min="28" max="28" width="13.08984375" bestFit="1" customWidth="1"/>
    <col min="31" max="31" width="11" bestFit="1" customWidth="1"/>
    <col min="39" max="39" width="12.453125" bestFit="1" customWidth="1"/>
    <col min="40" max="40" width="13.08984375" bestFit="1" customWidth="1"/>
  </cols>
  <sheetData>
    <row r="2" spans="1:40" x14ac:dyDescent="0.25">
      <c r="A2"/>
      <c r="B2"/>
      <c r="AD2" s="113" t="s">
        <v>884</v>
      </c>
    </row>
    <row r="3" spans="1:40" x14ac:dyDescent="0.25">
      <c r="B3" s="308"/>
      <c r="D3" s="30">
        <f>L_infilter*0.000001</f>
        <v>6.8000000000000005E-7</v>
      </c>
      <c r="L3" s="358" t="s">
        <v>878</v>
      </c>
      <c r="M3" s="30">
        <f>'Input Filters'!O9*0.000001</f>
        <v>6.8000000000000005E-7</v>
      </c>
      <c r="AD3" t="s">
        <v>775</v>
      </c>
      <c r="AE3">
        <f>'Input Filters'!G9*0.000001</f>
        <v>9.9999999999999995E-7</v>
      </c>
    </row>
    <row r="4" spans="1:40" x14ac:dyDescent="0.25">
      <c r="B4" s="308"/>
      <c r="L4" s="358" t="s">
        <v>879</v>
      </c>
      <c r="M4" s="30">
        <f>'Input Filters'!O10*0.000001</f>
        <v>4.6999999999999995E-7</v>
      </c>
      <c r="AD4" t="s">
        <v>827</v>
      </c>
      <c r="AE4">
        <f>'Input Filters'!G10*0.000001</f>
        <v>9.9999999999999995E-7</v>
      </c>
    </row>
    <row r="5" spans="1:40" x14ac:dyDescent="0.25">
      <c r="B5" s="308"/>
      <c r="L5" s="113" t="s">
        <v>880</v>
      </c>
      <c r="M5">
        <f>'Input Filters'!O11*0.000001</f>
        <v>9.9999999999999995E-7</v>
      </c>
      <c r="AD5" t="s">
        <v>815</v>
      </c>
      <c r="AE5">
        <f>'Input Filters'!G11*0.000001</f>
        <v>9.9999999999999995E-7</v>
      </c>
    </row>
    <row r="6" spans="1:40" x14ac:dyDescent="0.25">
      <c r="B6" s="308"/>
      <c r="L6" s="113" t="s">
        <v>881</v>
      </c>
      <c r="M6">
        <f>'Input Filters'!O12</f>
        <v>0.35</v>
      </c>
      <c r="AD6" t="s">
        <v>816</v>
      </c>
      <c r="AE6">
        <f>'Input Filters'!G12</f>
        <v>10</v>
      </c>
    </row>
    <row r="7" spans="1:40" ht="13" thickBot="1" x14ac:dyDescent="0.3">
      <c r="B7" s="383"/>
    </row>
    <row r="8" spans="1:40" x14ac:dyDescent="0.25">
      <c r="B8" s="392"/>
    </row>
    <row r="9" spans="1:40" ht="13" thickBot="1" x14ac:dyDescent="0.3"/>
    <row r="10" spans="1:40" ht="15.5" x14ac:dyDescent="0.35">
      <c r="A10" s="864" t="s">
        <v>437</v>
      </c>
      <c r="B10" s="858" t="s">
        <v>817</v>
      </c>
      <c r="C10" s="663"/>
      <c r="D10" s="664"/>
      <c r="E10" s="664"/>
      <c r="F10" s="664"/>
      <c r="G10" s="664"/>
      <c r="H10" s="664"/>
      <c r="I10" s="663"/>
      <c r="J10" s="663"/>
      <c r="K10" s="663"/>
      <c r="L10" s="663"/>
      <c r="M10" s="663"/>
      <c r="N10" s="663"/>
      <c r="O10" s="665"/>
      <c r="W10" s="113" t="s">
        <v>877</v>
      </c>
      <c r="AA10" s="113" t="s">
        <v>779</v>
      </c>
      <c r="AD10" s="113" t="s">
        <v>883</v>
      </c>
    </row>
    <row r="11" spans="1:40" ht="15.5" x14ac:dyDescent="0.35">
      <c r="A11" s="865"/>
      <c r="B11" s="859"/>
      <c r="C11" s="663"/>
      <c r="D11" s="664"/>
      <c r="E11" s="664"/>
      <c r="F11" s="664"/>
      <c r="G11" s="664"/>
      <c r="H11" s="664"/>
      <c r="I11" s="889" t="s">
        <v>796</v>
      </c>
      <c r="J11" s="889"/>
      <c r="K11" s="666"/>
      <c r="L11" s="889" t="s">
        <v>797</v>
      </c>
      <c r="M11" s="889"/>
      <c r="N11" s="889"/>
      <c r="O11" s="889"/>
      <c r="P11" s="649"/>
      <c r="Q11" s="890" t="s">
        <v>779</v>
      </c>
      <c r="R11" s="890"/>
      <c r="S11" s="890"/>
      <c r="T11" s="890"/>
      <c r="W11" s="113" t="s">
        <v>791</v>
      </c>
      <c r="X11" s="113" t="s">
        <v>792</v>
      </c>
      <c r="AA11" s="113" t="s">
        <v>791</v>
      </c>
      <c r="AB11" s="113" t="s">
        <v>792</v>
      </c>
      <c r="AD11" s="889" t="s">
        <v>796</v>
      </c>
      <c r="AE11" s="889"/>
      <c r="AF11" s="889" t="s">
        <v>797</v>
      </c>
      <c r="AG11" s="889"/>
      <c r="AH11" s="889"/>
      <c r="AI11" s="889"/>
    </row>
    <row r="12" spans="1:40" ht="19" thickBot="1" x14ac:dyDescent="0.5">
      <c r="A12" s="866"/>
      <c r="B12" s="351"/>
      <c r="C12" s="668" t="s">
        <v>788</v>
      </c>
      <c r="D12" s="669" t="s">
        <v>794</v>
      </c>
      <c r="E12" s="669" t="s">
        <v>793</v>
      </c>
      <c r="F12" s="669"/>
      <c r="G12" s="669" t="s">
        <v>795</v>
      </c>
      <c r="H12" s="667"/>
      <c r="I12" s="664"/>
      <c r="J12" s="663"/>
      <c r="K12" s="663"/>
      <c r="L12" s="663"/>
      <c r="M12" s="663"/>
      <c r="N12" s="663"/>
      <c r="O12" s="665"/>
      <c r="Q12" s="397" t="s">
        <v>789</v>
      </c>
      <c r="R12" s="891" t="s">
        <v>790</v>
      </c>
      <c r="S12" s="891"/>
      <c r="T12" s="891"/>
      <c r="AD12" s="664"/>
      <c r="AE12" s="663"/>
      <c r="AF12" s="663"/>
      <c r="AG12" s="663"/>
      <c r="AH12" s="663"/>
      <c r="AI12" s="665"/>
      <c r="AM12" s="113" t="s">
        <v>791</v>
      </c>
      <c r="AN12" s="113" t="s">
        <v>792</v>
      </c>
    </row>
    <row r="13" spans="1:40" x14ac:dyDescent="0.25">
      <c r="A13" s="324">
        <v>1</v>
      </c>
      <c r="B13" s="352">
        <f>A13/1000</f>
        <v>1E-3</v>
      </c>
      <c r="C13" t="str">
        <f t="shared" ref="C13:C44" si="0">COMPLEX(0,2*Pi*A13)</f>
        <v>6.2831853i</v>
      </c>
      <c r="D13" s="30" t="str">
        <f t="shared" ref="D13:D44" si="1">COMPLEX(-POWER(2*Pi*A13,2),0)</f>
        <v>-39.4784175141361</v>
      </c>
      <c r="E13" s="30" t="str">
        <f t="shared" ref="E13:E44" si="2">COMPLEX(0,-POWER(2*Pi*A13,3))</f>
        <v>-248.050212592082i</v>
      </c>
      <c r="G13" s="30" t="e">
        <f t="shared" ref="G13:G44" si="3">IMSUM(IMPRODUCT(C13,Rcomp_AEF*Csen_AEF),Csen_AEF/Ccomp_AEF)</f>
        <v>#VALUE!</v>
      </c>
      <c r="I13" s="30" t="e">
        <f t="shared" ref="I13:I44" si="4">IMPRODUCT((RdampSel*CdampSel+RdampSel*CinjSel),C13)</f>
        <v>#REF!</v>
      </c>
      <c r="J13" t="e">
        <f>IMSUM(1,I13)</f>
        <v>#REF!</v>
      </c>
      <c r="L13" s="30" t="e">
        <f t="shared" ref="L13:L44" si="5">IMPRODUCT(G13,L_infilterStd*RdampSel*CinjSel*CdampSel,E13)</f>
        <v>#VALUE!</v>
      </c>
      <c r="M13" t="e">
        <f t="shared" ref="M13:M44" si="6">IMPRODUCT(G13,L_infilterStd*CinjSel,D13)</f>
        <v>#VALUE!</v>
      </c>
      <c r="N13" t="e">
        <f>J13</f>
        <v>#REF!</v>
      </c>
      <c r="O13" s="299" t="e">
        <f>IMSUM(L13:N13)</f>
        <v>#VALUE!</v>
      </c>
      <c r="P13" s="651">
        <v>0</v>
      </c>
      <c r="Q13" s="397" t="str">
        <f t="shared" ref="Q13:Q44" si="7">IMSUM(IMPRODUCT(C13,RdampPssv*CdampPssv),1)</f>
        <v>1+0.000002199114855i</v>
      </c>
      <c r="R13" s="397" t="str">
        <f t="shared" ref="R13:R44" si="8">IMPRODUCT(RdampPssv*CdampPssv*CfilterPssv*LinfilterPssv,E13)</f>
        <v>-2.77468967805503E-17i</v>
      </c>
      <c r="S13" s="397" t="str">
        <f t="shared" ref="S13:S44" si="9">IMPRODUCT(D13,LinfilterPssv*(CfilterPssv+CdampPssv))</f>
        <v>-3.94626261471304E-11</v>
      </c>
      <c r="T13" s="397" t="str">
        <f>IMSUM(S13,R13,Q13)</f>
        <v>0.999999999960537+2.19911485497225E-06i</v>
      </c>
      <c r="U13" s="652">
        <v>1</v>
      </c>
      <c r="V13">
        <f>CHOOSE(INFILTER_TYPE,U13,IMDIV(J13,O13))</f>
        <v>1</v>
      </c>
      <c r="W13">
        <f>20*LOG10(IMABS(V13))</f>
        <v>0</v>
      </c>
      <c r="X13">
        <f t="shared" ref="X13:X44" si="10">IMARGUMENT(V13)*180/Pi</f>
        <v>0</v>
      </c>
      <c r="Z13" t="str">
        <f t="shared" ref="Z13:Z44" si="11">IMDIV(Q13,T13)</f>
        <v>1.00000000003946-5.9033537744459E-17i</v>
      </c>
      <c r="AA13">
        <f>20*LOG10(IMABS(Z13))</f>
        <v>3.4274512546547312E-10</v>
      </c>
      <c r="AB13">
        <f t="shared" ref="AB13:AB44" si="12">IMARGUMENT(Z13)*180/Pi</f>
        <v>-3.3823725662152017E-15</v>
      </c>
      <c r="AD13" s="30" t="str">
        <f t="shared" ref="AD13:AD44" si="13">IMPRODUCT((RdampCom*CdampCom+RdampCom*CinjCom),C13)</f>
        <v>0.000125663706i</v>
      </c>
      <c r="AE13" s="30" t="str">
        <f>IMSUM(1,AD13)</f>
        <v>1+0.000125663706i</v>
      </c>
      <c r="AF13" s="30" t="e">
        <f t="shared" ref="AF13:AF44" si="14">IMPRODUCT(G13,L_infilterStd*RdampSel*CinjSel*CdampSel,E13)</f>
        <v>#VALUE!</v>
      </c>
      <c r="AG13" t="e">
        <f t="shared" ref="AG13:AG44" si="15">IMPRODUCT(G13,LAEFCom*CinjCom,D13)</f>
        <v>#VALUE!</v>
      </c>
      <c r="AH13" t="str">
        <f>AE13</f>
        <v>1+0.000125663706i</v>
      </c>
      <c r="AI13" s="766" t="e">
        <f>IMSUM(AF13:AH13)</f>
        <v>#VALUE!</v>
      </c>
      <c r="AK13" t="e">
        <f>IMDIV(AE13,AI13)</f>
        <v>#VALUE!</v>
      </c>
      <c r="AM13" t="e">
        <f>20*LOG10(IMABS(AK13))</f>
        <v>#VALUE!</v>
      </c>
      <c r="AN13" t="e">
        <f t="shared" ref="AN13:AN44" si="16">IMARGUMENT(AK13)*180/Pi</f>
        <v>#VALUE!</v>
      </c>
    </row>
    <row r="14" spans="1:40" x14ac:dyDescent="0.25">
      <c r="A14" s="335">
        <v>2</v>
      </c>
      <c r="B14" s="352">
        <f t="shared" ref="B14:B96" si="17">A14/1000</f>
        <v>2E-3</v>
      </c>
      <c r="C14" t="str">
        <f t="shared" si="0"/>
        <v>12.5663706i</v>
      </c>
      <c r="D14" s="30" t="str">
        <f t="shared" si="1"/>
        <v>-157.913670056544</v>
      </c>
      <c r="E14" s="30" t="str">
        <f t="shared" si="2"/>
        <v>-1984.40170073666i</v>
      </c>
      <c r="G14" s="30" t="e">
        <f t="shared" si="3"/>
        <v>#VALUE!</v>
      </c>
      <c r="I14" s="30" t="e">
        <f t="shared" si="4"/>
        <v>#REF!</v>
      </c>
      <c r="J14" t="e">
        <f t="shared" ref="J14:J96" si="18">IMSUM(1,I14)</f>
        <v>#REF!</v>
      </c>
      <c r="L14" s="30" t="e">
        <f t="shared" si="5"/>
        <v>#VALUE!</v>
      </c>
      <c r="M14" t="e">
        <f t="shared" si="6"/>
        <v>#VALUE!</v>
      </c>
      <c r="N14" t="e">
        <f t="shared" ref="N14:N96" si="19">J14</f>
        <v>#REF!</v>
      </c>
      <c r="O14" s="299" t="e">
        <f t="shared" ref="O14:O96" si="20">IMSUM(L14:N14)</f>
        <v>#VALUE!</v>
      </c>
      <c r="P14" s="651">
        <v>0</v>
      </c>
      <c r="Q14" s="397" t="str">
        <f t="shared" si="7"/>
        <v>1+0.00000439822971i</v>
      </c>
      <c r="R14" s="397" t="str">
        <f t="shared" si="8"/>
        <v>-2.21975174244403E-16i</v>
      </c>
      <c r="S14" s="397" t="str">
        <f t="shared" si="9"/>
        <v>-1.57850504588521E-10</v>
      </c>
      <c r="T14" s="397" t="str">
        <f t="shared" ref="T14:T96" si="21">IMSUM(S14,R14,Q14)</f>
        <v>0.999999999842149+4.39822970977802E-06i</v>
      </c>
      <c r="U14" s="652">
        <v>1</v>
      </c>
      <c r="V14">
        <f t="shared" ref="V14:V44" si="22">CHOOSE(INFILTER_TYPE,U14,IMDIV(J14,O14),IMDIV(Q14,T14))</f>
        <v>1</v>
      </c>
      <c r="W14">
        <f t="shared" ref="W14:W96" si="23">20*LOG10(IMABS(V14))</f>
        <v>0</v>
      </c>
      <c r="X14">
        <f t="shared" si="10"/>
        <v>0</v>
      </c>
      <c r="Z14" t="str">
        <f t="shared" si="11"/>
        <v>1.00000000015785-4.72284395630731E-16i</v>
      </c>
      <c r="AA14">
        <f t="shared" ref="AA14:AA77" si="24">20*LOG10(IMABS(Z14))</f>
        <v>1.3710672912527204E-9</v>
      </c>
      <c r="AB14">
        <f t="shared" si="12"/>
        <v>-2.7059902626176745E-14</v>
      </c>
      <c r="AD14" s="30" t="str">
        <f t="shared" si="13"/>
        <v>0.000251327412i</v>
      </c>
      <c r="AE14" s="30" t="str">
        <f t="shared" ref="AE14:AE77" si="25">IMSUM(1,AD14)</f>
        <v>1+0.000251327412i</v>
      </c>
      <c r="AF14" s="30" t="e">
        <f t="shared" si="14"/>
        <v>#VALUE!</v>
      </c>
      <c r="AG14" t="e">
        <f t="shared" si="15"/>
        <v>#VALUE!</v>
      </c>
      <c r="AH14" t="str">
        <f t="shared" ref="AH14:AH77" si="26">AE14</f>
        <v>1+0.000251327412i</v>
      </c>
      <c r="AI14" s="299" t="e">
        <f t="shared" ref="AI14:AI77" si="27">IMSUM(AF14:AH14)</f>
        <v>#VALUE!</v>
      </c>
      <c r="AK14" t="e">
        <f t="shared" ref="AK14:AK77" si="28">IMDIV(AE14,AI14)</f>
        <v>#VALUE!</v>
      </c>
      <c r="AM14" t="e">
        <f t="shared" ref="AM14:AM77" si="29">20*LOG10(IMABS(AK14))</f>
        <v>#VALUE!</v>
      </c>
      <c r="AN14" t="e">
        <f t="shared" si="16"/>
        <v>#VALUE!</v>
      </c>
    </row>
    <row r="15" spans="1:40" x14ac:dyDescent="0.25">
      <c r="A15" s="335">
        <v>3</v>
      </c>
      <c r="B15" s="352">
        <f t="shared" si="17"/>
        <v>3.0000000000000001E-3</v>
      </c>
      <c r="C15" t="str">
        <f t="shared" si="0"/>
        <v>18.8495559i</v>
      </c>
      <c r="D15" s="30" t="str">
        <f t="shared" si="1"/>
        <v>-355.305757627225</v>
      </c>
      <c r="E15" s="30" t="str">
        <f t="shared" si="2"/>
        <v>-6697.35573998623i</v>
      </c>
      <c r="G15" s="30" t="e">
        <f t="shared" si="3"/>
        <v>#VALUE!</v>
      </c>
      <c r="I15" s="30" t="e">
        <f t="shared" si="4"/>
        <v>#REF!</v>
      </c>
      <c r="J15" t="e">
        <f t="shared" si="18"/>
        <v>#REF!</v>
      </c>
      <c r="L15" s="30" t="e">
        <f t="shared" si="5"/>
        <v>#VALUE!</v>
      </c>
      <c r="M15" t="e">
        <f t="shared" si="6"/>
        <v>#VALUE!</v>
      </c>
      <c r="N15" t="e">
        <f t="shared" si="19"/>
        <v>#REF!</v>
      </c>
      <c r="O15" s="299" t="e">
        <f t="shared" si="20"/>
        <v>#VALUE!</v>
      </c>
      <c r="P15" s="651">
        <v>0</v>
      </c>
      <c r="Q15" s="397" t="str">
        <f t="shared" si="7"/>
        <v>1+0.000006597344565i</v>
      </c>
      <c r="R15" s="397" t="str">
        <f t="shared" si="8"/>
        <v>-7.4916621307486E-16i</v>
      </c>
      <c r="S15" s="397" t="str">
        <f t="shared" si="9"/>
        <v>-3.55163635324174E-10</v>
      </c>
      <c r="T15" s="397" t="str">
        <f t="shared" si="21"/>
        <v>0.999999999644836+6.59734456425083E-06i</v>
      </c>
      <c r="U15" s="652">
        <v>1</v>
      </c>
      <c r="V15">
        <f t="shared" si="22"/>
        <v>1</v>
      </c>
      <c r="W15">
        <f t="shared" si="23"/>
        <v>0</v>
      </c>
      <c r="X15">
        <f t="shared" si="10"/>
        <v>0</v>
      </c>
      <c r="Z15" t="str">
        <f t="shared" si="11"/>
        <v>1.00000000035516-1.59396947052946E-15i</v>
      </c>
      <c r="AA15">
        <f t="shared" si="24"/>
        <v>3.0848797076462865E-9</v>
      </c>
      <c r="AB15">
        <f t="shared" si="12"/>
        <v>-9.1327723405961694E-14</v>
      </c>
      <c r="AD15" s="30" t="str">
        <f t="shared" si="13"/>
        <v>0.000376991118i</v>
      </c>
      <c r="AE15" s="30" t="str">
        <f t="shared" si="25"/>
        <v>1+0.000376991118i</v>
      </c>
      <c r="AF15" s="30" t="e">
        <f t="shared" si="14"/>
        <v>#VALUE!</v>
      </c>
      <c r="AG15" t="e">
        <f t="shared" si="15"/>
        <v>#VALUE!</v>
      </c>
      <c r="AH15" t="str">
        <f t="shared" si="26"/>
        <v>1+0.000376991118i</v>
      </c>
      <c r="AI15" s="299" t="e">
        <f t="shared" si="27"/>
        <v>#VALUE!</v>
      </c>
      <c r="AK15" t="e">
        <f t="shared" si="28"/>
        <v>#VALUE!</v>
      </c>
      <c r="AM15" t="e">
        <f t="shared" si="29"/>
        <v>#VALUE!</v>
      </c>
      <c r="AN15" t="e">
        <f t="shared" si="16"/>
        <v>#VALUE!</v>
      </c>
    </row>
    <row r="16" spans="1:40" x14ac:dyDescent="0.25">
      <c r="A16" s="324">
        <v>4</v>
      </c>
      <c r="B16" s="352">
        <f t="shared" si="17"/>
        <v>4.0000000000000001E-3</v>
      </c>
      <c r="C16" t="str">
        <f t="shared" si="0"/>
        <v>25.1327412i</v>
      </c>
      <c r="D16" s="30" t="str">
        <f t="shared" si="1"/>
        <v>-631.654680226178</v>
      </c>
      <c r="E16" s="30" t="str">
        <f t="shared" si="2"/>
        <v>-15875.2136058933i</v>
      </c>
      <c r="G16" s="30" t="e">
        <f t="shared" si="3"/>
        <v>#VALUE!</v>
      </c>
      <c r="I16" s="30" t="e">
        <f t="shared" si="4"/>
        <v>#REF!</v>
      </c>
      <c r="J16" t="e">
        <f t="shared" si="18"/>
        <v>#REF!</v>
      </c>
      <c r="L16" s="30" t="e">
        <f t="shared" si="5"/>
        <v>#VALUE!</v>
      </c>
      <c r="M16" t="e">
        <f t="shared" si="6"/>
        <v>#VALUE!</v>
      </c>
      <c r="N16" t="e">
        <f t="shared" si="19"/>
        <v>#REF!</v>
      </c>
      <c r="O16" s="299" t="e">
        <f t="shared" si="20"/>
        <v>#VALUE!</v>
      </c>
      <c r="P16" s="651">
        <v>0</v>
      </c>
      <c r="Q16" s="397" t="str">
        <f t="shared" si="7"/>
        <v>1+0.00000879645942i</v>
      </c>
      <c r="R16" s="397" t="str">
        <f t="shared" si="8"/>
        <v>-1.77580139395522E-15i</v>
      </c>
      <c r="S16" s="397" t="str">
        <f t="shared" si="9"/>
        <v>-6.31402018354088E-10</v>
      </c>
      <c r="T16" s="397" t="str">
        <f t="shared" si="21"/>
        <v>0.999999999368598+0.0000087964594182242i</v>
      </c>
      <c r="U16" s="652">
        <v>1</v>
      </c>
      <c r="V16">
        <f t="shared" si="22"/>
        <v>1</v>
      </c>
      <c r="W16">
        <f t="shared" si="23"/>
        <v>0</v>
      </c>
      <c r="X16">
        <f t="shared" si="10"/>
        <v>0</v>
      </c>
      <c r="Z16" t="str">
        <f t="shared" si="11"/>
        <v>1.0000000006314-3.77830227167012E-15i</v>
      </c>
      <c r="AA16">
        <f t="shared" si="24"/>
        <v>5.484271092367277E-9</v>
      </c>
      <c r="AB16">
        <f t="shared" si="12"/>
        <v>-2.1648077400206861E-13</v>
      </c>
      <c r="AD16" s="30" t="str">
        <f t="shared" si="13"/>
        <v>0.000502654824i</v>
      </c>
      <c r="AE16" s="30" t="str">
        <f t="shared" si="25"/>
        <v>1+0.000502654824i</v>
      </c>
      <c r="AF16" s="30" t="e">
        <f t="shared" si="14"/>
        <v>#VALUE!</v>
      </c>
      <c r="AG16" t="e">
        <f t="shared" si="15"/>
        <v>#VALUE!</v>
      </c>
      <c r="AH16" t="str">
        <f t="shared" si="26"/>
        <v>1+0.000502654824i</v>
      </c>
      <c r="AI16" s="299" t="e">
        <f t="shared" si="27"/>
        <v>#VALUE!</v>
      </c>
      <c r="AK16" t="e">
        <f t="shared" si="28"/>
        <v>#VALUE!</v>
      </c>
      <c r="AM16" t="e">
        <f t="shared" si="29"/>
        <v>#VALUE!</v>
      </c>
      <c r="AN16" t="e">
        <f t="shared" si="16"/>
        <v>#VALUE!</v>
      </c>
    </row>
    <row r="17" spans="1:40" x14ac:dyDescent="0.25">
      <c r="A17" s="335">
        <v>5</v>
      </c>
      <c r="B17" s="352">
        <f t="shared" si="17"/>
        <v>5.0000000000000001E-3</v>
      </c>
      <c r="C17" t="str">
        <f t="shared" si="0"/>
        <v>31.4159265i</v>
      </c>
      <c r="D17" s="30" t="str">
        <f t="shared" si="1"/>
        <v>-986.960437853402</v>
      </c>
      <c r="E17" s="30" t="str">
        <f t="shared" si="2"/>
        <v>-31006.2765740103i</v>
      </c>
      <c r="G17" s="30" t="e">
        <f t="shared" si="3"/>
        <v>#VALUE!</v>
      </c>
      <c r="I17" s="30" t="e">
        <f t="shared" si="4"/>
        <v>#REF!</v>
      </c>
      <c r="J17" t="e">
        <f t="shared" si="18"/>
        <v>#REF!</v>
      </c>
      <c r="L17" s="30" t="e">
        <f t="shared" si="5"/>
        <v>#VALUE!</v>
      </c>
      <c r="M17" t="e">
        <f t="shared" si="6"/>
        <v>#VALUE!</v>
      </c>
      <c r="N17" t="e">
        <f t="shared" si="19"/>
        <v>#REF!</v>
      </c>
      <c r="O17" s="299" t="e">
        <f t="shared" si="20"/>
        <v>#VALUE!</v>
      </c>
      <c r="P17" s="651">
        <v>0</v>
      </c>
      <c r="Q17" s="397" t="str">
        <f t="shared" si="7"/>
        <v>1+0.000010995574275i</v>
      </c>
      <c r="R17" s="397" t="str">
        <f t="shared" si="8"/>
        <v>-3.46836209756879E-15i</v>
      </c>
      <c r="S17" s="397" t="str">
        <f t="shared" si="9"/>
        <v>-9.86565653678261E-10</v>
      </c>
      <c r="T17" s="397" t="str">
        <f t="shared" si="21"/>
        <v>0.999999999013434+0.0000109955742715316i</v>
      </c>
      <c r="U17" s="652">
        <v>1</v>
      </c>
      <c r="V17">
        <f t="shared" si="22"/>
        <v>1</v>
      </c>
      <c r="W17">
        <f t="shared" si="23"/>
        <v>0</v>
      </c>
      <c r="X17">
        <f t="shared" si="10"/>
        <v>0</v>
      </c>
      <c r="Z17" t="str">
        <f t="shared" si="11"/>
        <v>1.00000000098657-7.37945946308484E-15i</v>
      </c>
      <c r="AA17">
        <f t="shared" si="24"/>
        <v>8.5692375875376739E-9</v>
      </c>
      <c r="AB17">
        <f t="shared" si="12"/>
        <v>-4.2281188238863731E-13</v>
      </c>
      <c r="AD17" s="30" t="str">
        <f t="shared" si="13"/>
        <v>0.00062831853i</v>
      </c>
      <c r="AE17" s="30" t="str">
        <f t="shared" si="25"/>
        <v>1+0.00062831853i</v>
      </c>
      <c r="AF17" s="30" t="e">
        <f t="shared" si="14"/>
        <v>#VALUE!</v>
      </c>
      <c r="AG17" t="e">
        <f t="shared" si="15"/>
        <v>#VALUE!</v>
      </c>
      <c r="AH17" t="str">
        <f t="shared" si="26"/>
        <v>1+0.00062831853i</v>
      </c>
      <c r="AI17" s="299" t="e">
        <f t="shared" si="27"/>
        <v>#VALUE!</v>
      </c>
      <c r="AK17" t="e">
        <f t="shared" si="28"/>
        <v>#VALUE!</v>
      </c>
      <c r="AM17" t="e">
        <f t="shared" si="29"/>
        <v>#VALUE!</v>
      </c>
      <c r="AN17" t="e">
        <f t="shared" si="16"/>
        <v>#VALUE!</v>
      </c>
    </row>
    <row r="18" spans="1:40" x14ac:dyDescent="0.25">
      <c r="A18" s="335">
        <v>6</v>
      </c>
      <c r="B18" s="352">
        <f t="shared" si="17"/>
        <v>6.0000000000000001E-3</v>
      </c>
      <c r="C18" t="str">
        <f t="shared" si="0"/>
        <v>37.6991118i</v>
      </c>
      <c r="D18" s="30" t="str">
        <f t="shared" si="1"/>
        <v>-1421.2230305089</v>
      </c>
      <c r="E18" s="30" t="str">
        <f t="shared" si="2"/>
        <v>-53578.8459198898i</v>
      </c>
      <c r="G18" s="30" t="e">
        <f t="shared" si="3"/>
        <v>#VALUE!</v>
      </c>
      <c r="I18" s="30" t="e">
        <f t="shared" si="4"/>
        <v>#REF!</v>
      </c>
      <c r="J18" t="e">
        <f t="shared" si="18"/>
        <v>#REF!</v>
      </c>
      <c r="L18" s="30" t="e">
        <f t="shared" si="5"/>
        <v>#VALUE!</v>
      </c>
      <c r="M18" t="e">
        <f t="shared" si="6"/>
        <v>#VALUE!</v>
      </c>
      <c r="N18" t="e">
        <f t="shared" si="19"/>
        <v>#REF!</v>
      </c>
      <c r="O18" s="299" t="e">
        <f t="shared" si="20"/>
        <v>#VALUE!</v>
      </c>
      <c r="P18" s="651">
        <v>0</v>
      </c>
      <c r="Q18" s="397" t="str">
        <f t="shared" si="7"/>
        <v>1+0.00001319468913i</v>
      </c>
      <c r="R18" s="397" t="str">
        <f t="shared" si="8"/>
        <v>-5.99332970459887E-15i</v>
      </c>
      <c r="S18" s="397" t="str">
        <f t="shared" si="9"/>
        <v>-1.4206545412967E-09</v>
      </c>
      <c r="T18" s="397" t="str">
        <f t="shared" si="21"/>
        <v>0.999999998579345+0.0000131946891240067i</v>
      </c>
      <c r="U18" s="652">
        <v>1</v>
      </c>
      <c r="V18">
        <f t="shared" si="22"/>
        <v>1</v>
      </c>
      <c r="W18">
        <f t="shared" si="23"/>
        <v>0</v>
      </c>
      <c r="X18">
        <f t="shared" si="10"/>
        <v>0</v>
      </c>
      <c r="Z18" t="str">
        <f t="shared" si="11"/>
        <v>1.00000000142066-1.27518015159367E-14i</v>
      </c>
      <c r="AA18">
        <f t="shared" si="24"/>
        <v>1.2339696260264985E-8</v>
      </c>
      <c r="AB18">
        <f t="shared" si="12"/>
        <v>-7.3062440784858933E-13</v>
      </c>
      <c r="AD18" s="30" t="str">
        <f t="shared" si="13"/>
        <v>0.000753982236i</v>
      </c>
      <c r="AE18" s="30" t="str">
        <f t="shared" si="25"/>
        <v>1+0.000753982236i</v>
      </c>
      <c r="AF18" s="30" t="e">
        <f t="shared" si="14"/>
        <v>#VALUE!</v>
      </c>
      <c r="AG18" t="e">
        <f t="shared" si="15"/>
        <v>#VALUE!</v>
      </c>
      <c r="AH18" t="str">
        <f t="shared" si="26"/>
        <v>1+0.000753982236i</v>
      </c>
      <c r="AI18" s="299" t="e">
        <f t="shared" si="27"/>
        <v>#VALUE!</v>
      </c>
      <c r="AK18" t="e">
        <f t="shared" si="28"/>
        <v>#VALUE!</v>
      </c>
      <c r="AM18" t="e">
        <f t="shared" si="29"/>
        <v>#VALUE!</v>
      </c>
      <c r="AN18" t="e">
        <f t="shared" si="16"/>
        <v>#VALUE!</v>
      </c>
    </row>
    <row r="19" spans="1:40" x14ac:dyDescent="0.25">
      <c r="A19" s="324">
        <v>7</v>
      </c>
      <c r="B19" s="352">
        <f t="shared" si="17"/>
        <v>7.0000000000000001E-3</v>
      </c>
      <c r="C19" t="str">
        <f t="shared" si="0"/>
        <v>43.9822971i</v>
      </c>
      <c r="D19" s="30" t="str">
        <f t="shared" si="1"/>
        <v>-1934.44245819267</v>
      </c>
      <c r="E19" s="30" t="str">
        <f t="shared" si="2"/>
        <v>-85081.2229190843i</v>
      </c>
      <c r="G19" s="30" t="e">
        <f t="shared" si="3"/>
        <v>#VALUE!</v>
      </c>
      <c r="I19" s="30" t="e">
        <f t="shared" si="4"/>
        <v>#REF!</v>
      </c>
      <c r="J19" t="e">
        <f t="shared" si="18"/>
        <v>#REF!</v>
      </c>
      <c r="L19" s="30" t="e">
        <f t="shared" si="5"/>
        <v>#VALUE!</v>
      </c>
      <c r="M19" t="e">
        <f t="shared" si="6"/>
        <v>#VALUE!</v>
      </c>
      <c r="N19" t="e">
        <f t="shared" si="19"/>
        <v>#REF!</v>
      </c>
      <c r="O19" s="299" t="e">
        <f t="shared" si="20"/>
        <v>#VALUE!</v>
      </c>
      <c r="P19" s="651">
        <v>0</v>
      </c>
      <c r="Q19" s="397" t="str">
        <f t="shared" si="7"/>
        <v>1+0.000015393803985i</v>
      </c>
      <c r="R19" s="397" t="str">
        <f t="shared" si="8"/>
        <v>-9.51718559572877E-15i</v>
      </c>
      <c r="S19" s="397" t="str">
        <f t="shared" si="9"/>
        <v>-1.93366868120939E-09</v>
      </c>
      <c r="T19" s="397" t="str">
        <f t="shared" si="21"/>
        <v>0.999999998066331+0.0000153938039754828i</v>
      </c>
      <c r="U19" s="652">
        <v>1</v>
      </c>
      <c r="V19">
        <f t="shared" si="22"/>
        <v>1</v>
      </c>
      <c r="W19">
        <f t="shared" si="23"/>
        <v>0</v>
      </c>
      <c r="X19">
        <f t="shared" si="10"/>
        <v>0</v>
      </c>
      <c r="Z19" t="str">
        <f t="shared" si="11"/>
        <v>1.00000000193367-2.02493221373488E-14i</v>
      </c>
      <c r="AA19">
        <f t="shared" si="24"/>
        <v>1.6795643252346658E-8</v>
      </c>
      <c r="AB19">
        <f t="shared" si="12"/>
        <v>-1.1602006955531912E-12</v>
      </c>
      <c r="AD19" s="30" t="str">
        <f t="shared" si="13"/>
        <v>0.000879645942i</v>
      </c>
      <c r="AE19" s="30" t="str">
        <f t="shared" si="25"/>
        <v>1+0.000879645942i</v>
      </c>
      <c r="AF19" s="30" t="e">
        <f t="shared" si="14"/>
        <v>#VALUE!</v>
      </c>
      <c r="AG19" t="e">
        <f t="shared" si="15"/>
        <v>#VALUE!</v>
      </c>
      <c r="AH19" t="str">
        <f t="shared" si="26"/>
        <v>1+0.000879645942i</v>
      </c>
      <c r="AI19" s="299" t="e">
        <f t="shared" si="27"/>
        <v>#VALUE!</v>
      </c>
      <c r="AK19" t="e">
        <f t="shared" si="28"/>
        <v>#VALUE!</v>
      </c>
      <c r="AM19" t="e">
        <f t="shared" si="29"/>
        <v>#VALUE!</v>
      </c>
      <c r="AN19" t="e">
        <f t="shared" si="16"/>
        <v>#VALUE!</v>
      </c>
    </row>
    <row r="20" spans="1:40" x14ac:dyDescent="0.25">
      <c r="A20" s="335">
        <v>8</v>
      </c>
      <c r="B20" s="352">
        <f t="shared" si="17"/>
        <v>8.0000000000000002E-3</v>
      </c>
      <c r="C20" t="str">
        <f t="shared" si="0"/>
        <v>50.2654824i</v>
      </c>
      <c r="D20" s="30" t="str">
        <f t="shared" si="1"/>
        <v>-2526.61872090471</v>
      </c>
      <c r="E20" s="30" t="str">
        <f t="shared" si="2"/>
        <v>-127001.708847146i</v>
      </c>
      <c r="G20" s="30" t="e">
        <f t="shared" si="3"/>
        <v>#VALUE!</v>
      </c>
      <c r="I20" s="30" t="e">
        <f t="shared" si="4"/>
        <v>#REF!</v>
      </c>
      <c r="J20" t="e">
        <f t="shared" si="18"/>
        <v>#REF!</v>
      </c>
      <c r="L20" s="30" t="e">
        <f t="shared" si="5"/>
        <v>#VALUE!</v>
      </c>
      <c r="M20" t="e">
        <f t="shared" si="6"/>
        <v>#VALUE!</v>
      </c>
      <c r="N20" t="e">
        <f t="shared" si="19"/>
        <v>#REF!</v>
      </c>
      <c r="O20" s="299" t="e">
        <f t="shared" si="20"/>
        <v>#VALUE!</v>
      </c>
      <c r="P20" s="651">
        <v>0</v>
      </c>
      <c r="Q20" s="397" t="str">
        <f t="shared" si="7"/>
        <v>1+0.00001759291884i</v>
      </c>
      <c r="R20" s="397" t="str">
        <f t="shared" si="8"/>
        <v>-1.42064111516417E-14i</v>
      </c>
      <c r="S20" s="397" t="str">
        <f t="shared" si="9"/>
        <v>-2.52560807341635E-09</v>
      </c>
      <c r="T20" s="397" t="str">
        <f t="shared" si="21"/>
        <v>0.999999997474392+0.0000175929188257936i</v>
      </c>
      <c r="U20" s="652">
        <v>1</v>
      </c>
      <c r="V20">
        <f t="shared" si="22"/>
        <v>1</v>
      </c>
      <c r="W20">
        <f t="shared" si="23"/>
        <v>0</v>
      </c>
      <c r="X20">
        <f t="shared" si="10"/>
        <v>0</v>
      </c>
      <c r="Z20" t="str">
        <f t="shared" si="11"/>
        <v>1.00000000252561-3.02264148354676E-14i</v>
      </c>
      <c r="AA20">
        <f t="shared" si="24"/>
        <v>2.1937169209509332E-8</v>
      </c>
      <c r="AB20">
        <f t="shared" si="12"/>
        <v>-1.7318459974888673E-12</v>
      </c>
      <c r="AD20" s="30" t="str">
        <f t="shared" si="13"/>
        <v>0.001005309648i</v>
      </c>
      <c r="AE20" s="30" t="str">
        <f t="shared" si="25"/>
        <v>1+0.001005309648i</v>
      </c>
      <c r="AF20" s="30" t="e">
        <f t="shared" si="14"/>
        <v>#VALUE!</v>
      </c>
      <c r="AG20" t="e">
        <f t="shared" si="15"/>
        <v>#VALUE!</v>
      </c>
      <c r="AH20" t="str">
        <f t="shared" si="26"/>
        <v>1+0.001005309648i</v>
      </c>
      <c r="AI20" s="299" t="e">
        <f t="shared" si="27"/>
        <v>#VALUE!</v>
      </c>
      <c r="AK20" t="e">
        <f t="shared" si="28"/>
        <v>#VALUE!</v>
      </c>
      <c r="AM20" t="e">
        <f t="shared" si="29"/>
        <v>#VALUE!</v>
      </c>
      <c r="AN20" t="e">
        <f t="shared" si="16"/>
        <v>#VALUE!</v>
      </c>
    </row>
    <row r="21" spans="1:40" x14ac:dyDescent="0.25">
      <c r="A21" s="335">
        <v>9</v>
      </c>
      <c r="B21" s="352">
        <f t="shared" si="17"/>
        <v>8.9999999999999993E-3</v>
      </c>
      <c r="C21" t="str">
        <f t="shared" si="0"/>
        <v>56.5486677i</v>
      </c>
      <c r="D21" s="30" t="str">
        <f t="shared" si="1"/>
        <v>-3197.75181864502</v>
      </c>
      <c r="E21" s="30" t="str">
        <f t="shared" si="2"/>
        <v>-180828.604979628i</v>
      </c>
      <c r="G21" s="30" t="e">
        <f t="shared" si="3"/>
        <v>#VALUE!</v>
      </c>
      <c r="I21" s="30" t="e">
        <f t="shared" si="4"/>
        <v>#REF!</v>
      </c>
      <c r="J21" t="e">
        <f t="shared" si="18"/>
        <v>#REF!</v>
      </c>
      <c r="L21" s="30" t="e">
        <f t="shared" si="5"/>
        <v>#VALUE!</v>
      </c>
      <c r="M21" t="e">
        <f t="shared" si="6"/>
        <v>#VALUE!</v>
      </c>
      <c r="N21" t="e">
        <f t="shared" si="19"/>
        <v>#REF!</v>
      </c>
      <c r="O21" s="299" t="e">
        <f t="shared" si="20"/>
        <v>#VALUE!</v>
      </c>
      <c r="P21" s="651">
        <v>0</v>
      </c>
      <c r="Q21" s="397" t="str">
        <f t="shared" si="7"/>
        <v>1+0.000019792033695i</v>
      </c>
      <c r="R21" s="397" t="str">
        <f t="shared" si="8"/>
        <v>-2.02274877530212E-14i</v>
      </c>
      <c r="S21" s="397" t="str">
        <f t="shared" si="9"/>
        <v>-3.19647271791756E-09</v>
      </c>
      <c r="T21" s="397" t="str">
        <f t="shared" si="21"/>
        <v>0.999999996803527+0.0000197920336747725i</v>
      </c>
      <c r="U21" s="652">
        <v>1</v>
      </c>
      <c r="V21">
        <f t="shared" si="22"/>
        <v>1</v>
      </c>
      <c r="W21">
        <f t="shared" si="23"/>
        <v>0</v>
      </c>
      <c r="X21">
        <f t="shared" si="10"/>
        <v>0</v>
      </c>
      <c r="Z21" t="str">
        <f t="shared" si="11"/>
        <v>1.00000000319647-4.30372020696133E-14i</v>
      </c>
      <c r="AA21">
        <f t="shared" si="24"/>
        <v>2.7764185412408903E-8</v>
      </c>
      <c r="AB21">
        <f t="shared" si="12"/>
        <v>-2.4658500355761629E-12</v>
      </c>
      <c r="AD21" s="30" t="str">
        <f t="shared" si="13"/>
        <v>0.001130973354i</v>
      </c>
      <c r="AE21" s="30" t="str">
        <f t="shared" si="25"/>
        <v>1+0.001130973354i</v>
      </c>
      <c r="AF21" s="30" t="e">
        <f t="shared" si="14"/>
        <v>#VALUE!</v>
      </c>
      <c r="AG21" t="e">
        <f t="shared" si="15"/>
        <v>#VALUE!</v>
      </c>
      <c r="AH21" t="str">
        <f t="shared" si="26"/>
        <v>1+0.001130973354i</v>
      </c>
      <c r="AI21" s="299" t="e">
        <f t="shared" si="27"/>
        <v>#VALUE!</v>
      </c>
      <c r="AK21" t="e">
        <f t="shared" si="28"/>
        <v>#VALUE!</v>
      </c>
      <c r="AM21" t="e">
        <f t="shared" si="29"/>
        <v>#VALUE!</v>
      </c>
      <c r="AN21" t="e">
        <f t="shared" si="16"/>
        <v>#VALUE!</v>
      </c>
    </row>
    <row r="22" spans="1:40" x14ac:dyDescent="0.25">
      <c r="A22" s="324">
        <v>10</v>
      </c>
      <c r="B22" s="352">
        <f t="shared" si="17"/>
        <v>0.01</v>
      </c>
      <c r="C22" t="str">
        <f t="shared" si="0"/>
        <v>62.831853i</v>
      </c>
      <c r="D22" s="30" t="str">
        <f t="shared" si="1"/>
        <v>-3947.84175141361</v>
      </c>
      <c r="E22" s="30" t="str">
        <f t="shared" si="2"/>
        <v>-248050.212592082i</v>
      </c>
      <c r="G22" s="30" t="e">
        <f t="shared" si="3"/>
        <v>#VALUE!</v>
      </c>
      <c r="I22" s="30" t="e">
        <f t="shared" si="4"/>
        <v>#REF!</v>
      </c>
      <c r="J22" t="e">
        <f t="shared" si="18"/>
        <v>#REF!</v>
      </c>
      <c r="L22" s="30" t="e">
        <f t="shared" si="5"/>
        <v>#VALUE!</v>
      </c>
      <c r="M22" t="e">
        <f t="shared" si="6"/>
        <v>#VALUE!</v>
      </c>
      <c r="N22" t="e">
        <f t="shared" si="19"/>
        <v>#REF!</v>
      </c>
      <c r="O22" s="299" t="e">
        <f t="shared" si="20"/>
        <v>#VALUE!</v>
      </c>
      <c r="P22" s="651">
        <v>0</v>
      </c>
      <c r="Q22" s="397" t="str">
        <f t="shared" si="7"/>
        <v>1+0.00002199114855i</v>
      </c>
      <c r="R22" s="397" t="str">
        <f t="shared" si="8"/>
        <v>-2.77468967805503E-14i</v>
      </c>
      <c r="S22" s="397" t="str">
        <f t="shared" si="9"/>
        <v>-3.94626261471304E-09</v>
      </c>
      <c r="T22" s="397" t="str">
        <f t="shared" si="21"/>
        <v>0.999999996053737+0.0000219911485222531i</v>
      </c>
      <c r="U22" s="652">
        <v>1</v>
      </c>
      <c r="V22">
        <f t="shared" si="22"/>
        <v>1</v>
      </c>
      <c r="W22">
        <f t="shared" si="23"/>
        <v>0</v>
      </c>
      <c r="X22">
        <f t="shared" si="10"/>
        <v>0</v>
      </c>
      <c r="Z22" t="str">
        <f t="shared" si="11"/>
        <v>1.00000000394626-5.90359570729332E-14i</v>
      </c>
      <c r="AA22">
        <f t="shared" si="24"/>
        <v>3.4276778649137416E-8</v>
      </c>
      <c r="AB22">
        <f t="shared" si="12"/>
        <v>-3.3825111703113878E-12</v>
      </c>
      <c r="AD22" s="30" t="str">
        <f t="shared" si="13"/>
        <v>0.00125663706i</v>
      </c>
      <c r="AE22" s="30" t="str">
        <f t="shared" si="25"/>
        <v>1+0.00125663706i</v>
      </c>
      <c r="AF22" s="30" t="e">
        <f t="shared" si="14"/>
        <v>#VALUE!</v>
      </c>
      <c r="AG22" t="e">
        <f t="shared" si="15"/>
        <v>#VALUE!</v>
      </c>
      <c r="AH22" t="str">
        <f t="shared" si="26"/>
        <v>1+0.00125663706i</v>
      </c>
      <c r="AI22" s="299" t="e">
        <f t="shared" si="27"/>
        <v>#VALUE!</v>
      </c>
      <c r="AK22" t="e">
        <f t="shared" si="28"/>
        <v>#VALUE!</v>
      </c>
      <c r="AM22" t="e">
        <f t="shared" si="29"/>
        <v>#VALUE!</v>
      </c>
      <c r="AN22" t="e">
        <f t="shared" si="16"/>
        <v>#VALUE!</v>
      </c>
    </row>
    <row r="23" spans="1:40" x14ac:dyDescent="0.25">
      <c r="A23" s="335">
        <v>20</v>
      </c>
      <c r="B23" s="352">
        <f t="shared" si="17"/>
        <v>0.02</v>
      </c>
      <c r="C23" t="str">
        <f t="shared" si="0"/>
        <v>125.663706i</v>
      </c>
      <c r="D23" s="30" t="str">
        <f t="shared" si="1"/>
        <v>-15791.3670056544</v>
      </c>
      <c r="E23" s="30" t="str">
        <f t="shared" si="2"/>
        <v>-1984401.70073666i</v>
      </c>
      <c r="G23" s="30" t="e">
        <f t="shared" si="3"/>
        <v>#VALUE!</v>
      </c>
      <c r="I23" s="30" t="e">
        <f t="shared" si="4"/>
        <v>#REF!</v>
      </c>
      <c r="J23" t="e">
        <f t="shared" si="18"/>
        <v>#REF!</v>
      </c>
      <c r="L23" s="30" t="e">
        <f t="shared" si="5"/>
        <v>#VALUE!</v>
      </c>
      <c r="M23" t="e">
        <f t="shared" si="6"/>
        <v>#VALUE!</v>
      </c>
      <c r="N23" t="e">
        <f t="shared" si="19"/>
        <v>#REF!</v>
      </c>
      <c r="O23" s="299" t="e">
        <f t="shared" si="20"/>
        <v>#VALUE!</v>
      </c>
      <c r="P23" s="651">
        <v>0</v>
      </c>
      <c r="Q23" s="397" t="str">
        <f t="shared" si="7"/>
        <v>1+0.0000439822971i</v>
      </c>
      <c r="R23" s="397" t="str">
        <f t="shared" si="8"/>
        <v>-2.21975174244403E-13i</v>
      </c>
      <c r="S23" s="397" t="str">
        <f t="shared" si="9"/>
        <v>-1.57850504588521E-08</v>
      </c>
      <c r="T23" s="397" t="str">
        <f t="shared" si="21"/>
        <v>0.99999998421495+0.0000439822968780248i</v>
      </c>
      <c r="U23" s="652">
        <v>1</v>
      </c>
      <c r="V23">
        <f t="shared" si="22"/>
        <v>1</v>
      </c>
      <c r="W23">
        <f t="shared" si="23"/>
        <v>0</v>
      </c>
      <c r="X23">
        <f t="shared" si="10"/>
        <v>0</v>
      </c>
      <c r="Z23" t="str">
        <f t="shared" si="11"/>
        <v>1.00000001578505-4.72287580174405E-13i</v>
      </c>
      <c r="AA23">
        <f t="shared" si="24"/>
        <v>1.3710720057442979E-7</v>
      </c>
      <c r="AB23">
        <f t="shared" si="12"/>
        <v>-2.7060084664215768E-11</v>
      </c>
      <c r="AD23" s="30" t="str">
        <f t="shared" si="13"/>
        <v>0.00251327412i</v>
      </c>
      <c r="AE23" s="30" t="str">
        <f t="shared" si="25"/>
        <v>1+0.00251327412i</v>
      </c>
      <c r="AF23" s="30" t="e">
        <f t="shared" si="14"/>
        <v>#VALUE!</v>
      </c>
      <c r="AG23" t="e">
        <f t="shared" si="15"/>
        <v>#VALUE!</v>
      </c>
      <c r="AH23" t="str">
        <f t="shared" si="26"/>
        <v>1+0.00251327412i</v>
      </c>
      <c r="AI23" s="299" t="e">
        <f t="shared" si="27"/>
        <v>#VALUE!</v>
      </c>
      <c r="AK23" t="e">
        <f t="shared" si="28"/>
        <v>#VALUE!</v>
      </c>
      <c r="AM23" t="e">
        <f t="shared" si="29"/>
        <v>#VALUE!</v>
      </c>
      <c r="AN23" t="e">
        <f t="shared" si="16"/>
        <v>#VALUE!</v>
      </c>
    </row>
    <row r="24" spans="1:40" x14ac:dyDescent="0.25">
      <c r="A24" s="324">
        <v>30</v>
      </c>
      <c r="B24" s="352">
        <f t="shared" si="17"/>
        <v>0.03</v>
      </c>
      <c r="C24" t="str">
        <f t="shared" si="0"/>
        <v>188.495559i</v>
      </c>
      <c r="D24" s="30" t="str">
        <f t="shared" si="1"/>
        <v>-35530.5757627225</v>
      </c>
      <c r="E24" s="30" t="str">
        <f t="shared" si="2"/>
        <v>-6697355.73998623i</v>
      </c>
      <c r="G24" s="30" t="e">
        <f t="shared" si="3"/>
        <v>#VALUE!</v>
      </c>
      <c r="I24" s="30" t="e">
        <f t="shared" si="4"/>
        <v>#REF!</v>
      </c>
      <c r="J24" t="e">
        <f t="shared" si="18"/>
        <v>#REF!</v>
      </c>
      <c r="L24" s="30" t="e">
        <f t="shared" si="5"/>
        <v>#VALUE!</v>
      </c>
      <c r="M24" t="e">
        <f t="shared" si="6"/>
        <v>#VALUE!</v>
      </c>
      <c r="N24" t="e">
        <f t="shared" si="19"/>
        <v>#REF!</v>
      </c>
      <c r="O24" s="299" t="e">
        <f t="shared" si="20"/>
        <v>#VALUE!</v>
      </c>
      <c r="P24" s="651">
        <v>0</v>
      </c>
      <c r="Q24" s="397" t="str">
        <f t="shared" si="7"/>
        <v>1+0.00006597344565i</v>
      </c>
      <c r="R24" s="397" t="str">
        <f t="shared" si="8"/>
        <v>-7.4916621307486E-13i</v>
      </c>
      <c r="S24" s="397" t="str">
        <f t="shared" si="9"/>
        <v>-3.55163635324174E-08</v>
      </c>
      <c r="T24" s="397" t="str">
        <f t="shared" si="21"/>
        <v>0.999999964483636+0.0000659734449008338i</v>
      </c>
      <c r="U24" s="652">
        <v>1</v>
      </c>
      <c r="V24">
        <f t="shared" si="22"/>
        <v>1</v>
      </c>
      <c r="W24">
        <f t="shared" si="23"/>
        <v>0</v>
      </c>
      <c r="X24">
        <f t="shared" si="10"/>
        <v>0</v>
      </c>
      <c r="Z24" t="str">
        <f t="shared" si="11"/>
        <v>1.00000003551637-1.59397081397336E-12i</v>
      </c>
      <c r="AA24">
        <f t="shared" si="24"/>
        <v>3.0849126526975555E-7</v>
      </c>
      <c r="AB24">
        <f t="shared" si="12"/>
        <v>-9.1327797168431367E-11</v>
      </c>
      <c r="AD24" s="30" t="str">
        <f t="shared" si="13"/>
        <v>0.00376991118i</v>
      </c>
      <c r="AE24" s="30" t="str">
        <f t="shared" si="25"/>
        <v>1+0.00376991118i</v>
      </c>
      <c r="AF24" s="30" t="e">
        <f t="shared" si="14"/>
        <v>#VALUE!</v>
      </c>
      <c r="AG24" t="e">
        <f t="shared" si="15"/>
        <v>#VALUE!</v>
      </c>
      <c r="AH24" t="str">
        <f t="shared" si="26"/>
        <v>1+0.00376991118i</v>
      </c>
      <c r="AI24" s="299" t="e">
        <f t="shared" si="27"/>
        <v>#VALUE!</v>
      </c>
      <c r="AK24" t="e">
        <f t="shared" si="28"/>
        <v>#VALUE!</v>
      </c>
      <c r="AM24" t="e">
        <f t="shared" si="29"/>
        <v>#VALUE!</v>
      </c>
      <c r="AN24" t="e">
        <f t="shared" si="16"/>
        <v>#VALUE!</v>
      </c>
    </row>
    <row r="25" spans="1:40" x14ac:dyDescent="0.25">
      <c r="A25" s="335">
        <v>40</v>
      </c>
      <c r="B25" s="352">
        <f t="shared" si="17"/>
        <v>0.04</v>
      </c>
      <c r="C25" t="str">
        <f t="shared" si="0"/>
        <v>251.327412i</v>
      </c>
      <c r="D25" s="30" t="str">
        <f t="shared" si="1"/>
        <v>-63165.4680226178</v>
      </c>
      <c r="E25" s="30" t="str">
        <f t="shared" si="2"/>
        <v>-15875213.6058933i</v>
      </c>
      <c r="G25" s="30" t="e">
        <f t="shared" si="3"/>
        <v>#VALUE!</v>
      </c>
      <c r="I25" s="30" t="e">
        <f t="shared" si="4"/>
        <v>#REF!</v>
      </c>
      <c r="J25" t="e">
        <f t="shared" si="18"/>
        <v>#REF!</v>
      </c>
      <c r="L25" s="30" t="e">
        <f t="shared" si="5"/>
        <v>#VALUE!</v>
      </c>
      <c r="M25" t="e">
        <f t="shared" si="6"/>
        <v>#VALUE!</v>
      </c>
      <c r="N25" t="e">
        <f t="shared" si="19"/>
        <v>#REF!</v>
      </c>
      <c r="O25" s="299" t="e">
        <f t="shared" si="20"/>
        <v>#VALUE!</v>
      </c>
      <c r="P25" s="651">
        <v>0</v>
      </c>
      <c r="Q25" s="397" t="str">
        <f t="shared" si="7"/>
        <v>1+0.0000879645942i</v>
      </c>
      <c r="R25" s="397" t="str">
        <f t="shared" si="8"/>
        <v>-1.77580139395522E-12i</v>
      </c>
      <c r="S25" s="397" t="str">
        <f t="shared" si="9"/>
        <v>-6.31402018354088E-08</v>
      </c>
      <c r="T25" s="397" t="str">
        <f t="shared" si="21"/>
        <v>0.999999936859798+0.0000879645924241986i</v>
      </c>
      <c r="U25" s="652">
        <v>1</v>
      </c>
      <c r="V25">
        <f t="shared" si="22"/>
        <v>1</v>
      </c>
      <c r="W25">
        <f t="shared" si="23"/>
        <v>0</v>
      </c>
      <c r="X25">
        <f t="shared" si="10"/>
        <v>0</v>
      </c>
      <c r="Z25" t="str">
        <f t="shared" si="11"/>
        <v>1.00000006314021-3.77830129983406E-12i</v>
      </c>
      <c r="AA25">
        <f t="shared" si="24"/>
        <v>5.4842887803037698E-7</v>
      </c>
      <c r="AB25">
        <f t="shared" si="12"/>
        <v>-2.1648070478801279E-10</v>
      </c>
      <c r="AD25" s="30" t="str">
        <f t="shared" si="13"/>
        <v>0.00502654824i</v>
      </c>
      <c r="AE25" s="30" t="str">
        <f t="shared" si="25"/>
        <v>1+0.00502654824i</v>
      </c>
      <c r="AF25" s="30" t="e">
        <f t="shared" si="14"/>
        <v>#VALUE!</v>
      </c>
      <c r="AG25" t="e">
        <f t="shared" si="15"/>
        <v>#VALUE!</v>
      </c>
      <c r="AH25" t="str">
        <f t="shared" si="26"/>
        <v>1+0.00502654824i</v>
      </c>
      <c r="AI25" s="299" t="e">
        <f t="shared" si="27"/>
        <v>#VALUE!</v>
      </c>
      <c r="AK25" t="e">
        <f t="shared" si="28"/>
        <v>#VALUE!</v>
      </c>
      <c r="AM25" t="e">
        <f t="shared" si="29"/>
        <v>#VALUE!</v>
      </c>
      <c r="AN25" t="e">
        <f t="shared" si="16"/>
        <v>#VALUE!</v>
      </c>
    </row>
    <row r="26" spans="1:40" x14ac:dyDescent="0.25">
      <c r="A26" s="324">
        <v>50</v>
      </c>
      <c r="B26" s="352">
        <f t="shared" si="17"/>
        <v>0.05</v>
      </c>
      <c r="C26" t="str">
        <f t="shared" si="0"/>
        <v>314.159265i</v>
      </c>
      <c r="D26" s="30" t="str">
        <f t="shared" si="1"/>
        <v>-98696.0437853402</v>
      </c>
      <c r="E26" s="30" t="str">
        <f t="shared" si="2"/>
        <v>-31006276.5740103i</v>
      </c>
      <c r="G26" s="30" t="e">
        <f t="shared" si="3"/>
        <v>#VALUE!</v>
      </c>
      <c r="I26" s="30" t="e">
        <f t="shared" si="4"/>
        <v>#REF!</v>
      </c>
      <c r="J26" t="e">
        <f t="shared" si="18"/>
        <v>#REF!</v>
      </c>
      <c r="L26" s="30" t="e">
        <f t="shared" si="5"/>
        <v>#VALUE!</v>
      </c>
      <c r="M26" t="e">
        <f t="shared" si="6"/>
        <v>#VALUE!</v>
      </c>
      <c r="N26" t="e">
        <f t="shared" si="19"/>
        <v>#REF!</v>
      </c>
      <c r="O26" s="299" t="e">
        <f t="shared" si="20"/>
        <v>#VALUE!</v>
      </c>
      <c r="P26" s="651">
        <v>0</v>
      </c>
      <c r="Q26" s="397" t="str">
        <f t="shared" si="7"/>
        <v>1+0.00010995574275i</v>
      </c>
      <c r="R26" s="397" t="str">
        <f t="shared" si="8"/>
        <v>-3.46836209756879E-12i</v>
      </c>
      <c r="S26" s="397" t="str">
        <f t="shared" si="9"/>
        <v>-9.86565653678261E-08</v>
      </c>
      <c r="T26" s="397" t="str">
        <f t="shared" si="21"/>
        <v>0.999999901343435+0.000109955739281638i</v>
      </c>
      <c r="U26" s="652">
        <v>1</v>
      </c>
      <c r="V26">
        <f t="shared" si="22"/>
        <v>1</v>
      </c>
      <c r="W26">
        <f t="shared" si="23"/>
        <v>0</v>
      </c>
      <c r="X26">
        <f t="shared" si="10"/>
        <v>0</v>
      </c>
      <c r="Z26" t="str">
        <f t="shared" si="11"/>
        <v>1.00000009865657-7.37949525076775E-12i</v>
      </c>
      <c r="AA26">
        <f t="shared" si="24"/>
        <v>8.5692003703246746E-7</v>
      </c>
      <c r="AB26">
        <f t="shared" si="12"/>
        <v>-4.2281389157559421E-10</v>
      </c>
      <c r="AD26" s="30" t="str">
        <f t="shared" si="13"/>
        <v>0.0062831853i</v>
      </c>
      <c r="AE26" s="30" t="str">
        <f t="shared" si="25"/>
        <v>1+0.0062831853i</v>
      </c>
      <c r="AF26" s="30" t="e">
        <f t="shared" si="14"/>
        <v>#VALUE!</v>
      </c>
      <c r="AG26" t="e">
        <f t="shared" si="15"/>
        <v>#VALUE!</v>
      </c>
      <c r="AH26" t="str">
        <f t="shared" si="26"/>
        <v>1+0.0062831853i</v>
      </c>
      <c r="AI26" s="299" t="e">
        <f t="shared" si="27"/>
        <v>#VALUE!</v>
      </c>
      <c r="AK26" t="e">
        <f t="shared" si="28"/>
        <v>#VALUE!</v>
      </c>
      <c r="AM26" t="e">
        <f t="shared" si="29"/>
        <v>#VALUE!</v>
      </c>
      <c r="AN26" t="e">
        <f t="shared" si="16"/>
        <v>#VALUE!</v>
      </c>
    </row>
    <row r="27" spans="1:40" x14ac:dyDescent="0.25">
      <c r="A27" s="335">
        <v>60</v>
      </c>
      <c r="B27" s="352">
        <f t="shared" si="17"/>
        <v>0.06</v>
      </c>
      <c r="C27" t="str">
        <f t="shared" si="0"/>
        <v>376.991118i</v>
      </c>
      <c r="D27" s="30" t="str">
        <f t="shared" si="1"/>
        <v>-142122.30305089</v>
      </c>
      <c r="E27" s="30" t="str">
        <f t="shared" si="2"/>
        <v>-53578845.9198898i</v>
      </c>
      <c r="G27" s="30" t="e">
        <f t="shared" si="3"/>
        <v>#VALUE!</v>
      </c>
      <c r="I27" s="30" t="e">
        <f t="shared" si="4"/>
        <v>#REF!</v>
      </c>
      <c r="J27" t="e">
        <f t="shared" si="18"/>
        <v>#REF!</v>
      </c>
      <c r="L27" s="30" t="e">
        <f t="shared" si="5"/>
        <v>#VALUE!</v>
      </c>
      <c r="M27" t="e">
        <f t="shared" si="6"/>
        <v>#VALUE!</v>
      </c>
      <c r="N27" t="e">
        <f t="shared" si="19"/>
        <v>#REF!</v>
      </c>
      <c r="O27" s="299" t="e">
        <f t="shared" si="20"/>
        <v>#VALUE!</v>
      </c>
      <c r="P27" s="651">
        <v>0</v>
      </c>
      <c r="Q27" s="397" t="str">
        <f t="shared" si="7"/>
        <v>1+0.0001319468913i</v>
      </c>
      <c r="R27" s="397" t="str">
        <f t="shared" si="8"/>
        <v>-5.99332970459887E-12i</v>
      </c>
      <c r="S27" s="397" t="str">
        <f t="shared" si="9"/>
        <v>-1.4206545412967E-07</v>
      </c>
      <c r="T27" s="397" t="str">
        <f t="shared" si="21"/>
        <v>0.999999857934546+0.00013194688530667i</v>
      </c>
      <c r="U27" s="652">
        <v>1</v>
      </c>
      <c r="V27">
        <f t="shared" si="22"/>
        <v>1</v>
      </c>
      <c r="W27">
        <f t="shared" si="23"/>
        <v>0</v>
      </c>
      <c r="X27">
        <f t="shared" si="10"/>
        <v>0</v>
      </c>
      <c r="Z27" t="str">
        <f t="shared" si="11"/>
        <v>1.00000014206547-1.27517683815965E-11i</v>
      </c>
      <c r="AA27">
        <f t="shared" si="24"/>
        <v>1.2339649066219747E-6</v>
      </c>
      <c r="AB27">
        <f t="shared" si="12"/>
        <v>-7.3062240663248992E-10</v>
      </c>
      <c r="AD27" s="30" t="str">
        <f t="shared" si="13"/>
        <v>0.00753982236i</v>
      </c>
      <c r="AE27" s="30" t="str">
        <f t="shared" si="25"/>
        <v>1+0.00753982236i</v>
      </c>
      <c r="AF27" s="30" t="e">
        <f t="shared" si="14"/>
        <v>#VALUE!</v>
      </c>
      <c r="AG27" t="e">
        <f t="shared" si="15"/>
        <v>#VALUE!</v>
      </c>
      <c r="AH27" t="str">
        <f t="shared" si="26"/>
        <v>1+0.00753982236i</v>
      </c>
      <c r="AI27" s="299" t="e">
        <f t="shared" si="27"/>
        <v>#VALUE!</v>
      </c>
      <c r="AK27" t="e">
        <f t="shared" si="28"/>
        <v>#VALUE!</v>
      </c>
      <c r="AM27" t="e">
        <f t="shared" si="29"/>
        <v>#VALUE!</v>
      </c>
      <c r="AN27" t="e">
        <f t="shared" si="16"/>
        <v>#VALUE!</v>
      </c>
    </row>
    <row r="28" spans="1:40" x14ac:dyDescent="0.25">
      <c r="A28" s="324">
        <v>70</v>
      </c>
      <c r="B28" s="352">
        <f t="shared" si="17"/>
        <v>7.0000000000000007E-2</v>
      </c>
      <c r="C28" t="str">
        <f t="shared" si="0"/>
        <v>439.822971i</v>
      </c>
      <c r="D28" s="30" t="str">
        <f t="shared" si="1"/>
        <v>-193444.245819267</v>
      </c>
      <c r="E28" s="30" t="str">
        <f t="shared" si="2"/>
        <v>-85081222.9190843i</v>
      </c>
      <c r="G28" s="30" t="e">
        <f t="shared" si="3"/>
        <v>#VALUE!</v>
      </c>
      <c r="I28" s="30" t="e">
        <f t="shared" si="4"/>
        <v>#REF!</v>
      </c>
      <c r="J28" t="e">
        <f t="shared" si="18"/>
        <v>#REF!</v>
      </c>
      <c r="L28" s="30" t="e">
        <f t="shared" si="5"/>
        <v>#VALUE!</v>
      </c>
      <c r="M28" t="e">
        <f t="shared" si="6"/>
        <v>#VALUE!</v>
      </c>
      <c r="N28" t="e">
        <f t="shared" si="19"/>
        <v>#REF!</v>
      </c>
      <c r="O28" s="299" t="e">
        <f t="shared" si="20"/>
        <v>#VALUE!</v>
      </c>
      <c r="P28" s="651">
        <v>0</v>
      </c>
      <c r="Q28" s="397" t="str">
        <f t="shared" si="7"/>
        <v>1+0.00015393803985i</v>
      </c>
      <c r="R28" s="397" t="str">
        <f t="shared" si="8"/>
        <v>-9.51718559572877E-12i</v>
      </c>
      <c r="S28" s="397" t="str">
        <f t="shared" si="9"/>
        <v>-1.93366868120939E-07</v>
      </c>
      <c r="T28" s="397" t="str">
        <f t="shared" si="21"/>
        <v>0.999999806633132+0.000153938030332814i</v>
      </c>
      <c r="U28" s="652">
        <v>1</v>
      </c>
      <c r="V28">
        <f t="shared" si="22"/>
        <v>1</v>
      </c>
      <c r="W28">
        <f t="shared" si="23"/>
        <v>0</v>
      </c>
      <c r="X28">
        <f t="shared" si="10"/>
        <v>0</v>
      </c>
      <c r="Z28" t="str">
        <f t="shared" si="11"/>
        <v>1.0000001933669-2.02493379799158E-11i</v>
      </c>
      <c r="AA28">
        <f t="shared" si="24"/>
        <v>1.6795633910819215E-6</v>
      </c>
      <c r="AB28">
        <f t="shared" si="12"/>
        <v>-1.1602013811643187E-9</v>
      </c>
      <c r="AD28" s="30" t="str">
        <f t="shared" si="13"/>
        <v>0.00879645942i</v>
      </c>
      <c r="AE28" s="30" t="str">
        <f t="shared" si="25"/>
        <v>1+0.00879645942i</v>
      </c>
      <c r="AF28" s="30" t="e">
        <f t="shared" si="14"/>
        <v>#VALUE!</v>
      </c>
      <c r="AG28" t="e">
        <f t="shared" si="15"/>
        <v>#VALUE!</v>
      </c>
      <c r="AH28" t="str">
        <f t="shared" si="26"/>
        <v>1+0.00879645942i</v>
      </c>
      <c r="AI28" s="299" t="e">
        <f t="shared" si="27"/>
        <v>#VALUE!</v>
      </c>
      <c r="AK28" t="e">
        <f t="shared" si="28"/>
        <v>#VALUE!</v>
      </c>
      <c r="AM28" t="e">
        <f t="shared" si="29"/>
        <v>#VALUE!</v>
      </c>
      <c r="AN28" t="e">
        <f t="shared" si="16"/>
        <v>#VALUE!</v>
      </c>
    </row>
    <row r="29" spans="1:40" x14ac:dyDescent="0.25">
      <c r="A29" s="335">
        <v>80</v>
      </c>
      <c r="B29" s="352">
        <f t="shared" si="17"/>
        <v>0.08</v>
      </c>
      <c r="C29" t="str">
        <f t="shared" si="0"/>
        <v>502.654824i</v>
      </c>
      <c r="D29" s="30" t="str">
        <f t="shared" si="1"/>
        <v>-252661.872090471</v>
      </c>
      <c r="E29" s="30" t="str">
        <f t="shared" si="2"/>
        <v>-127001708.847146i</v>
      </c>
      <c r="G29" s="30" t="e">
        <f t="shared" si="3"/>
        <v>#VALUE!</v>
      </c>
      <c r="I29" s="30" t="e">
        <f t="shared" si="4"/>
        <v>#REF!</v>
      </c>
      <c r="J29" t="e">
        <f t="shared" si="18"/>
        <v>#REF!</v>
      </c>
      <c r="L29" s="30" t="e">
        <f t="shared" si="5"/>
        <v>#VALUE!</v>
      </c>
      <c r="M29" t="e">
        <f t="shared" si="6"/>
        <v>#VALUE!</v>
      </c>
      <c r="N29" t="e">
        <f t="shared" si="19"/>
        <v>#REF!</v>
      </c>
      <c r="O29" s="299" t="e">
        <f t="shared" si="20"/>
        <v>#VALUE!</v>
      </c>
      <c r="P29" s="651">
        <v>0</v>
      </c>
      <c r="Q29" s="397" t="str">
        <f t="shared" si="7"/>
        <v>1+0.0001759291884i</v>
      </c>
      <c r="R29" s="397" t="str">
        <f t="shared" si="8"/>
        <v>-1.42064111516417E-11i</v>
      </c>
      <c r="S29" s="397" t="str">
        <f t="shared" si="9"/>
        <v>-2.52560807341635E-07</v>
      </c>
      <c r="T29" s="397" t="str">
        <f t="shared" si="21"/>
        <v>0.999999747439193+0.000175929174193589i</v>
      </c>
      <c r="U29" s="652">
        <v>1</v>
      </c>
      <c r="V29">
        <f t="shared" si="22"/>
        <v>1</v>
      </c>
      <c r="W29">
        <f t="shared" si="23"/>
        <v>0</v>
      </c>
      <c r="X29">
        <f t="shared" si="10"/>
        <v>0</v>
      </c>
      <c r="Z29" t="str">
        <f t="shared" si="11"/>
        <v>1.00000025256087-3.02264211687963E-11i</v>
      </c>
      <c r="AA29">
        <f t="shared" si="24"/>
        <v>2.1937155666510632E-6</v>
      </c>
      <c r="AB29">
        <f t="shared" si="12"/>
        <v>-1.731845927339326E-9</v>
      </c>
      <c r="AD29" s="30" t="str">
        <f t="shared" si="13"/>
        <v>0.01005309648i</v>
      </c>
      <c r="AE29" s="30" t="str">
        <f t="shared" si="25"/>
        <v>1+0.01005309648i</v>
      </c>
      <c r="AF29" s="30" t="e">
        <f t="shared" si="14"/>
        <v>#VALUE!</v>
      </c>
      <c r="AG29" t="e">
        <f t="shared" si="15"/>
        <v>#VALUE!</v>
      </c>
      <c r="AH29" t="str">
        <f t="shared" si="26"/>
        <v>1+0.01005309648i</v>
      </c>
      <c r="AI29" s="299" t="e">
        <f t="shared" si="27"/>
        <v>#VALUE!</v>
      </c>
      <c r="AK29" t="e">
        <f t="shared" si="28"/>
        <v>#VALUE!</v>
      </c>
      <c r="AM29" t="e">
        <f t="shared" si="29"/>
        <v>#VALUE!</v>
      </c>
      <c r="AN29" t="e">
        <f t="shared" si="16"/>
        <v>#VALUE!</v>
      </c>
    </row>
    <row r="30" spans="1:40" x14ac:dyDescent="0.25">
      <c r="A30" s="324">
        <v>90</v>
      </c>
      <c r="B30" s="352">
        <f t="shared" si="17"/>
        <v>0.09</v>
      </c>
      <c r="C30" t="str">
        <f t="shared" si="0"/>
        <v>565.486677i</v>
      </c>
      <c r="D30" s="30" t="str">
        <f t="shared" si="1"/>
        <v>-319775.181864502</v>
      </c>
      <c r="E30" s="30" t="str">
        <f t="shared" si="2"/>
        <v>-180828604.979628i</v>
      </c>
      <c r="G30" s="30" t="e">
        <f t="shared" si="3"/>
        <v>#VALUE!</v>
      </c>
      <c r="I30" s="30" t="e">
        <f t="shared" si="4"/>
        <v>#REF!</v>
      </c>
      <c r="J30" t="e">
        <f t="shared" si="18"/>
        <v>#REF!</v>
      </c>
      <c r="L30" s="30" t="e">
        <f t="shared" si="5"/>
        <v>#VALUE!</v>
      </c>
      <c r="M30" t="e">
        <f t="shared" si="6"/>
        <v>#VALUE!</v>
      </c>
      <c r="N30" t="e">
        <f t="shared" si="19"/>
        <v>#REF!</v>
      </c>
      <c r="O30" s="299" t="e">
        <f t="shared" si="20"/>
        <v>#VALUE!</v>
      </c>
      <c r="P30" s="651">
        <v>0</v>
      </c>
      <c r="Q30" s="397" t="str">
        <f t="shared" si="7"/>
        <v>1+0.00019792033695i</v>
      </c>
      <c r="R30" s="397" t="str">
        <f t="shared" si="8"/>
        <v>-2.02274877530212E-11i</v>
      </c>
      <c r="S30" s="397" t="str">
        <f t="shared" si="9"/>
        <v>-3.19647271791756E-07</v>
      </c>
      <c r="T30" s="397" t="str">
        <f t="shared" si="21"/>
        <v>0.999999680352728+0.000197920316722512i</v>
      </c>
      <c r="U30" s="652">
        <v>1</v>
      </c>
      <c r="V30">
        <f t="shared" si="22"/>
        <v>1</v>
      </c>
      <c r="W30">
        <f t="shared" si="23"/>
        <v>0</v>
      </c>
      <c r="X30">
        <f t="shared" si="10"/>
        <v>0</v>
      </c>
      <c r="Z30" t="str">
        <f t="shared" si="11"/>
        <v>1.00000031964737-4.30372335896138E-11i</v>
      </c>
      <c r="AA30">
        <f t="shared" si="24"/>
        <v>2.7764213343660625E-6</v>
      </c>
      <c r="AB30">
        <f t="shared" si="12"/>
        <v>-2.4658510612183728E-9</v>
      </c>
      <c r="AD30" s="30" t="str">
        <f t="shared" si="13"/>
        <v>0.01130973354i</v>
      </c>
      <c r="AE30" s="30" t="str">
        <f t="shared" si="25"/>
        <v>1+0.01130973354i</v>
      </c>
      <c r="AF30" s="30" t="e">
        <f t="shared" si="14"/>
        <v>#VALUE!</v>
      </c>
      <c r="AG30" t="e">
        <f t="shared" si="15"/>
        <v>#VALUE!</v>
      </c>
      <c r="AH30" t="str">
        <f t="shared" si="26"/>
        <v>1+0.01130973354i</v>
      </c>
      <c r="AI30" s="299" t="e">
        <f t="shared" si="27"/>
        <v>#VALUE!</v>
      </c>
      <c r="AK30" t="e">
        <f t="shared" si="28"/>
        <v>#VALUE!</v>
      </c>
      <c r="AM30" t="e">
        <f t="shared" si="29"/>
        <v>#VALUE!</v>
      </c>
      <c r="AN30" t="e">
        <f t="shared" si="16"/>
        <v>#VALUE!</v>
      </c>
    </row>
    <row r="31" spans="1:40" x14ac:dyDescent="0.25">
      <c r="A31" s="335">
        <v>100</v>
      </c>
      <c r="B31" s="352">
        <f t="shared" si="17"/>
        <v>0.1</v>
      </c>
      <c r="C31" t="str">
        <f t="shared" si="0"/>
        <v>628.31853i</v>
      </c>
      <c r="D31" s="30" t="str">
        <f t="shared" si="1"/>
        <v>-394784.175141361</v>
      </c>
      <c r="E31" s="30" t="str">
        <f t="shared" si="2"/>
        <v>-248050212.592082i</v>
      </c>
      <c r="G31" s="30" t="e">
        <f t="shared" si="3"/>
        <v>#VALUE!</v>
      </c>
      <c r="I31" s="30" t="e">
        <f t="shared" si="4"/>
        <v>#REF!</v>
      </c>
      <c r="J31" t="e">
        <f t="shared" si="18"/>
        <v>#REF!</v>
      </c>
      <c r="L31" s="30" t="e">
        <f t="shared" si="5"/>
        <v>#VALUE!</v>
      </c>
      <c r="M31" t="e">
        <f t="shared" si="6"/>
        <v>#VALUE!</v>
      </c>
      <c r="N31" t="e">
        <f t="shared" si="19"/>
        <v>#REF!</v>
      </c>
      <c r="O31" s="299" t="e">
        <f t="shared" si="20"/>
        <v>#VALUE!</v>
      </c>
      <c r="P31" s="651">
        <v>0</v>
      </c>
      <c r="Q31" s="397" t="str">
        <f t="shared" si="7"/>
        <v>1+0.0002199114855i</v>
      </c>
      <c r="R31" s="397" t="str">
        <f t="shared" si="8"/>
        <v>-2.77468967805503E-11i</v>
      </c>
      <c r="S31" s="397" t="str">
        <f t="shared" si="9"/>
        <v>-3.94626261471305E-07</v>
      </c>
      <c r="T31" s="397" t="str">
        <f t="shared" si="21"/>
        <v>0.999999605373739+0.000219911457753103i</v>
      </c>
      <c r="U31" s="652">
        <v>1</v>
      </c>
      <c r="V31">
        <f t="shared" si="22"/>
        <v>1</v>
      </c>
      <c r="W31">
        <f t="shared" si="23"/>
        <v>0</v>
      </c>
      <c r="X31">
        <f t="shared" si="10"/>
        <v>0</v>
      </c>
      <c r="Z31" t="str">
        <f t="shared" si="11"/>
        <v>1.0000003946264-5.90359940073355E-11i</v>
      </c>
      <c r="AA31">
        <f t="shared" si="24"/>
        <v>3.4276806823585146E-6</v>
      </c>
      <c r="AB31">
        <f t="shared" si="12"/>
        <v>-3.382511965016509E-9</v>
      </c>
      <c r="AD31" s="30" t="str">
        <f t="shared" si="13"/>
        <v>0.0125663706i</v>
      </c>
      <c r="AE31" s="30" t="str">
        <f t="shared" si="25"/>
        <v>1+0.0125663706i</v>
      </c>
      <c r="AF31" s="30" t="e">
        <f t="shared" si="14"/>
        <v>#VALUE!</v>
      </c>
      <c r="AG31" t="e">
        <f t="shared" si="15"/>
        <v>#VALUE!</v>
      </c>
      <c r="AH31" t="str">
        <f t="shared" si="26"/>
        <v>1+0.0125663706i</v>
      </c>
      <c r="AI31" s="299" t="e">
        <f t="shared" si="27"/>
        <v>#VALUE!</v>
      </c>
      <c r="AK31" t="e">
        <f t="shared" si="28"/>
        <v>#VALUE!</v>
      </c>
      <c r="AM31" t="e">
        <f t="shared" si="29"/>
        <v>#VALUE!</v>
      </c>
      <c r="AN31" t="e">
        <f t="shared" si="16"/>
        <v>#VALUE!</v>
      </c>
    </row>
    <row r="32" spans="1:40" x14ac:dyDescent="0.25">
      <c r="A32" s="335">
        <v>200</v>
      </c>
      <c r="B32" s="352">
        <f t="shared" si="17"/>
        <v>0.2</v>
      </c>
      <c r="C32" t="str">
        <f t="shared" si="0"/>
        <v>1256.63706i</v>
      </c>
      <c r="D32" s="30" t="str">
        <f t="shared" si="1"/>
        <v>-1579136.70056544</v>
      </c>
      <c r="E32" s="30" t="str">
        <f t="shared" si="2"/>
        <v>-1984401700.73666i</v>
      </c>
      <c r="G32" s="30" t="e">
        <f t="shared" si="3"/>
        <v>#VALUE!</v>
      </c>
      <c r="I32" s="30" t="e">
        <f t="shared" si="4"/>
        <v>#REF!</v>
      </c>
      <c r="J32" t="e">
        <f t="shared" si="18"/>
        <v>#REF!</v>
      </c>
      <c r="L32" s="30" t="e">
        <f t="shared" si="5"/>
        <v>#VALUE!</v>
      </c>
      <c r="M32" t="e">
        <f t="shared" si="6"/>
        <v>#VALUE!</v>
      </c>
      <c r="N32" t="e">
        <f t="shared" si="19"/>
        <v>#REF!</v>
      </c>
      <c r="O32" s="299" t="e">
        <f t="shared" si="20"/>
        <v>#VALUE!</v>
      </c>
      <c r="P32" s="651">
        <v>0</v>
      </c>
      <c r="Q32" s="397" t="str">
        <f t="shared" si="7"/>
        <v>1+0.000439822971i</v>
      </c>
      <c r="R32" s="397" t="str">
        <f t="shared" si="8"/>
        <v>-2.21975174244403E-10i</v>
      </c>
      <c r="S32" s="397" t="str">
        <f t="shared" si="9"/>
        <v>-1.57850504588521E-06</v>
      </c>
      <c r="T32" s="397" t="str">
        <f t="shared" si="21"/>
        <v>0.999998421494954+0.000439822749024826i</v>
      </c>
      <c r="U32" s="652">
        <v>1</v>
      </c>
      <c r="V32">
        <f t="shared" si="22"/>
        <v>1</v>
      </c>
      <c r="W32">
        <f t="shared" si="23"/>
        <v>0</v>
      </c>
      <c r="X32">
        <f t="shared" si="10"/>
        <v>0</v>
      </c>
      <c r="Z32" t="str">
        <f t="shared" si="11"/>
        <v>1.00000157850733-4.72289004721146E-10i</v>
      </c>
      <c r="AA32">
        <f t="shared" si="24"/>
        <v>1.3710729639650269E-5</v>
      </c>
      <c r="AB32">
        <f t="shared" si="12"/>
        <v>-2.7060123997272546E-8</v>
      </c>
      <c r="AD32" s="30" t="str">
        <f t="shared" si="13"/>
        <v>0.0251327412i</v>
      </c>
      <c r="AE32" s="30" t="str">
        <f t="shared" si="25"/>
        <v>1+0.0251327412i</v>
      </c>
      <c r="AF32" s="30" t="e">
        <f t="shared" si="14"/>
        <v>#VALUE!</v>
      </c>
      <c r="AG32" t="e">
        <f t="shared" si="15"/>
        <v>#VALUE!</v>
      </c>
      <c r="AH32" t="str">
        <f t="shared" si="26"/>
        <v>1+0.0251327412i</v>
      </c>
      <c r="AI32" s="299" t="e">
        <f t="shared" si="27"/>
        <v>#VALUE!</v>
      </c>
      <c r="AK32" t="e">
        <f t="shared" si="28"/>
        <v>#VALUE!</v>
      </c>
      <c r="AM32" t="e">
        <f t="shared" si="29"/>
        <v>#VALUE!</v>
      </c>
      <c r="AN32" t="e">
        <f t="shared" si="16"/>
        <v>#VALUE!</v>
      </c>
    </row>
    <row r="33" spans="1:40" x14ac:dyDescent="0.25">
      <c r="A33" s="335">
        <v>300</v>
      </c>
      <c r="B33" s="352">
        <f t="shared" si="17"/>
        <v>0.3</v>
      </c>
      <c r="C33" t="str">
        <f t="shared" si="0"/>
        <v>1884.95559i</v>
      </c>
      <c r="D33" s="30" t="str">
        <f t="shared" si="1"/>
        <v>-3553057.57627225</v>
      </c>
      <c r="E33" s="30" t="str">
        <f t="shared" si="2"/>
        <v>-6697355739.98623i</v>
      </c>
      <c r="G33" s="30" t="e">
        <f t="shared" si="3"/>
        <v>#VALUE!</v>
      </c>
      <c r="I33" s="30" t="e">
        <f t="shared" si="4"/>
        <v>#REF!</v>
      </c>
      <c r="J33" t="e">
        <f t="shared" si="18"/>
        <v>#REF!</v>
      </c>
      <c r="L33" s="30" t="e">
        <f t="shared" si="5"/>
        <v>#VALUE!</v>
      </c>
      <c r="M33" t="e">
        <f t="shared" si="6"/>
        <v>#VALUE!</v>
      </c>
      <c r="N33" t="e">
        <f t="shared" si="19"/>
        <v>#REF!</v>
      </c>
      <c r="O33" s="299" t="e">
        <f t="shared" si="20"/>
        <v>#VALUE!</v>
      </c>
      <c r="P33" s="651">
        <v>0</v>
      </c>
      <c r="Q33" s="397" t="str">
        <f t="shared" si="7"/>
        <v>1+0.0006597344565i</v>
      </c>
      <c r="R33" s="397" t="str">
        <f t="shared" si="8"/>
        <v>-7.4916621307486E-10i</v>
      </c>
      <c r="S33" s="397" t="str">
        <f t="shared" si="9"/>
        <v>-3.55163635324174E-06</v>
      </c>
      <c r="T33" s="397" t="str">
        <f t="shared" si="21"/>
        <v>0.999996448363647+0.000659733707333787i</v>
      </c>
      <c r="U33" s="652">
        <v>1</v>
      </c>
      <c r="V33">
        <f t="shared" si="22"/>
        <v>1</v>
      </c>
      <c r="W33">
        <f t="shared" si="23"/>
        <v>0</v>
      </c>
      <c r="X33">
        <f t="shared" si="10"/>
        <v>0</v>
      </c>
      <c r="Z33" t="str">
        <f t="shared" si="11"/>
        <v>1.00000355164792-1.59398129480179E-09i</v>
      </c>
      <c r="AA33">
        <f t="shared" si="24"/>
        <v>3.084916708360373E-5</v>
      </c>
      <c r="AB33">
        <f t="shared" si="12"/>
        <v>-9.1328076554125626E-8</v>
      </c>
      <c r="AD33" s="30" t="str">
        <f t="shared" si="13"/>
        <v>0.0376991118i</v>
      </c>
      <c r="AE33" s="30" t="str">
        <f t="shared" si="25"/>
        <v>1+0.0376991118i</v>
      </c>
      <c r="AF33" s="30" t="e">
        <f t="shared" si="14"/>
        <v>#VALUE!</v>
      </c>
      <c r="AG33" t="e">
        <f t="shared" si="15"/>
        <v>#VALUE!</v>
      </c>
      <c r="AH33" t="str">
        <f t="shared" si="26"/>
        <v>1+0.0376991118i</v>
      </c>
      <c r="AI33" s="299" t="e">
        <f t="shared" si="27"/>
        <v>#VALUE!</v>
      </c>
      <c r="AK33" t="e">
        <f t="shared" si="28"/>
        <v>#VALUE!</v>
      </c>
      <c r="AM33" t="e">
        <f t="shared" si="29"/>
        <v>#VALUE!</v>
      </c>
      <c r="AN33" t="e">
        <f t="shared" si="16"/>
        <v>#VALUE!</v>
      </c>
    </row>
    <row r="34" spans="1:40" x14ac:dyDescent="0.25">
      <c r="A34" s="335">
        <v>400</v>
      </c>
      <c r="B34" s="352">
        <f t="shared" si="17"/>
        <v>0.4</v>
      </c>
      <c r="C34" t="str">
        <f t="shared" si="0"/>
        <v>2513.27412i</v>
      </c>
      <c r="D34" s="30" t="str">
        <f t="shared" si="1"/>
        <v>-6316546.80226177</v>
      </c>
      <c r="E34" s="30" t="str">
        <f t="shared" si="2"/>
        <v>-15875213605.8933i</v>
      </c>
      <c r="G34" s="30" t="e">
        <f t="shared" si="3"/>
        <v>#VALUE!</v>
      </c>
      <c r="I34" s="30" t="e">
        <f t="shared" si="4"/>
        <v>#REF!</v>
      </c>
      <c r="J34" t="e">
        <f t="shared" si="18"/>
        <v>#REF!</v>
      </c>
      <c r="L34" s="30" t="e">
        <f t="shared" si="5"/>
        <v>#VALUE!</v>
      </c>
      <c r="M34" t="e">
        <f t="shared" si="6"/>
        <v>#VALUE!</v>
      </c>
      <c r="N34" t="e">
        <f t="shared" si="19"/>
        <v>#REF!</v>
      </c>
      <c r="O34" s="299" t="e">
        <f t="shared" si="20"/>
        <v>#VALUE!</v>
      </c>
      <c r="P34" s="651">
        <v>0</v>
      </c>
      <c r="Q34" s="397" t="str">
        <f t="shared" si="7"/>
        <v>1+0.000879645942i</v>
      </c>
      <c r="R34" s="397" t="str">
        <f t="shared" si="8"/>
        <v>-1.77580139395522E-09i</v>
      </c>
      <c r="S34" s="397" t="str">
        <f t="shared" si="9"/>
        <v>-6.31402018354087E-06</v>
      </c>
      <c r="T34" s="397" t="str">
        <f t="shared" si="21"/>
        <v>0.999993685979816+0.000879644166198606i</v>
      </c>
      <c r="U34" s="652">
        <v>1</v>
      </c>
      <c r="V34">
        <f t="shared" si="22"/>
        <v>1</v>
      </c>
      <c r="W34">
        <f t="shared" si="23"/>
        <v>0</v>
      </c>
      <c r="X34">
        <f t="shared" si="10"/>
        <v>0</v>
      </c>
      <c r="Z34" t="str">
        <f t="shared" si="11"/>
        <v>1.00000631405673-3.77834562794476E-09i</v>
      </c>
      <c r="AA34">
        <f t="shared" si="24"/>
        <v>5.4843026783634755E-5</v>
      </c>
      <c r="AB34">
        <f t="shared" si="12"/>
        <v>-2.1648189139136651E-7</v>
      </c>
      <c r="AD34" s="30" t="str">
        <f t="shared" si="13"/>
        <v>0.0502654824i</v>
      </c>
      <c r="AE34" s="30" t="str">
        <f t="shared" si="25"/>
        <v>1+0.0502654824i</v>
      </c>
      <c r="AF34" s="30" t="e">
        <f t="shared" si="14"/>
        <v>#VALUE!</v>
      </c>
      <c r="AG34" t="e">
        <f t="shared" si="15"/>
        <v>#VALUE!</v>
      </c>
      <c r="AH34" t="str">
        <f t="shared" si="26"/>
        <v>1+0.0502654824i</v>
      </c>
      <c r="AI34" s="299" t="e">
        <f t="shared" si="27"/>
        <v>#VALUE!</v>
      </c>
      <c r="AK34" t="e">
        <f t="shared" si="28"/>
        <v>#VALUE!</v>
      </c>
      <c r="AM34" t="e">
        <f t="shared" si="29"/>
        <v>#VALUE!</v>
      </c>
      <c r="AN34" t="e">
        <f t="shared" si="16"/>
        <v>#VALUE!</v>
      </c>
    </row>
    <row r="35" spans="1:40" x14ac:dyDescent="0.25">
      <c r="A35" s="335">
        <v>500</v>
      </c>
      <c r="B35" s="352">
        <f t="shared" si="17"/>
        <v>0.5</v>
      </c>
      <c r="C35" t="str">
        <f t="shared" si="0"/>
        <v>3141.59265i</v>
      </c>
      <c r="D35" s="30" t="str">
        <f t="shared" si="1"/>
        <v>-9869604.37853402</v>
      </c>
      <c r="E35" s="30" t="str">
        <f t="shared" si="2"/>
        <v>-31006276574.0103i</v>
      </c>
      <c r="G35" s="30" t="e">
        <f t="shared" si="3"/>
        <v>#VALUE!</v>
      </c>
      <c r="I35" s="30" t="e">
        <f t="shared" si="4"/>
        <v>#REF!</v>
      </c>
      <c r="J35" t="e">
        <f t="shared" si="18"/>
        <v>#REF!</v>
      </c>
      <c r="L35" s="30" t="e">
        <f t="shared" si="5"/>
        <v>#VALUE!</v>
      </c>
      <c r="M35" t="e">
        <f t="shared" si="6"/>
        <v>#VALUE!</v>
      </c>
      <c r="N35" t="e">
        <f t="shared" si="19"/>
        <v>#REF!</v>
      </c>
      <c r="O35" s="299" t="e">
        <f t="shared" si="20"/>
        <v>#VALUE!</v>
      </c>
      <c r="P35" s="651">
        <v>0</v>
      </c>
      <c r="Q35" s="397" t="str">
        <f t="shared" si="7"/>
        <v>1+0.0010995574275i</v>
      </c>
      <c r="R35" s="397" t="str">
        <f t="shared" si="8"/>
        <v>-3.46836209756879E-09i</v>
      </c>
      <c r="S35" s="397" t="str">
        <f t="shared" si="9"/>
        <v>-9.86565653678261E-06</v>
      </c>
      <c r="T35" s="397" t="str">
        <f t="shared" si="21"/>
        <v>0.999990134343463+0.0010995539591379i</v>
      </c>
      <c r="U35" s="652">
        <v>1</v>
      </c>
      <c r="V35">
        <f t="shared" si="22"/>
        <v>1</v>
      </c>
      <c r="W35">
        <f t="shared" si="23"/>
        <v>0</v>
      </c>
      <c r="X35">
        <f t="shared" si="10"/>
        <v>0</v>
      </c>
      <c r="Z35" t="str">
        <f t="shared" si="11"/>
        <v>1.00000986574575-7.37963050952798E-09i</v>
      </c>
      <c r="AA35">
        <f t="shared" si="24"/>
        <v>8.5692356072072088E-5</v>
      </c>
      <c r="AB35">
        <f t="shared" si="12"/>
        <v>-4.228175116350063E-7</v>
      </c>
      <c r="AD35" s="30" t="str">
        <f t="shared" si="13"/>
        <v>0.062831853i</v>
      </c>
      <c r="AE35" s="30" t="str">
        <f t="shared" si="25"/>
        <v>1+0.062831853i</v>
      </c>
      <c r="AF35" s="30" t="e">
        <f t="shared" si="14"/>
        <v>#VALUE!</v>
      </c>
      <c r="AG35" t="e">
        <f t="shared" si="15"/>
        <v>#VALUE!</v>
      </c>
      <c r="AH35" t="str">
        <f t="shared" si="26"/>
        <v>1+0.062831853i</v>
      </c>
      <c r="AI35" s="299" t="e">
        <f t="shared" si="27"/>
        <v>#VALUE!</v>
      </c>
      <c r="AK35" t="e">
        <f t="shared" si="28"/>
        <v>#VALUE!</v>
      </c>
      <c r="AM35" t="e">
        <f t="shared" si="29"/>
        <v>#VALUE!</v>
      </c>
      <c r="AN35" t="e">
        <f t="shared" si="16"/>
        <v>#VALUE!</v>
      </c>
    </row>
    <row r="36" spans="1:40" x14ac:dyDescent="0.25">
      <c r="A36" s="335">
        <v>600</v>
      </c>
      <c r="B36" s="352">
        <f t="shared" si="17"/>
        <v>0.6</v>
      </c>
      <c r="C36" t="str">
        <f t="shared" si="0"/>
        <v>3769.91118i</v>
      </c>
      <c r="D36" s="30" t="str">
        <f t="shared" si="1"/>
        <v>-14212230.305089</v>
      </c>
      <c r="E36" s="30" t="str">
        <f t="shared" si="2"/>
        <v>-53578845919.8898i</v>
      </c>
      <c r="G36" s="30" t="e">
        <f t="shared" si="3"/>
        <v>#VALUE!</v>
      </c>
      <c r="I36" s="30" t="e">
        <f t="shared" si="4"/>
        <v>#REF!</v>
      </c>
      <c r="J36" t="e">
        <f t="shared" si="18"/>
        <v>#REF!</v>
      </c>
      <c r="L36" s="30" t="e">
        <f t="shared" si="5"/>
        <v>#VALUE!</v>
      </c>
      <c r="M36" t="e">
        <f t="shared" si="6"/>
        <v>#VALUE!</v>
      </c>
      <c r="N36" t="e">
        <f t="shared" si="19"/>
        <v>#REF!</v>
      </c>
      <c r="O36" s="299" t="e">
        <f t="shared" si="20"/>
        <v>#VALUE!</v>
      </c>
      <c r="P36" s="651">
        <v>0</v>
      </c>
      <c r="Q36" s="397" t="str">
        <f t="shared" si="7"/>
        <v>1+0.001319468913i</v>
      </c>
      <c r="R36" s="397" t="str">
        <f t="shared" si="8"/>
        <v>-5.99332970459887E-09i</v>
      </c>
      <c r="S36" s="397" t="str">
        <f t="shared" si="9"/>
        <v>-0.000014206545412967</v>
      </c>
      <c r="T36" s="397" t="str">
        <f t="shared" si="21"/>
        <v>0.999985793454587+0.0013194629196703i</v>
      </c>
      <c r="U36" s="652">
        <v>1</v>
      </c>
      <c r="V36">
        <f t="shared" si="22"/>
        <v>1</v>
      </c>
      <c r="W36">
        <f t="shared" si="23"/>
        <v>0</v>
      </c>
      <c r="X36">
        <f t="shared" si="10"/>
        <v>0</v>
      </c>
      <c r="Z36" t="str">
        <f t="shared" si="11"/>
        <v>1.00001420673042-1.27521054564846E-08i</v>
      </c>
      <c r="AA36">
        <f t="shared" si="24"/>
        <v>1.2339721601309145E-4</v>
      </c>
      <c r="AB36">
        <f t="shared" si="12"/>
        <v>-7.3063144351324126E-7</v>
      </c>
      <c r="AD36" s="30" t="str">
        <f t="shared" si="13"/>
        <v>0.0753982236i</v>
      </c>
      <c r="AE36" s="30" t="str">
        <f t="shared" si="25"/>
        <v>1+0.0753982236i</v>
      </c>
      <c r="AF36" s="30" t="e">
        <f t="shared" si="14"/>
        <v>#VALUE!</v>
      </c>
      <c r="AG36" t="e">
        <f t="shared" si="15"/>
        <v>#VALUE!</v>
      </c>
      <c r="AH36" t="str">
        <f t="shared" si="26"/>
        <v>1+0.0753982236i</v>
      </c>
      <c r="AI36" s="299" t="e">
        <f t="shared" si="27"/>
        <v>#VALUE!</v>
      </c>
      <c r="AK36" t="e">
        <f t="shared" si="28"/>
        <v>#VALUE!</v>
      </c>
      <c r="AM36" t="e">
        <f t="shared" si="29"/>
        <v>#VALUE!</v>
      </c>
      <c r="AN36" t="e">
        <f t="shared" si="16"/>
        <v>#VALUE!</v>
      </c>
    </row>
    <row r="37" spans="1:40" x14ac:dyDescent="0.25">
      <c r="A37" s="335">
        <v>700</v>
      </c>
      <c r="B37" s="352">
        <f t="shared" si="17"/>
        <v>0.7</v>
      </c>
      <c r="C37" t="str">
        <f t="shared" si="0"/>
        <v>4398.22971i</v>
      </c>
      <c r="D37" s="30" t="str">
        <f t="shared" si="1"/>
        <v>-19344424.5819267</v>
      </c>
      <c r="E37" s="30" t="str">
        <f t="shared" si="2"/>
        <v>-85081222919.0843i</v>
      </c>
      <c r="G37" s="30" t="e">
        <f t="shared" si="3"/>
        <v>#VALUE!</v>
      </c>
      <c r="I37" s="30" t="e">
        <f t="shared" si="4"/>
        <v>#REF!</v>
      </c>
      <c r="J37" t="e">
        <f t="shared" si="18"/>
        <v>#REF!</v>
      </c>
      <c r="L37" s="30" t="e">
        <f t="shared" si="5"/>
        <v>#VALUE!</v>
      </c>
      <c r="M37" t="e">
        <f t="shared" si="6"/>
        <v>#VALUE!</v>
      </c>
      <c r="N37" t="e">
        <f t="shared" si="19"/>
        <v>#REF!</v>
      </c>
      <c r="O37" s="299" t="e">
        <f t="shared" si="20"/>
        <v>#VALUE!</v>
      </c>
      <c r="P37" s="651">
        <v>0</v>
      </c>
      <c r="Q37" s="397" t="str">
        <f t="shared" si="7"/>
        <v>1+0.0015393803985i</v>
      </c>
      <c r="R37" s="397" t="str">
        <f t="shared" si="8"/>
        <v>-9.51718559572877E-09i</v>
      </c>
      <c r="S37" s="397" t="str">
        <f t="shared" si="9"/>
        <v>-0.0000193366868120939</v>
      </c>
      <c r="T37" s="397" t="str">
        <f t="shared" si="21"/>
        <v>0.999980663313188+0.0015393708813144i</v>
      </c>
      <c r="U37" s="652">
        <v>1</v>
      </c>
      <c r="V37">
        <f t="shared" si="22"/>
        <v>1</v>
      </c>
      <c r="W37">
        <f t="shared" si="23"/>
        <v>0</v>
      </c>
      <c r="X37">
        <f t="shared" si="10"/>
        <v>0</v>
      </c>
      <c r="Z37" t="str">
        <f t="shared" si="11"/>
        <v>1.00001933702955-2.02500661951286E-08i</v>
      </c>
      <c r="AA37">
        <f t="shared" si="24"/>
        <v>1.6795768070547058E-4</v>
      </c>
      <c r="AB37">
        <f t="shared" si="12"/>
        <v>-1.1602208939414706E-6</v>
      </c>
      <c r="AD37" s="30" t="str">
        <f t="shared" si="13"/>
        <v>0.0879645942i</v>
      </c>
      <c r="AE37" s="30" t="str">
        <f t="shared" si="25"/>
        <v>1+0.0879645942i</v>
      </c>
      <c r="AF37" s="30" t="e">
        <f t="shared" si="14"/>
        <v>#VALUE!</v>
      </c>
      <c r="AG37" t="e">
        <f t="shared" si="15"/>
        <v>#VALUE!</v>
      </c>
      <c r="AH37" t="str">
        <f t="shared" si="26"/>
        <v>1+0.0879645942i</v>
      </c>
      <c r="AI37" s="299" t="e">
        <f t="shared" si="27"/>
        <v>#VALUE!</v>
      </c>
      <c r="AK37" t="e">
        <f t="shared" si="28"/>
        <v>#VALUE!</v>
      </c>
      <c r="AM37" t="e">
        <f t="shared" si="29"/>
        <v>#VALUE!</v>
      </c>
      <c r="AN37" t="e">
        <f t="shared" si="16"/>
        <v>#VALUE!</v>
      </c>
    </row>
    <row r="38" spans="1:40" x14ac:dyDescent="0.25">
      <c r="A38" s="335">
        <v>800</v>
      </c>
      <c r="B38" s="352">
        <f t="shared" si="17"/>
        <v>0.8</v>
      </c>
      <c r="C38" t="str">
        <f t="shared" si="0"/>
        <v>5026.54824i</v>
      </c>
      <c r="D38" s="30" t="str">
        <f t="shared" si="1"/>
        <v>-25266187.2090471</v>
      </c>
      <c r="E38" s="30" t="str">
        <f t="shared" si="2"/>
        <v>-127001708847.146i</v>
      </c>
      <c r="G38" s="30" t="e">
        <f t="shared" si="3"/>
        <v>#VALUE!</v>
      </c>
      <c r="I38" s="30" t="e">
        <f t="shared" si="4"/>
        <v>#REF!</v>
      </c>
      <c r="J38" t="e">
        <f t="shared" si="18"/>
        <v>#REF!</v>
      </c>
      <c r="L38" s="30" t="e">
        <f t="shared" si="5"/>
        <v>#VALUE!</v>
      </c>
      <c r="M38" t="e">
        <f t="shared" si="6"/>
        <v>#VALUE!</v>
      </c>
      <c r="N38" t="e">
        <f t="shared" si="19"/>
        <v>#REF!</v>
      </c>
      <c r="O38" s="299" t="e">
        <f t="shared" si="20"/>
        <v>#VALUE!</v>
      </c>
      <c r="P38" s="651">
        <v>0</v>
      </c>
      <c r="Q38" s="397" t="str">
        <f t="shared" si="7"/>
        <v>1+0.001759291884i</v>
      </c>
      <c r="R38" s="397" t="str">
        <f t="shared" si="8"/>
        <v>-1.42064111516417E-08i</v>
      </c>
      <c r="S38" s="397" t="str">
        <f t="shared" si="9"/>
        <v>-0.0000252560807341635</v>
      </c>
      <c r="T38" s="397" t="str">
        <f t="shared" si="21"/>
        <v>0.999974743919266+0.00175927767758885i</v>
      </c>
      <c r="U38" s="652">
        <v>1</v>
      </c>
      <c r="V38">
        <f t="shared" si="22"/>
        <v>1</v>
      </c>
      <c r="W38">
        <f t="shared" si="23"/>
        <v>0</v>
      </c>
      <c r="X38">
        <f t="shared" si="10"/>
        <v>0</v>
      </c>
      <c r="Z38" t="str">
        <f t="shared" si="11"/>
        <v>1.00002525666544-3.02278400042037E-08i</v>
      </c>
      <c r="AA38">
        <f t="shared" si="24"/>
        <v>2.1937383832667357E-4</v>
      </c>
      <c r="AB38">
        <f t="shared" si="12"/>
        <v>-1.7318839164039424E-6</v>
      </c>
      <c r="AD38" s="30" t="str">
        <f t="shared" si="13"/>
        <v>0.1005309648i</v>
      </c>
      <c r="AE38" s="30" t="str">
        <f t="shared" si="25"/>
        <v>1+0.1005309648i</v>
      </c>
      <c r="AF38" s="30" t="e">
        <f t="shared" si="14"/>
        <v>#VALUE!</v>
      </c>
      <c r="AG38" t="e">
        <f t="shared" si="15"/>
        <v>#VALUE!</v>
      </c>
      <c r="AH38" t="str">
        <f t="shared" si="26"/>
        <v>1+0.1005309648i</v>
      </c>
      <c r="AI38" s="299" t="e">
        <f t="shared" si="27"/>
        <v>#VALUE!</v>
      </c>
      <c r="AK38" t="e">
        <f t="shared" si="28"/>
        <v>#VALUE!</v>
      </c>
      <c r="AM38" t="e">
        <f t="shared" si="29"/>
        <v>#VALUE!</v>
      </c>
      <c r="AN38" t="e">
        <f t="shared" si="16"/>
        <v>#VALUE!</v>
      </c>
    </row>
    <row r="39" spans="1:40" x14ac:dyDescent="0.25">
      <c r="A39" s="335">
        <v>900</v>
      </c>
      <c r="B39" s="352">
        <f t="shared" si="17"/>
        <v>0.9</v>
      </c>
      <c r="C39" t="str">
        <f t="shared" si="0"/>
        <v>5654.86677i</v>
      </c>
      <c r="D39" s="30" t="str">
        <f t="shared" si="1"/>
        <v>-31977518.1864502</v>
      </c>
      <c r="E39" s="30" t="str">
        <f t="shared" si="2"/>
        <v>-180828604979.628i</v>
      </c>
      <c r="G39" s="30" t="e">
        <f t="shared" si="3"/>
        <v>#VALUE!</v>
      </c>
      <c r="I39" s="30" t="e">
        <f t="shared" si="4"/>
        <v>#REF!</v>
      </c>
      <c r="J39" t="e">
        <f t="shared" si="18"/>
        <v>#REF!</v>
      </c>
      <c r="L39" s="30" t="e">
        <f t="shared" si="5"/>
        <v>#VALUE!</v>
      </c>
      <c r="M39" t="e">
        <f t="shared" si="6"/>
        <v>#VALUE!</v>
      </c>
      <c r="N39" t="e">
        <f t="shared" si="19"/>
        <v>#REF!</v>
      </c>
      <c r="O39" s="299" t="e">
        <f t="shared" si="20"/>
        <v>#VALUE!</v>
      </c>
      <c r="P39" s="651">
        <v>0</v>
      </c>
      <c r="Q39" s="397" t="str">
        <f t="shared" si="7"/>
        <v>1+0.0019792033695i</v>
      </c>
      <c r="R39" s="397" t="str">
        <f t="shared" si="8"/>
        <v>-2.02274877530212E-08i</v>
      </c>
      <c r="S39" s="397" t="str">
        <f t="shared" si="9"/>
        <v>-0.0000319647271791756</v>
      </c>
      <c r="T39" s="397" t="str">
        <f t="shared" si="21"/>
        <v>0.999968035272821+0.00197918314201225i</v>
      </c>
      <c r="U39" s="652">
        <v>1</v>
      </c>
      <c r="V39">
        <f t="shared" si="22"/>
        <v>1</v>
      </c>
      <c r="W39">
        <f t="shared" si="23"/>
        <v>0</v>
      </c>
      <c r="X39">
        <f t="shared" si="10"/>
        <v>0</v>
      </c>
      <c r="Z39" t="str">
        <f t="shared" si="11"/>
        <v>1.00003196566377-4.30397908600739E-08i</v>
      </c>
      <c r="AA39">
        <f t="shared" si="24"/>
        <v>2.7764579017865241E-4</v>
      </c>
      <c r="AB39">
        <f t="shared" si="12"/>
        <v>-2.4659195454707077E-6</v>
      </c>
      <c r="AD39" s="30" t="str">
        <f t="shared" si="13"/>
        <v>0.1130973354i</v>
      </c>
      <c r="AE39" s="30" t="str">
        <f t="shared" si="25"/>
        <v>1+0.1130973354i</v>
      </c>
      <c r="AF39" s="30" t="e">
        <f t="shared" si="14"/>
        <v>#VALUE!</v>
      </c>
      <c r="AG39" t="e">
        <f t="shared" si="15"/>
        <v>#VALUE!</v>
      </c>
      <c r="AH39" t="str">
        <f t="shared" si="26"/>
        <v>1+0.1130973354i</v>
      </c>
      <c r="AI39" s="299" t="e">
        <f t="shared" si="27"/>
        <v>#VALUE!</v>
      </c>
      <c r="AK39" t="e">
        <f t="shared" si="28"/>
        <v>#VALUE!</v>
      </c>
      <c r="AM39" t="e">
        <f t="shared" si="29"/>
        <v>#VALUE!</v>
      </c>
      <c r="AN39" t="e">
        <f t="shared" si="16"/>
        <v>#VALUE!</v>
      </c>
    </row>
    <row r="40" spans="1:40" x14ac:dyDescent="0.25">
      <c r="A40" s="335">
        <v>1000</v>
      </c>
      <c r="B40" s="352">
        <f t="shared" si="17"/>
        <v>1</v>
      </c>
      <c r="C40" t="str">
        <f t="shared" si="0"/>
        <v>6283.1853i</v>
      </c>
      <c r="D40" s="30" t="str">
        <f t="shared" si="1"/>
        <v>-39478417.5141361</v>
      </c>
      <c r="E40" s="30" t="str">
        <f t="shared" si="2"/>
        <v>-248050212592.082i</v>
      </c>
      <c r="G40" s="30" t="e">
        <f t="shared" si="3"/>
        <v>#VALUE!</v>
      </c>
      <c r="I40" s="30" t="e">
        <f t="shared" si="4"/>
        <v>#REF!</v>
      </c>
      <c r="J40" t="e">
        <f t="shared" si="18"/>
        <v>#REF!</v>
      </c>
      <c r="L40" s="30" t="e">
        <f t="shared" si="5"/>
        <v>#VALUE!</v>
      </c>
      <c r="M40" t="e">
        <f t="shared" si="6"/>
        <v>#VALUE!</v>
      </c>
      <c r="N40" t="e">
        <f t="shared" si="19"/>
        <v>#REF!</v>
      </c>
      <c r="O40" s="299" t="e">
        <f t="shared" si="20"/>
        <v>#VALUE!</v>
      </c>
      <c r="P40" s="651">
        <v>0</v>
      </c>
      <c r="Q40" s="397" t="str">
        <f t="shared" si="7"/>
        <v>1+0.002199114855i</v>
      </c>
      <c r="R40" s="397" t="str">
        <f t="shared" si="8"/>
        <v>-2.77468967805503E-08i</v>
      </c>
      <c r="S40" s="397" t="str">
        <f t="shared" si="9"/>
        <v>-0.0000394626261471304</v>
      </c>
      <c r="T40" s="397" t="str">
        <f t="shared" si="21"/>
        <v>0.999960537373853+0.00219908710810322i</v>
      </c>
      <c r="U40" s="652">
        <v>1</v>
      </c>
      <c r="V40">
        <f t="shared" si="22"/>
        <v>1</v>
      </c>
      <c r="W40">
        <f t="shared" si="23"/>
        <v>0</v>
      </c>
      <c r="X40">
        <f t="shared" si="10"/>
        <v>0</v>
      </c>
      <c r="Z40" t="str">
        <f t="shared" si="11"/>
        <v>1.00003946405367-5.90403247598128E-08i</v>
      </c>
      <c r="AA40">
        <f t="shared" si="24"/>
        <v>3.4277365128982361E-4</v>
      </c>
      <c r="AB40">
        <f t="shared" si="12"/>
        <v>-3.3826279414737456E-6</v>
      </c>
      <c r="AD40" s="30" t="str">
        <f t="shared" si="13"/>
        <v>0.125663706i</v>
      </c>
      <c r="AE40" s="30" t="str">
        <f t="shared" si="25"/>
        <v>1+0.125663706i</v>
      </c>
      <c r="AF40" s="30" t="e">
        <f t="shared" si="14"/>
        <v>#VALUE!</v>
      </c>
      <c r="AG40" t="e">
        <f t="shared" si="15"/>
        <v>#VALUE!</v>
      </c>
      <c r="AH40" t="str">
        <f t="shared" si="26"/>
        <v>1+0.125663706i</v>
      </c>
      <c r="AI40" s="299" t="e">
        <f t="shared" si="27"/>
        <v>#VALUE!</v>
      </c>
      <c r="AK40" t="e">
        <f t="shared" si="28"/>
        <v>#VALUE!</v>
      </c>
      <c r="AM40" t="e">
        <f t="shared" si="29"/>
        <v>#VALUE!</v>
      </c>
      <c r="AN40" t="e">
        <f t="shared" si="16"/>
        <v>#VALUE!</v>
      </c>
    </row>
    <row r="41" spans="1:40" x14ac:dyDescent="0.25">
      <c r="A41" s="335">
        <v>2000</v>
      </c>
      <c r="B41" s="352">
        <f t="shared" si="17"/>
        <v>2</v>
      </c>
      <c r="C41" t="str">
        <f t="shared" si="0"/>
        <v>12566.3706i</v>
      </c>
      <c r="D41" s="30" t="str">
        <f t="shared" si="1"/>
        <v>-157913670.056544</v>
      </c>
      <c r="E41" s="30" t="str">
        <f t="shared" si="2"/>
        <v>-1984401700736.66i</v>
      </c>
      <c r="G41" s="30" t="e">
        <f t="shared" si="3"/>
        <v>#VALUE!</v>
      </c>
      <c r="I41" s="30" t="e">
        <f t="shared" si="4"/>
        <v>#REF!</v>
      </c>
      <c r="J41" t="e">
        <f t="shared" si="18"/>
        <v>#REF!</v>
      </c>
      <c r="L41" s="30" t="e">
        <f t="shared" si="5"/>
        <v>#VALUE!</v>
      </c>
      <c r="M41" t="e">
        <f t="shared" si="6"/>
        <v>#VALUE!</v>
      </c>
      <c r="N41" t="e">
        <f t="shared" si="19"/>
        <v>#REF!</v>
      </c>
      <c r="O41" s="299" t="e">
        <f t="shared" si="20"/>
        <v>#VALUE!</v>
      </c>
      <c r="P41" s="651">
        <v>0</v>
      </c>
      <c r="Q41" s="397" t="str">
        <f t="shared" si="7"/>
        <v>1+0.00439822971i</v>
      </c>
      <c r="R41" s="397" t="str">
        <f t="shared" si="8"/>
        <v>-2.21975174244403E-07i</v>
      </c>
      <c r="S41" s="397" t="str">
        <f t="shared" si="9"/>
        <v>-0.000157850504588521</v>
      </c>
      <c r="T41" s="397" t="str">
        <f t="shared" si="21"/>
        <v>0.999842149495412+0.00439800773482576i</v>
      </c>
      <c r="U41" s="652">
        <v>1</v>
      </c>
      <c r="V41">
        <f t="shared" si="22"/>
        <v>1</v>
      </c>
      <c r="W41">
        <f t="shared" si="23"/>
        <v>0</v>
      </c>
      <c r="X41">
        <f t="shared" si="10"/>
        <v>0</v>
      </c>
      <c r="Z41" t="str">
        <f t="shared" si="11"/>
        <v>1.00015787334724-4.72427600959129E-07i</v>
      </c>
      <c r="AA41">
        <f t="shared" si="24"/>
        <v>1.3711622397485389E-3</v>
      </c>
      <c r="AB41">
        <f t="shared" si="12"/>
        <v>-2.7063835033150666E-5</v>
      </c>
      <c r="AD41" s="30" t="str">
        <f t="shared" si="13"/>
        <v>0.251327412i</v>
      </c>
      <c r="AE41" s="30" t="str">
        <f t="shared" si="25"/>
        <v>1+0.251327412i</v>
      </c>
      <c r="AF41" s="30" t="e">
        <f t="shared" si="14"/>
        <v>#VALUE!</v>
      </c>
      <c r="AG41" t="e">
        <f t="shared" si="15"/>
        <v>#VALUE!</v>
      </c>
      <c r="AH41" t="str">
        <f t="shared" si="26"/>
        <v>1+0.251327412i</v>
      </c>
      <c r="AI41" s="299" t="e">
        <f t="shared" si="27"/>
        <v>#VALUE!</v>
      </c>
      <c r="AK41" t="e">
        <f t="shared" si="28"/>
        <v>#VALUE!</v>
      </c>
      <c r="AM41" t="e">
        <f t="shared" si="29"/>
        <v>#VALUE!</v>
      </c>
      <c r="AN41" t="e">
        <f t="shared" si="16"/>
        <v>#VALUE!</v>
      </c>
    </row>
    <row r="42" spans="1:40" x14ac:dyDescent="0.25">
      <c r="A42" s="335">
        <v>3000</v>
      </c>
      <c r="B42" s="352">
        <f t="shared" si="17"/>
        <v>3</v>
      </c>
      <c r="C42" t="str">
        <f t="shared" si="0"/>
        <v>18849.5559i</v>
      </c>
      <c r="D42" s="30" t="str">
        <f t="shared" si="1"/>
        <v>-355305757.627225</v>
      </c>
      <c r="E42" s="30" t="str">
        <f t="shared" si="2"/>
        <v>-6697355739986.23i</v>
      </c>
      <c r="G42" s="30" t="e">
        <f t="shared" si="3"/>
        <v>#VALUE!</v>
      </c>
      <c r="I42" s="30" t="e">
        <f t="shared" si="4"/>
        <v>#REF!</v>
      </c>
      <c r="J42" t="e">
        <f t="shared" si="18"/>
        <v>#REF!</v>
      </c>
      <c r="L42" s="30" t="e">
        <f t="shared" si="5"/>
        <v>#VALUE!</v>
      </c>
      <c r="M42" t="e">
        <f t="shared" si="6"/>
        <v>#VALUE!</v>
      </c>
      <c r="N42" t="e">
        <f t="shared" si="19"/>
        <v>#REF!</v>
      </c>
      <c r="O42" s="299" t="e">
        <f t="shared" si="20"/>
        <v>#VALUE!</v>
      </c>
      <c r="P42" s="651">
        <v>0</v>
      </c>
      <c r="Q42" s="397" t="str">
        <f t="shared" si="7"/>
        <v>1+0.006597344565i</v>
      </c>
      <c r="R42" s="397" t="str">
        <f t="shared" si="8"/>
        <v>-7.4916621307486E-07i</v>
      </c>
      <c r="S42" s="397" t="str">
        <f t="shared" si="9"/>
        <v>-0.000355163635324174</v>
      </c>
      <c r="T42" s="397" t="str">
        <f t="shared" si="21"/>
        <v>0.999644836364676+0.00659659539878692i</v>
      </c>
      <c r="U42" s="652">
        <v>1</v>
      </c>
      <c r="V42">
        <f t="shared" si="22"/>
        <v>1</v>
      </c>
      <c r="W42">
        <f t="shared" si="23"/>
        <v>0</v>
      </c>
      <c r="X42">
        <f t="shared" si="10"/>
        <v>0</v>
      </c>
      <c r="Z42" t="str">
        <f t="shared" si="11"/>
        <v>1.00035527929582-1.59503405307709E-06i</v>
      </c>
      <c r="AA42">
        <f t="shared" si="24"/>
        <v>3.0853687138606856E-3</v>
      </c>
      <c r="AB42">
        <f t="shared" si="12"/>
        <v>-9.135626253668961E-5</v>
      </c>
      <c r="AD42" s="30" t="str">
        <f t="shared" si="13"/>
        <v>0.376991118i</v>
      </c>
      <c r="AE42" s="30" t="str">
        <f t="shared" si="25"/>
        <v>1+0.376991118i</v>
      </c>
      <c r="AF42" s="30" t="e">
        <f t="shared" si="14"/>
        <v>#VALUE!</v>
      </c>
      <c r="AG42" t="e">
        <f t="shared" si="15"/>
        <v>#VALUE!</v>
      </c>
      <c r="AH42" t="str">
        <f t="shared" si="26"/>
        <v>1+0.376991118i</v>
      </c>
      <c r="AI42" s="299" t="e">
        <f t="shared" si="27"/>
        <v>#VALUE!</v>
      </c>
      <c r="AK42" t="e">
        <f t="shared" si="28"/>
        <v>#VALUE!</v>
      </c>
      <c r="AM42" t="e">
        <f t="shared" si="29"/>
        <v>#VALUE!</v>
      </c>
      <c r="AN42" t="e">
        <f t="shared" si="16"/>
        <v>#VALUE!</v>
      </c>
    </row>
    <row r="43" spans="1:40" x14ac:dyDescent="0.25">
      <c r="A43" s="335">
        <v>4000</v>
      </c>
      <c r="B43" s="352">
        <f t="shared" si="17"/>
        <v>4</v>
      </c>
      <c r="C43" t="str">
        <f t="shared" si="0"/>
        <v>25132.7412i</v>
      </c>
      <c r="D43" s="30" t="str">
        <f t="shared" si="1"/>
        <v>-631654680.226177</v>
      </c>
      <c r="E43" s="30" t="str">
        <f t="shared" si="2"/>
        <v>-15875213605893.3i</v>
      </c>
      <c r="G43" s="30" t="e">
        <f t="shared" si="3"/>
        <v>#VALUE!</v>
      </c>
      <c r="I43" s="30" t="e">
        <f t="shared" si="4"/>
        <v>#REF!</v>
      </c>
      <c r="J43" t="e">
        <f t="shared" si="18"/>
        <v>#REF!</v>
      </c>
      <c r="L43" s="30" t="e">
        <f t="shared" si="5"/>
        <v>#VALUE!</v>
      </c>
      <c r="M43" t="e">
        <f t="shared" si="6"/>
        <v>#VALUE!</v>
      </c>
      <c r="N43" t="e">
        <f t="shared" si="19"/>
        <v>#REF!</v>
      </c>
      <c r="O43" s="299" t="e">
        <f t="shared" si="20"/>
        <v>#VALUE!</v>
      </c>
      <c r="P43" s="651">
        <v>0</v>
      </c>
      <c r="Q43" s="397" t="str">
        <f t="shared" si="7"/>
        <v>1+0.00879645942i</v>
      </c>
      <c r="R43" s="397" t="str">
        <f t="shared" si="8"/>
        <v>-1.77580139395522E-06i</v>
      </c>
      <c r="S43" s="397" t="str">
        <f t="shared" si="9"/>
        <v>-0.000631402018354087</v>
      </c>
      <c r="T43" s="397" t="str">
        <f t="shared" si="21"/>
        <v>0.999368597981646+0.00879468361860604i</v>
      </c>
      <c r="U43" s="652">
        <v>1</v>
      </c>
      <c r="V43">
        <f t="shared" si="22"/>
        <v>1</v>
      </c>
      <c r="W43">
        <f t="shared" si="23"/>
        <v>0</v>
      </c>
      <c r="X43">
        <f t="shared" si="10"/>
        <v>0</v>
      </c>
      <c r="Z43" t="str">
        <f t="shared" si="11"/>
        <v>1.00063176764934-3.78278365967147E-06i</v>
      </c>
      <c r="AA43">
        <f t="shared" si="24"/>
        <v>5.4857314697180446E-3</v>
      </c>
      <c r="AB43">
        <f t="shared" si="12"/>
        <v>-2.1660069744338419E-4</v>
      </c>
      <c r="AD43" s="30" t="str">
        <f t="shared" si="13"/>
        <v>0.502654824i</v>
      </c>
      <c r="AE43" s="30" t="str">
        <f t="shared" si="25"/>
        <v>1+0.502654824i</v>
      </c>
      <c r="AF43" s="30" t="e">
        <f t="shared" si="14"/>
        <v>#VALUE!</v>
      </c>
      <c r="AG43" t="e">
        <f t="shared" si="15"/>
        <v>#VALUE!</v>
      </c>
      <c r="AH43" t="str">
        <f t="shared" si="26"/>
        <v>1+0.502654824i</v>
      </c>
      <c r="AI43" s="299" t="e">
        <f t="shared" si="27"/>
        <v>#VALUE!</v>
      </c>
      <c r="AK43" t="e">
        <f t="shared" si="28"/>
        <v>#VALUE!</v>
      </c>
      <c r="AM43" t="e">
        <f t="shared" si="29"/>
        <v>#VALUE!</v>
      </c>
      <c r="AN43" t="e">
        <f t="shared" si="16"/>
        <v>#VALUE!</v>
      </c>
    </row>
    <row r="44" spans="1:40" x14ac:dyDescent="0.25">
      <c r="A44" s="335">
        <v>5000</v>
      </c>
      <c r="B44" s="352">
        <f t="shared" si="17"/>
        <v>5</v>
      </c>
      <c r="C44" t="str">
        <f t="shared" si="0"/>
        <v>31415.9265i</v>
      </c>
      <c r="D44" s="30" t="str">
        <f t="shared" si="1"/>
        <v>-986960437.853402</v>
      </c>
      <c r="E44" s="30" t="str">
        <f t="shared" si="2"/>
        <v>-31006276574010.3i</v>
      </c>
      <c r="G44" s="30" t="e">
        <f t="shared" si="3"/>
        <v>#VALUE!</v>
      </c>
      <c r="I44" s="30" t="e">
        <f t="shared" si="4"/>
        <v>#REF!</v>
      </c>
      <c r="J44" t="e">
        <f t="shared" si="18"/>
        <v>#REF!</v>
      </c>
      <c r="L44" s="30" t="e">
        <f t="shared" si="5"/>
        <v>#VALUE!</v>
      </c>
      <c r="M44" t="e">
        <f t="shared" si="6"/>
        <v>#VALUE!</v>
      </c>
      <c r="N44" t="e">
        <f t="shared" si="19"/>
        <v>#REF!</v>
      </c>
      <c r="O44" s="299" t="e">
        <f t="shared" si="20"/>
        <v>#VALUE!</v>
      </c>
      <c r="P44" s="651">
        <v>0</v>
      </c>
      <c r="Q44" s="397" t="str">
        <f t="shared" si="7"/>
        <v>1+0.010995574275i</v>
      </c>
      <c r="R44" s="397" t="str">
        <f t="shared" si="8"/>
        <v>-3.46836209756879E-06i</v>
      </c>
      <c r="S44" s="397" t="str">
        <f t="shared" si="9"/>
        <v>-0.000986565653678261</v>
      </c>
      <c r="T44" s="397" t="str">
        <f t="shared" si="21"/>
        <v>0.999013434346322+0.0109921059129024i</v>
      </c>
      <c r="U44" s="652">
        <v>1</v>
      </c>
      <c r="V44">
        <f t="shared" si="22"/>
        <v>1</v>
      </c>
      <c r="W44">
        <f t="shared" si="23"/>
        <v>0</v>
      </c>
      <c r="X44">
        <f t="shared" si="10"/>
        <v>0</v>
      </c>
      <c r="Z44" t="str">
        <f t="shared" si="11"/>
        <v>1.00098745857977-7.39318105431537E-06i</v>
      </c>
      <c r="AA44">
        <f t="shared" si="24"/>
        <v>8.5727245740982051E-3</v>
      </c>
      <c r="AB44">
        <f t="shared" si="12"/>
        <v>-4.2318019914624398E-4</v>
      </c>
      <c r="AD44" s="30" t="str">
        <f t="shared" si="13"/>
        <v>0.62831853i</v>
      </c>
      <c r="AE44" s="30" t="str">
        <f t="shared" si="25"/>
        <v>1+0.62831853i</v>
      </c>
      <c r="AF44" s="30" t="e">
        <f t="shared" si="14"/>
        <v>#VALUE!</v>
      </c>
      <c r="AG44" t="e">
        <f t="shared" si="15"/>
        <v>#VALUE!</v>
      </c>
      <c r="AH44" t="str">
        <f t="shared" si="26"/>
        <v>1+0.62831853i</v>
      </c>
      <c r="AI44" s="299" t="e">
        <f t="shared" si="27"/>
        <v>#VALUE!</v>
      </c>
      <c r="AK44" t="e">
        <f t="shared" si="28"/>
        <v>#VALUE!</v>
      </c>
      <c r="AM44" t="e">
        <f t="shared" si="29"/>
        <v>#VALUE!</v>
      </c>
      <c r="AN44" t="e">
        <f t="shared" si="16"/>
        <v>#VALUE!</v>
      </c>
    </row>
    <row r="45" spans="1:40" x14ac:dyDescent="0.25">
      <c r="A45" s="335">
        <v>6000</v>
      </c>
      <c r="B45" s="352">
        <f t="shared" si="17"/>
        <v>6</v>
      </c>
      <c r="C45" t="str">
        <f t="shared" ref="C45:C76" si="30">COMPLEX(0,2*Pi*A45)</f>
        <v>37699.1118i</v>
      </c>
      <c r="D45" s="30" t="str">
        <f t="shared" ref="D45:D76" si="31">COMPLEX(-POWER(2*Pi*A45,2),0)</f>
        <v>-1421223030.5089</v>
      </c>
      <c r="E45" s="30" t="str">
        <f t="shared" ref="E45:E76" si="32">COMPLEX(0,-POWER(2*Pi*A45,3))</f>
        <v>-53578845919889.8i</v>
      </c>
      <c r="G45" s="30" t="e">
        <f t="shared" ref="G45:G82" si="33">IMSUM(IMPRODUCT(C45,Rcomp_AEF*Csen_AEF),Csen_AEF/Ccomp_AEF)</f>
        <v>#VALUE!</v>
      </c>
      <c r="I45" s="30" t="e">
        <f t="shared" ref="I45:I76" si="34">IMPRODUCT((RdampSel*CdampSel+RdampSel*CinjSel),C45)</f>
        <v>#REF!</v>
      </c>
      <c r="J45" t="e">
        <f t="shared" si="18"/>
        <v>#REF!</v>
      </c>
      <c r="L45" s="30" t="e">
        <f t="shared" ref="L45:L76" si="35">IMPRODUCT(G45,L_infilterStd*RdampSel*CinjSel*CdampSel,E45)</f>
        <v>#VALUE!</v>
      </c>
      <c r="M45" t="e">
        <f t="shared" ref="M45:M76" si="36">IMPRODUCT(G45,L_infilterStd*CinjSel,D45)</f>
        <v>#VALUE!</v>
      </c>
      <c r="N45" t="e">
        <f t="shared" si="19"/>
        <v>#REF!</v>
      </c>
      <c r="O45" s="299" t="e">
        <f t="shared" si="20"/>
        <v>#VALUE!</v>
      </c>
      <c r="P45" s="651">
        <v>0</v>
      </c>
      <c r="Q45" s="397" t="str">
        <f t="shared" ref="Q45:Q76" si="37">IMSUM(IMPRODUCT(C45,RdampPssv*CdampPssv),1)</f>
        <v>1+0.01319468913i</v>
      </c>
      <c r="R45" s="397" t="str">
        <f t="shared" ref="R45:R76" si="38">IMPRODUCT(RdampPssv*CdampPssv*CfilterPssv*LinfilterPssv,E45)</f>
        <v>-5.99332970459887E-06i</v>
      </c>
      <c r="S45" s="397" t="str">
        <f t="shared" ref="S45:S76" si="39">IMPRODUCT(D45,LinfilterPssv*(CfilterPssv+CdampPssv))</f>
        <v>-0.0014206545412967</v>
      </c>
      <c r="T45" s="397" t="str">
        <f t="shared" si="21"/>
        <v>0.998579345458703+0.0131886958002954i</v>
      </c>
      <c r="U45" s="652">
        <v>1</v>
      </c>
      <c r="V45">
        <f t="shared" ref="V45:V82" si="40">CHOOSE(INFILTER_TYPE,U45,IMDIV(J45,O45),IMDIV(Q45,T45))</f>
        <v>1</v>
      </c>
      <c r="W45">
        <f t="shared" si="23"/>
        <v>0</v>
      </c>
      <c r="X45">
        <f t="shared" ref="X45:X82" si="41">IMARGUMENT(V45)*180/Pi</f>
        <v>0</v>
      </c>
      <c r="Z45" t="str">
        <f t="shared" ref="Z45:Z76" si="42">IMDIV(Q45,T45)</f>
        <v>1.00142250680344-0.000012785844067251i</v>
      </c>
      <c r="AA45">
        <f t="shared" si="24"/>
        <v>1.2346958077157324E-2</v>
      </c>
      <c r="AB45">
        <f t="shared" ref="AB45:AB76" si="43">IMARGUMENT(Z45)*180/Pi</f>
        <v>-7.3153429085745297E-4</v>
      </c>
      <c r="AD45" s="30" t="str">
        <f t="shared" ref="AD45:AD76" si="44">IMPRODUCT((RdampCom*CdampCom+RdampCom*CinjCom),C45)</f>
        <v>0.753982236i</v>
      </c>
      <c r="AE45" s="30" t="str">
        <f t="shared" si="25"/>
        <v>1+0.753982236i</v>
      </c>
      <c r="AF45" s="30" t="e">
        <f t="shared" ref="AF45:AF76" si="45">IMPRODUCT(G45,L_infilterStd*RdampSel*CinjSel*CdampSel,E45)</f>
        <v>#VALUE!</v>
      </c>
      <c r="AG45" t="e">
        <f t="shared" ref="AG45:AG76" si="46">IMPRODUCT(G45,LAEFCom*CinjCom,D45)</f>
        <v>#VALUE!</v>
      </c>
      <c r="AH45" t="str">
        <f t="shared" si="26"/>
        <v>1+0.753982236i</v>
      </c>
      <c r="AI45" s="299" t="e">
        <f t="shared" si="27"/>
        <v>#VALUE!</v>
      </c>
      <c r="AK45" t="e">
        <f t="shared" si="28"/>
        <v>#VALUE!</v>
      </c>
      <c r="AM45" t="e">
        <f t="shared" si="29"/>
        <v>#VALUE!</v>
      </c>
      <c r="AN45" t="e">
        <f t="shared" ref="AN45:AN76" si="47">IMARGUMENT(AK45)*180/Pi</f>
        <v>#VALUE!</v>
      </c>
    </row>
    <row r="46" spans="1:40" x14ac:dyDescent="0.25">
      <c r="A46" s="335">
        <v>7000</v>
      </c>
      <c r="B46" s="352">
        <f t="shared" si="17"/>
        <v>7</v>
      </c>
      <c r="C46" t="str">
        <f t="shared" si="30"/>
        <v>43982.2971i</v>
      </c>
      <c r="D46" s="30" t="str">
        <f t="shared" si="31"/>
        <v>-1934442458.19267</v>
      </c>
      <c r="E46" s="30" t="str">
        <f t="shared" si="32"/>
        <v>-85081222919084.3i</v>
      </c>
      <c r="G46" s="30" t="e">
        <f t="shared" si="33"/>
        <v>#VALUE!</v>
      </c>
      <c r="I46" s="30" t="e">
        <f t="shared" si="34"/>
        <v>#REF!</v>
      </c>
      <c r="J46" t="e">
        <f t="shared" si="18"/>
        <v>#REF!</v>
      </c>
      <c r="L46" s="30" t="e">
        <f t="shared" si="35"/>
        <v>#VALUE!</v>
      </c>
      <c r="M46" t="e">
        <f t="shared" si="36"/>
        <v>#VALUE!</v>
      </c>
      <c r="N46" t="e">
        <f t="shared" si="19"/>
        <v>#REF!</v>
      </c>
      <c r="O46" s="299" t="e">
        <f t="shared" si="20"/>
        <v>#VALUE!</v>
      </c>
      <c r="P46" s="651">
        <v>0</v>
      </c>
      <c r="Q46" s="397" t="str">
        <f t="shared" si="37"/>
        <v>1+0.015393803985i</v>
      </c>
      <c r="R46" s="397" t="str">
        <f t="shared" si="38"/>
        <v>-9.51718559572877E-06i</v>
      </c>
      <c r="S46" s="397" t="str">
        <f t="shared" si="39"/>
        <v>-0.00193366868120939</v>
      </c>
      <c r="T46" s="397" t="str">
        <f t="shared" si="21"/>
        <v>0.998066331318791+0.0153842867994043i</v>
      </c>
      <c r="U46" s="652">
        <v>1</v>
      </c>
      <c r="V46">
        <f t="shared" si="40"/>
        <v>1</v>
      </c>
      <c r="W46">
        <f t="shared" si="23"/>
        <v>0</v>
      </c>
      <c r="X46">
        <f t="shared" si="41"/>
        <v>0</v>
      </c>
      <c r="Z46" t="str">
        <f t="shared" si="42"/>
        <v>1.00193710173868-0.0000203230411399365i</v>
      </c>
      <c r="AA46">
        <f t="shared" si="24"/>
        <v>1.680917841515581E-2</v>
      </c>
      <c r="AB46">
        <f t="shared" si="43"/>
        <v>-1.1621732375608322E-3</v>
      </c>
      <c r="AD46" s="30" t="str">
        <f t="shared" si="44"/>
        <v>0.879645942i</v>
      </c>
      <c r="AE46" s="30" t="str">
        <f t="shared" si="25"/>
        <v>1+0.879645942i</v>
      </c>
      <c r="AF46" s="30" t="e">
        <f t="shared" si="45"/>
        <v>#VALUE!</v>
      </c>
      <c r="AG46" t="e">
        <f t="shared" si="46"/>
        <v>#VALUE!</v>
      </c>
      <c r="AH46" t="str">
        <f t="shared" si="26"/>
        <v>1+0.879645942i</v>
      </c>
      <c r="AI46" s="299" t="e">
        <f t="shared" si="27"/>
        <v>#VALUE!</v>
      </c>
      <c r="AK46" t="e">
        <f t="shared" si="28"/>
        <v>#VALUE!</v>
      </c>
      <c r="AM46" t="e">
        <f t="shared" si="29"/>
        <v>#VALUE!</v>
      </c>
      <c r="AN46" t="e">
        <f t="shared" si="47"/>
        <v>#VALUE!</v>
      </c>
    </row>
    <row r="47" spans="1:40" x14ac:dyDescent="0.25">
      <c r="A47" s="335">
        <v>8000</v>
      </c>
      <c r="B47" s="352">
        <f t="shared" si="17"/>
        <v>8</v>
      </c>
      <c r="C47" t="str">
        <f t="shared" si="30"/>
        <v>50265.4824i</v>
      </c>
      <c r="D47" s="30" t="str">
        <f t="shared" si="31"/>
        <v>-2526618720.90471</v>
      </c>
      <c r="E47" s="30" t="str">
        <f t="shared" si="32"/>
        <v>-127001708847146i</v>
      </c>
      <c r="G47" s="30" t="e">
        <f t="shared" si="33"/>
        <v>#VALUE!</v>
      </c>
      <c r="I47" s="30" t="e">
        <f t="shared" si="34"/>
        <v>#REF!</v>
      </c>
      <c r="J47" t="e">
        <f t="shared" si="18"/>
        <v>#REF!</v>
      </c>
      <c r="L47" s="30" t="e">
        <f t="shared" si="35"/>
        <v>#VALUE!</v>
      </c>
      <c r="M47" t="e">
        <f t="shared" si="36"/>
        <v>#VALUE!</v>
      </c>
      <c r="N47" t="e">
        <f t="shared" si="19"/>
        <v>#REF!</v>
      </c>
      <c r="O47" s="299" t="e">
        <f t="shared" si="20"/>
        <v>#VALUE!</v>
      </c>
      <c r="P47" s="651">
        <v>0</v>
      </c>
      <c r="Q47" s="397" t="str">
        <f t="shared" si="37"/>
        <v>1+0.01759291884i</v>
      </c>
      <c r="R47" s="397" t="str">
        <f t="shared" si="38"/>
        <v>-0.0000142064111516418i</v>
      </c>
      <c r="S47" s="397" t="str">
        <f t="shared" si="39"/>
        <v>-0.00252560807341635</v>
      </c>
      <c r="T47" s="397" t="str">
        <f t="shared" si="21"/>
        <v>0.997474391926584+0.0175787124288484i</v>
      </c>
      <c r="U47" s="652">
        <v>1</v>
      </c>
      <c r="V47">
        <f t="shared" si="40"/>
        <v>1</v>
      </c>
      <c r="W47">
        <f t="shared" si="23"/>
        <v>0</v>
      </c>
      <c r="X47">
        <f t="shared" si="41"/>
        <v>0</v>
      </c>
      <c r="Z47" t="str">
        <f t="shared" si="42"/>
        <v>1.00253146769905-0.0000303702348632679i</v>
      </c>
      <c r="AA47">
        <f t="shared" si="24"/>
        <v>2.1960268903701091E-2</v>
      </c>
      <c r="AB47">
        <f t="shared" si="43"/>
        <v>-1.7356924326137229E-3</v>
      </c>
      <c r="AD47" s="30" t="str">
        <f t="shared" si="44"/>
        <v>1.005309648i</v>
      </c>
      <c r="AE47" s="30" t="str">
        <f t="shared" si="25"/>
        <v>1+1.005309648i</v>
      </c>
      <c r="AF47" s="30" t="e">
        <f t="shared" si="45"/>
        <v>#VALUE!</v>
      </c>
      <c r="AG47" t="e">
        <f t="shared" si="46"/>
        <v>#VALUE!</v>
      </c>
      <c r="AH47" t="str">
        <f t="shared" si="26"/>
        <v>1+1.005309648i</v>
      </c>
      <c r="AI47" s="299" t="e">
        <f t="shared" si="27"/>
        <v>#VALUE!</v>
      </c>
      <c r="AK47" t="e">
        <f t="shared" si="28"/>
        <v>#VALUE!</v>
      </c>
      <c r="AM47" t="e">
        <f t="shared" si="29"/>
        <v>#VALUE!</v>
      </c>
      <c r="AN47" t="e">
        <f t="shared" si="47"/>
        <v>#VALUE!</v>
      </c>
    </row>
    <row r="48" spans="1:40" x14ac:dyDescent="0.25">
      <c r="A48" s="335">
        <v>9000</v>
      </c>
      <c r="B48" s="352">
        <f t="shared" si="17"/>
        <v>9</v>
      </c>
      <c r="C48" t="str">
        <f t="shared" si="30"/>
        <v>56548.6677i</v>
      </c>
      <c r="D48" s="30" t="str">
        <f t="shared" si="31"/>
        <v>-3197751818.64502</v>
      </c>
      <c r="E48" s="30" t="str">
        <f t="shared" si="32"/>
        <v>-180828604979628i</v>
      </c>
      <c r="G48" s="30" t="e">
        <f t="shared" si="33"/>
        <v>#VALUE!</v>
      </c>
      <c r="I48" s="30" t="e">
        <f t="shared" si="34"/>
        <v>#REF!</v>
      </c>
      <c r="J48" t="e">
        <f t="shared" si="18"/>
        <v>#REF!</v>
      </c>
      <c r="L48" s="30" t="e">
        <f t="shared" si="35"/>
        <v>#VALUE!</v>
      </c>
      <c r="M48" t="e">
        <f t="shared" si="36"/>
        <v>#VALUE!</v>
      </c>
      <c r="N48" t="e">
        <f t="shared" si="19"/>
        <v>#REF!</v>
      </c>
      <c r="O48" s="299" t="e">
        <f t="shared" si="20"/>
        <v>#VALUE!</v>
      </c>
      <c r="P48" s="651">
        <v>0</v>
      </c>
      <c r="Q48" s="397" t="str">
        <f t="shared" si="37"/>
        <v>1+0.019792033695i</v>
      </c>
      <c r="R48" s="397" t="str">
        <f t="shared" si="38"/>
        <v>-0.0000202274877530212i</v>
      </c>
      <c r="S48" s="397" t="str">
        <f t="shared" si="39"/>
        <v>-0.00319647271791756</v>
      </c>
      <c r="T48" s="397" t="str">
        <f t="shared" si="21"/>
        <v>0.996803527282082+0.019771806207247i</v>
      </c>
      <c r="U48" s="652">
        <v>1</v>
      </c>
      <c r="V48">
        <f t="shared" si="40"/>
        <v>1</v>
      </c>
      <c r="W48">
        <f t="shared" si="23"/>
        <v>0</v>
      </c>
      <c r="X48">
        <f t="shared" si="41"/>
        <v>0</v>
      </c>
      <c r="Z48" t="str">
        <f t="shared" si="42"/>
        <v>1.00320586412249-0.0000432966329094656i</v>
      </c>
      <c r="AA48">
        <f t="shared" si="24"/>
        <v>2.7801250322054171E-2</v>
      </c>
      <c r="AB48">
        <f t="shared" si="43"/>
        <v>-2.4727869152797537E-3</v>
      </c>
      <c r="AD48" s="30" t="str">
        <f t="shared" si="44"/>
        <v>1.130973354i</v>
      </c>
      <c r="AE48" s="30" t="str">
        <f t="shared" si="25"/>
        <v>1+1.130973354i</v>
      </c>
      <c r="AF48" s="30" t="e">
        <f t="shared" si="45"/>
        <v>#VALUE!</v>
      </c>
      <c r="AG48" t="e">
        <f t="shared" si="46"/>
        <v>#VALUE!</v>
      </c>
      <c r="AH48" t="str">
        <f t="shared" si="26"/>
        <v>1+1.130973354i</v>
      </c>
      <c r="AI48" s="299" t="e">
        <f t="shared" si="27"/>
        <v>#VALUE!</v>
      </c>
      <c r="AK48" t="e">
        <f t="shared" si="28"/>
        <v>#VALUE!</v>
      </c>
      <c r="AM48" t="e">
        <f t="shared" si="29"/>
        <v>#VALUE!</v>
      </c>
      <c r="AN48" t="e">
        <f t="shared" si="47"/>
        <v>#VALUE!</v>
      </c>
    </row>
    <row r="49" spans="1:40" x14ac:dyDescent="0.25">
      <c r="A49" s="335">
        <v>10000</v>
      </c>
      <c r="B49" s="352">
        <f t="shared" si="17"/>
        <v>10</v>
      </c>
      <c r="C49" t="str">
        <f t="shared" si="30"/>
        <v>62831.853i</v>
      </c>
      <c r="D49" s="30" t="str">
        <f t="shared" si="31"/>
        <v>-3947841751.41361</v>
      </c>
      <c r="E49" s="30" t="str">
        <f t="shared" si="32"/>
        <v>-248050212592082i</v>
      </c>
      <c r="G49" s="30" t="e">
        <f t="shared" si="33"/>
        <v>#VALUE!</v>
      </c>
      <c r="I49" s="30" t="e">
        <f t="shared" si="34"/>
        <v>#REF!</v>
      </c>
      <c r="J49" t="e">
        <f t="shared" si="18"/>
        <v>#REF!</v>
      </c>
      <c r="L49" s="30" t="e">
        <f t="shared" si="35"/>
        <v>#VALUE!</v>
      </c>
      <c r="M49" t="e">
        <f t="shared" si="36"/>
        <v>#VALUE!</v>
      </c>
      <c r="N49" t="e">
        <f t="shared" si="19"/>
        <v>#REF!</v>
      </c>
      <c r="O49" s="299" t="e">
        <f t="shared" si="20"/>
        <v>#VALUE!</v>
      </c>
      <c r="P49" s="651">
        <v>0</v>
      </c>
      <c r="Q49" s="397" t="str">
        <f t="shared" si="37"/>
        <v>1+0.02199114855i</v>
      </c>
      <c r="R49" s="397" t="str">
        <f t="shared" si="38"/>
        <v>-0.0000277468967805503i</v>
      </c>
      <c r="S49" s="397" t="str">
        <f t="shared" si="39"/>
        <v>-0.00394626261471305</v>
      </c>
      <c r="T49" s="397" t="str">
        <f t="shared" si="21"/>
        <v>0.996053737385287+0.0219634016532194i</v>
      </c>
      <c r="U49" s="652">
        <v>1</v>
      </c>
      <c r="V49">
        <f t="shared" si="40"/>
        <v>1</v>
      </c>
      <c r="W49">
        <f t="shared" si="23"/>
        <v>0</v>
      </c>
      <c r="X49">
        <f t="shared" si="41"/>
        <v>0</v>
      </c>
      <c r="Z49" t="str">
        <f t="shared" si="42"/>
        <v>1.0039605858368-0.0000594757476545141i</v>
      </c>
      <c r="AA49">
        <f t="shared" si="24"/>
        <v>3.4333281589256678E-2</v>
      </c>
      <c r="AB49">
        <f t="shared" si="43"/>
        <v>-3.394266041884357E-3</v>
      </c>
      <c r="AD49" s="30" t="str">
        <f t="shared" si="44"/>
        <v>1.25663706i</v>
      </c>
      <c r="AE49" s="30" t="str">
        <f t="shared" si="25"/>
        <v>1+1.25663706i</v>
      </c>
      <c r="AF49" s="30" t="e">
        <f t="shared" si="45"/>
        <v>#VALUE!</v>
      </c>
      <c r="AG49" t="e">
        <f t="shared" si="46"/>
        <v>#VALUE!</v>
      </c>
      <c r="AH49" t="str">
        <f t="shared" si="26"/>
        <v>1+1.25663706i</v>
      </c>
      <c r="AI49" s="299" t="e">
        <f t="shared" si="27"/>
        <v>#VALUE!</v>
      </c>
      <c r="AK49" t="e">
        <f t="shared" si="28"/>
        <v>#VALUE!</v>
      </c>
      <c r="AM49" t="e">
        <f t="shared" si="29"/>
        <v>#VALUE!</v>
      </c>
      <c r="AN49" t="e">
        <f t="shared" si="47"/>
        <v>#VALUE!</v>
      </c>
    </row>
    <row r="50" spans="1:40" x14ac:dyDescent="0.25">
      <c r="A50" s="335">
        <v>11000</v>
      </c>
      <c r="B50" s="352">
        <f t="shared" si="17"/>
        <v>11</v>
      </c>
      <c r="C50" t="str">
        <f t="shared" si="30"/>
        <v>69115.0383i</v>
      </c>
      <c r="D50" s="30" t="str">
        <f t="shared" si="31"/>
        <v>-4776888519.21047</v>
      </c>
      <c r="E50" s="30" t="str">
        <f t="shared" si="32"/>
        <v>-330154832960062i</v>
      </c>
      <c r="G50" s="30" t="e">
        <f t="shared" si="33"/>
        <v>#VALUE!</v>
      </c>
      <c r="I50" s="30" t="e">
        <f t="shared" si="34"/>
        <v>#REF!</v>
      </c>
      <c r="J50" t="e">
        <f t="shared" si="18"/>
        <v>#REF!</v>
      </c>
      <c r="L50" s="30" t="e">
        <f t="shared" si="35"/>
        <v>#VALUE!</v>
      </c>
      <c r="M50" t="e">
        <f t="shared" si="36"/>
        <v>#VALUE!</v>
      </c>
      <c r="N50" t="e">
        <f>J50</f>
        <v>#REF!</v>
      </c>
      <c r="O50" s="299" t="e">
        <f>IMSUM(L50:N50)</f>
        <v>#VALUE!</v>
      </c>
      <c r="P50" s="651">
        <v>0</v>
      </c>
      <c r="Q50" s="397" t="str">
        <f t="shared" si="37"/>
        <v>1+0.024190263405i</v>
      </c>
      <c r="R50" s="397" t="str">
        <f t="shared" si="38"/>
        <v>-0.0000369311196149125i</v>
      </c>
      <c r="S50" s="397" t="str">
        <f t="shared" si="39"/>
        <v>-0.00477497776380279</v>
      </c>
      <c r="T50" s="397" t="str">
        <f>IMSUM(S50,R50,Q50)</f>
        <v>0.995225022236197+0.0241533322853851i</v>
      </c>
      <c r="U50" s="652">
        <v>1</v>
      </c>
      <c r="V50">
        <f t="shared" si="40"/>
        <v>1</v>
      </c>
      <c r="W50">
        <f t="shared" si="23"/>
        <v>0</v>
      </c>
      <c r="X50">
        <f t="shared" si="41"/>
        <v>0</v>
      </c>
      <c r="Z50" t="str">
        <f t="shared" si="42"/>
        <v>1.00479596336193-0.0000792859658181959i</v>
      </c>
      <c r="AA50">
        <f t="shared" si="24"/>
        <v>4.1557660533084087E-2</v>
      </c>
      <c r="AB50">
        <f t="shared" si="43"/>
        <v>-4.5210683336785549E-3</v>
      </c>
      <c r="AD50" s="30" t="str">
        <f t="shared" si="44"/>
        <v>1.382300766i</v>
      </c>
      <c r="AE50" s="30" t="str">
        <f t="shared" si="25"/>
        <v>1+1.382300766i</v>
      </c>
      <c r="AF50" s="30" t="e">
        <f t="shared" si="45"/>
        <v>#VALUE!</v>
      </c>
      <c r="AG50" t="e">
        <f t="shared" si="46"/>
        <v>#VALUE!</v>
      </c>
      <c r="AH50" t="str">
        <f t="shared" si="26"/>
        <v>1+1.382300766i</v>
      </c>
      <c r="AI50" s="299" t="e">
        <f t="shared" si="27"/>
        <v>#VALUE!</v>
      </c>
      <c r="AK50" t="e">
        <f t="shared" si="28"/>
        <v>#VALUE!</v>
      </c>
      <c r="AM50" t="e">
        <f t="shared" si="29"/>
        <v>#VALUE!</v>
      </c>
      <c r="AN50" t="e">
        <f t="shared" si="47"/>
        <v>#VALUE!</v>
      </c>
    </row>
    <row r="51" spans="1:40" x14ac:dyDescent="0.25">
      <c r="A51" s="335">
        <v>12000</v>
      </c>
      <c r="B51" s="352">
        <f t="shared" si="17"/>
        <v>12</v>
      </c>
      <c r="C51" t="str">
        <f t="shared" si="30"/>
        <v>75398.2236i</v>
      </c>
      <c r="D51" s="30" t="str">
        <f t="shared" si="31"/>
        <v>-5684892122.0356</v>
      </c>
      <c r="E51" s="30" t="str">
        <f t="shared" si="32"/>
        <v>-428630767359119i</v>
      </c>
      <c r="G51" s="30" t="e">
        <f t="shared" si="33"/>
        <v>#VALUE!</v>
      </c>
      <c r="I51" s="30" t="e">
        <f t="shared" si="34"/>
        <v>#REF!</v>
      </c>
      <c r="J51" t="e">
        <f t="shared" si="18"/>
        <v>#REF!</v>
      </c>
      <c r="L51" s="30" t="e">
        <f t="shared" si="35"/>
        <v>#VALUE!</v>
      </c>
      <c r="M51" t="e">
        <f t="shared" si="36"/>
        <v>#VALUE!</v>
      </c>
      <c r="N51" t="e">
        <f>J51</f>
        <v>#REF!</v>
      </c>
      <c r="O51" s="299" t="e">
        <f>IMSUM(L51:N51)</f>
        <v>#VALUE!</v>
      </c>
      <c r="P51" s="651">
        <v>0</v>
      </c>
      <c r="Q51" s="397" t="str">
        <f t="shared" si="37"/>
        <v>1+0.02638937826i</v>
      </c>
      <c r="R51" s="397" t="str">
        <f t="shared" si="38"/>
        <v>-0.000047946637636791i</v>
      </c>
      <c r="S51" s="397" t="str">
        <f t="shared" si="39"/>
        <v>-0.00568261816518679</v>
      </c>
      <c r="T51" s="397" t="str">
        <f>IMSUM(S51,R51,Q51)</f>
        <v>0.994317381834813+0.0263414316223632i</v>
      </c>
      <c r="U51" s="652">
        <v>1</v>
      </c>
      <c r="V51">
        <f t="shared" si="40"/>
        <v>1</v>
      </c>
      <c r="W51">
        <f t="shared" si="23"/>
        <v>0</v>
      </c>
      <c r="X51">
        <f t="shared" si="41"/>
        <v>0</v>
      </c>
      <c r="Z51" t="str">
        <f t="shared" si="42"/>
        <v>1.00571236324959-0.000103111129481765i</v>
      </c>
      <c r="AA51">
        <f t="shared" si="24"/>
        <v>4.9475824752593413E-2</v>
      </c>
      <c r="AB51">
        <f t="shared" si="43"/>
        <v>-5.8742765248443194E-3</v>
      </c>
      <c r="AD51" s="30" t="str">
        <f t="shared" si="44"/>
        <v>1.507964472i</v>
      </c>
      <c r="AE51" s="30" t="str">
        <f t="shared" si="25"/>
        <v>1+1.507964472i</v>
      </c>
      <c r="AF51" s="30" t="e">
        <f t="shared" si="45"/>
        <v>#VALUE!</v>
      </c>
      <c r="AG51" t="e">
        <f t="shared" si="46"/>
        <v>#VALUE!</v>
      </c>
      <c r="AH51" t="str">
        <f t="shared" si="26"/>
        <v>1+1.507964472i</v>
      </c>
      <c r="AI51" s="299" t="e">
        <f t="shared" si="27"/>
        <v>#VALUE!</v>
      </c>
      <c r="AK51" t="e">
        <f t="shared" si="28"/>
        <v>#VALUE!</v>
      </c>
      <c r="AM51" t="e">
        <f t="shared" si="29"/>
        <v>#VALUE!</v>
      </c>
      <c r="AN51" t="e">
        <f t="shared" si="47"/>
        <v>#VALUE!</v>
      </c>
    </row>
    <row r="52" spans="1:40" x14ac:dyDescent="0.25">
      <c r="A52" s="335">
        <v>13000</v>
      </c>
      <c r="B52" s="352">
        <f t="shared" si="17"/>
        <v>13</v>
      </c>
      <c r="C52" t="str">
        <f t="shared" si="30"/>
        <v>81681.4089i</v>
      </c>
      <c r="D52" s="30" t="str">
        <f t="shared" si="31"/>
        <v>-6671852559.889</v>
      </c>
      <c r="E52" s="30" t="str">
        <f t="shared" si="32"/>
        <v>-544966317064805i</v>
      </c>
      <c r="G52" s="30" t="e">
        <f t="shared" si="33"/>
        <v>#VALUE!</v>
      </c>
      <c r="I52" s="30" t="e">
        <f t="shared" si="34"/>
        <v>#REF!</v>
      </c>
      <c r="J52" t="e">
        <f t="shared" si="18"/>
        <v>#REF!</v>
      </c>
      <c r="L52" s="30" t="e">
        <f t="shared" si="35"/>
        <v>#VALUE!</v>
      </c>
      <c r="M52" t="e">
        <f t="shared" si="36"/>
        <v>#VALUE!</v>
      </c>
      <c r="N52" t="e">
        <f>J52</f>
        <v>#REF!</v>
      </c>
      <c r="O52" s="299" t="e">
        <f>IMSUM(L52:N52)</f>
        <v>#VALUE!</v>
      </c>
      <c r="P52" s="651">
        <v>0</v>
      </c>
      <c r="Q52" s="397" t="str">
        <f t="shared" si="37"/>
        <v>1+0.028588493115i</v>
      </c>
      <c r="R52" s="397" t="str">
        <f t="shared" si="38"/>
        <v>-0.0000609599322268691i</v>
      </c>
      <c r="S52" s="397" t="str">
        <f t="shared" si="39"/>
        <v>-0.00666918381886504</v>
      </c>
      <c r="T52" s="397" t="str">
        <f>IMSUM(S52,R52,Q52)</f>
        <v>0.993330816181135+0.0285275331827731i</v>
      </c>
      <c r="U52" s="652">
        <v>1</v>
      </c>
      <c r="V52">
        <f t="shared" si="40"/>
        <v>1</v>
      </c>
      <c r="W52">
        <f t="shared" si="23"/>
        <v>0</v>
      </c>
      <c r="X52">
        <f t="shared" si="41"/>
        <v>0</v>
      </c>
      <c r="Z52" t="str">
        <f t="shared" si="42"/>
        <v>1.00671018846073-0.00013134112988737i</v>
      </c>
      <c r="AA52">
        <f t="shared" si="24"/>
        <v>5.808935257490936E-2</v>
      </c>
      <c r="AB52">
        <f t="shared" si="43"/>
        <v>-7.4751328348372729E-3</v>
      </c>
      <c r="AD52" s="30" t="str">
        <f t="shared" si="44"/>
        <v>1.633628178i</v>
      </c>
      <c r="AE52" s="30" t="str">
        <f t="shared" si="25"/>
        <v>1+1.633628178i</v>
      </c>
      <c r="AF52" s="30" t="e">
        <f t="shared" si="45"/>
        <v>#VALUE!</v>
      </c>
      <c r="AG52" t="e">
        <f t="shared" si="46"/>
        <v>#VALUE!</v>
      </c>
      <c r="AH52" t="str">
        <f t="shared" si="26"/>
        <v>1+1.633628178i</v>
      </c>
      <c r="AI52" s="299" t="e">
        <f t="shared" si="27"/>
        <v>#VALUE!</v>
      </c>
      <c r="AK52" t="e">
        <f t="shared" si="28"/>
        <v>#VALUE!</v>
      </c>
      <c r="AM52" t="e">
        <f t="shared" si="29"/>
        <v>#VALUE!</v>
      </c>
      <c r="AN52" t="e">
        <f t="shared" si="47"/>
        <v>#VALUE!</v>
      </c>
    </row>
    <row r="53" spans="1:40" x14ac:dyDescent="0.25">
      <c r="A53" s="335">
        <v>15000</v>
      </c>
      <c r="B53" s="352">
        <f t="shared" si="17"/>
        <v>15</v>
      </c>
      <c r="C53" t="str">
        <f t="shared" si="30"/>
        <v>94247.7795i</v>
      </c>
      <c r="D53" s="30" t="str">
        <f t="shared" si="31"/>
        <v>-8882643940.68062</v>
      </c>
      <c r="E53" s="30" t="str">
        <f t="shared" si="32"/>
        <v>-837169467498278i</v>
      </c>
      <c r="G53" s="30" t="e">
        <f t="shared" si="33"/>
        <v>#VALUE!</v>
      </c>
      <c r="I53" s="30" t="e">
        <f t="shared" si="34"/>
        <v>#REF!</v>
      </c>
      <c r="J53" t="e">
        <f t="shared" si="18"/>
        <v>#REF!</v>
      </c>
      <c r="L53" s="30" t="e">
        <f t="shared" si="35"/>
        <v>#VALUE!</v>
      </c>
      <c r="M53" t="e">
        <f t="shared" si="36"/>
        <v>#VALUE!</v>
      </c>
      <c r="N53" t="e">
        <f>J53</f>
        <v>#REF!</v>
      </c>
      <c r="O53" s="299" t="e">
        <f>IMSUM(L53:N53)</f>
        <v>#VALUE!</v>
      </c>
      <c r="P53" s="651">
        <v>0</v>
      </c>
      <c r="Q53" s="397" t="str">
        <f t="shared" si="37"/>
        <v>1+0.032986722825i</v>
      </c>
      <c r="R53" s="397" t="str">
        <f t="shared" si="38"/>
        <v>-0.0000936457766343574i</v>
      </c>
      <c r="S53" s="397" t="str">
        <f t="shared" si="39"/>
        <v>-0.00887909088310435</v>
      </c>
      <c r="T53" s="397" t="str">
        <f>IMSUM(S53,R53,Q53)</f>
        <v>0.991120909116896+0.0328930770483656i</v>
      </c>
      <c r="U53" s="652">
        <v>1</v>
      </c>
      <c r="V53">
        <f t="shared" si="40"/>
        <v>1</v>
      </c>
      <c r="W53">
        <f t="shared" si="23"/>
        <v>0</v>
      </c>
      <c r="X53">
        <f t="shared" si="41"/>
        <v>0</v>
      </c>
      <c r="Z53" t="str">
        <f t="shared" si="42"/>
        <v>1.00895191127968-0.00020260911556929i</v>
      </c>
      <c r="AA53">
        <f t="shared" si="24"/>
        <v>7.7409522394356958E-2</v>
      </c>
      <c r="AB53">
        <f t="shared" si="43"/>
        <v>-1.1505649516535831E-2</v>
      </c>
      <c r="AD53" s="30" t="str">
        <f t="shared" si="44"/>
        <v>1.88495559i</v>
      </c>
      <c r="AE53" s="30" t="str">
        <f t="shared" si="25"/>
        <v>1+1.88495559i</v>
      </c>
      <c r="AF53" s="30" t="e">
        <f t="shared" si="45"/>
        <v>#VALUE!</v>
      </c>
      <c r="AG53" t="e">
        <f t="shared" si="46"/>
        <v>#VALUE!</v>
      </c>
      <c r="AH53" t="str">
        <f t="shared" si="26"/>
        <v>1+1.88495559i</v>
      </c>
      <c r="AI53" s="299" t="e">
        <f t="shared" si="27"/>
        <v>#VALUE!</v>
      </c>
      <c r="AK53" t="e">
        <f t="shared" si="28"/>
        <v>#VALUE!</v>
      </c>
      <c r="AM53" t="e">
        <f t="shared" si="29"/>
        <v>#VALUE!</v>
      </c>
      <c r="AN53" t="e">
        <f t="shared" si="47"/>
        <v>#VALUE!</v>
      </c>
    </row>
    <row r="54" spans="1:40" x14ac:dyDescent="0.25">
      <c r="A54" s="335">
        <v>16000</v>
      </c>
      <c r="B54" s="352">
        <f t="shared" si="17"/>
        <v>16</v>
      </c>
      <c r="C54" t="str">
        <f t="shared" si="30"/>
        <v>100530.9648i</v>
      </c>
      <c r="D54" s="30" t="str">
        <f t="shared" si="31"/>
        <v>-10106474883.6188</v>
      </c>
      <c r="E54" s="30" t="str">
        <f t="shared" si="32"/>
        <v>-1016013670777170i</v>
      </c>
      <c r="G54" s="30" t="e">
        <f t="shared" si="33"/>
        <v>#VALUE!</v>
      </c>
      <c r="I54" s="30" t="e">
        <f t="shared" si="34"/>
        <v>#REF!</v>
      </c>
      <c r="J54" t="e">
        <f t="shared" si="18"/>
        <v>#REF!</v>
      </c>
      <c r="L54" s="30" t="e">
        <f t="shared" si="35"/>
        <v>#VALUE!</v>
      </c>
      <c r="M54" t="e">
        <f t="shared" si="36"/>
        <v>#VALUE!</v>
      </c>
      <c r="N54" t="e">
        <f t="shared" ref="N54:N68" si="48">J54</f>
        <v>#REF!</v>
      </c>
      <c r="O54" s="299" t="e">
        <f t="shared" ref="O54:O68" si="49">IMSUM(L54:N54)</f>
        <v>#VALUE!</v>
      </c>
      <c r="P54" s="651">
        <v>0</v>
      </c>
      <c r="Q54" s="397" t="str">
        <f t="shared" si="37"/>
        <v>1+0.03518583768i</v>
      </c>
      <c r="R54" s="397" t="str">
        <f t="shared" si="38"/>
        <v>-0.000113651289213134i</v>
      </c>
      <c r="S54" s="397" t="str">
        <f t="shared" si="39"/>
        <v>-0.0101024322936654</v>
      </c>
      <c r="T54" s="397" t="str">
        <f t="shared" ref="T54:T68" si="50">IMSUM(S54,R54,Q54)</f>
        <v>0.989897567706335+0.0350721863907869i</v>
      </c>
      <c r="U54" s="652">
        <v>1</v>
      </c>
      <c r="V54">
        <f t="shared" si="40"/>
        <v>1</v>
      </c>
      <c r="W54">
        <f t="shared" si="23"/>
        <v>0</v>
      </c>
      <c r="X54">
        <f t="shared" si="41"/>
        <v>0</v>
      </c>
      <c r="Z54" t="str">
        <f t="shared" si="42"/>
        <v>1.01019680079824-0.000246462681525396i</v>
      </c>
      <c r="AA54">
        <f t="shared" si="24"/>
        <v>8.8120034652894183E-2</v>
      </c>
      <c r="AB54">
        <f t="shared" si="43"/>
        <v>-1.3978732840646416E-2</v>
      </c>
      <c r="AD54" s="30" t="str">
        <f t="shared" si="44"/>
        <v>2.010619296i</v>
      </c>
      <c r="AE54" s="30" t="str">
        <f t="shared" si="25"/>
        <v>1+2.010619296i</v>
      </c>
      <c r="AF54" s="30" t="e">
        <f t="shared" si="45"/>
        <v>#VALUE!</v>
      </c>
      <c r="AG54" t="e">
        <f t="shared" si="46"/>
        <v>#VALUE!</v>
      </c>
      <c r="AH54" t="str">
        <f t="shared" si="26"/>
        <v>1+2.010619296i</v>
      </c>
      <c r="AI54" s="299" t="e">
        <f t="shared" si="27"/>
        <v>#VALUE!</v>
      </c>
      <c r="AK54" t="e">
        <f t="shared" si="28"/>
        <v>#VALUE!</v>
      </c>
      <c r="AM54" t="e">
        <f t="shared" si="29"/>
        <v>#VALUE!</v>
      </c>
      <c r="AN54" t="e">
        <f t="shared" si="47"/>
        <v>#VALUE!</v>
      </c>
    </row>
    <row r="55" spans="1:40" x14ac:dyDescent="0.25">
      <c r="A55" s="335">
        <v>17500</v>
      </c>
      <c r="B55" s="352">
        <f t="shared" si="17"/>
        <v>17.5</v>
      </c>
      <c r="C55" t="str">
        <f t="shared" si="30"/>
        <v>109955.74275i</v>
      </c>
      <c r="D55" s="30" t="str">
        <f t="shared" si="31"/>
        <v>-12090265363.7042</v>
      </c>
      <c r="E55" s="30" t="str">
        <f t="shared" si="32"/>
        <v>-1329394108110690i</v>
      </c>
      <c r="G55" s="30" t="e">
        <f t="shared" si="33"/>
        <v>#VALUE!</v>
      </c>
      <c r="I55" s="30" t="e">
        <f t="shared" si="34"/>
        <v>#REF!</v>
      </c>
      <c r="J55" t="e">
        <f t="shared" si="18"/>
        <v>#REF!</v>
      </c>
      <c r="L55" s="30" t="e">
        <f t="shared" si="35"/>
        <v>#VALUE!</v>
      </c>
      <c r="M55" t="e">
        <f t="shared" si="36"/>
        <v>#VALUE!</v>
      </c>
      <c r="N55" t="e">
        <f t="shared" si="48"/>
        <v>#REF!</v>
      </c>
      <c r="O55" s="299" t="e">
        <f t="shared" si="49"/>
        <v>#VALUE!</v>
      </c>
      <c r="P55" s="651">
        <v>0</v>
      </c>
      <c r="Q55" s="397" t="str">
        <f t="shared" si="37"/>
        <v>1+0.0384845099625i</v>
      </c>
      <c r="R55" s="397" t="str">
        <f t="shared" si="38"/>
        <v>-0.000148706024933262i</v>
      </c>
      <c r="S55" s="397" t="str">
        <f t="shared" si="39"/>
        <v>-0.0120854292575587</v>
      </c>
      <c r="T55" s="397" t="str">
        <f t="shared" si="50"/>
        <v>0.987914570742441+0.0383358039375667i</v>
      </c>
      <c r="U55" s="652">
        <v>1</v>
      </c>
      <c r="V55">
        <f t="shared" si="40"/>
        <v>1</v>
      </c>
      <c r="W55">
        <f t="shared" si="23"/>
        <v>0</v>
      </c>
      <c r="X55">
        <f t="shared" si="41"/>
        <v>0</v>
      </c>
      <c r="Z55" t="str">
        <f t="shared" si="42"/>
        <v>1.01222071263725-0.000323696833892721i</v>
      </c>
      <c r="AA55">
        <f t="shared" si="24"/>
        <v>0.10550484102978921</v>
      </c>
      <c r="AB55">
        <f t="shared" si="43"/>
        <v>-1.8322547228315767E-2</v>
      </c>
      <c r="AD55" s="30" t="str">
        <f t="shared" si="44"/>
        <v>2.199114855i</v>
      </c>
      <c r="AE55" s="30" t="str">
        <f t="shared" si="25"/>
        <v>1+2.199114855i</v>
      </c>
      <c r="AF55" s="30" t="e">
        <f t="shared" si="45"/>
        <v>#VALUE!</v>
      </c>
      <c r="AG55" t="e">
        <f t="shared" si="46"/>
        <v>#VALUE!</v>
      </c>
      <c r="AH55" t="str">
        <f t="shared" si="26"/>
        <v>1+2.199114855i</v>
      </c>
      <c r="AI55" s="299" t="e">
        <f t="shared" si="27"/>
        <v>#VALUE!</v>
      </c>
      <c r="AK55" t="e">
        <f t="shared" si="28"/>
        <v>#VALUE!</v>
      </c>
      <c r="AM55" t="e">
        <f t="shared" si="29"/>
        <v>#VALUE!</v>
      </c>
      <c r="AN55" t="e">
        <f t="shared" si="47"/>
        <v>#VALUE!</v>
      </c>
    </row>
    <row r="56" spans="1:40" x14ac:dyDescent="0.25">
      <c r="A56" s="335">
        <v>19000</v>
      </c>
      <c r="B56" s="352">
        <f t="shared" si="17"/>
        <v>19</v>
      </c>
      <c r="C56" t="str">
        <f t="shared" si="30"/>
        <v>119380.5207i</v>
      </c>
      <c r="D56" s="30" t="str">
        <f t="shared" si="31"/>
        <v>-14251708722.6031</v>
      </c>
      <c r="E56" s="30" t="str">
        <f t="shared" si="32"/>
        <v>-1701376408169090i</v>
      </c>
      <c r="G56" s="30" t="e">
        <f t="shared" si="33"/>
        <v>#VALUE!</v>
      </c>
      <c r="I56" s="30" t="e">
        <f t="shared" si="34"/>
        <v>#REF!</v>
      </c>
      <c r="J56" t="e">
        <f t="shared" si="18"/>
        <v>#REF!</v>
      </c>
      <c r="L56" s="30" t="e">
        <f t="shared" si="35"/>
        <v>#VALUE!</v>
      </c>
      <c r="M56" t="e">
        <f t="shared" si="36"/>
        <v>#VALUE!</v>
      </c>
      <c r="N56" t="e">
        <f t="shared" si="48"/>
        <v>#REF!</v>
      </c>
      <c r="O56" s="299" t="e">
        <f t="shared" si="49"/>
        <v>#VALUE!</v>
      </c>
      <c r="P56" s="651">
        <v>0</v>
      </c>
      <c r="Q56" s="397" t="str">
        <f t="shared" si="37"/>
        <v>1+0.041783182245i</v>
      </c>
      <c r="R56" s="397" t="str">
        <f t="shared" si="38"/>
        <v>-0.000190315965017794i</v>
      </c>
      <c r="S56" s="397" t="str">
        <f t="shared" si="39"/>
        <v>-0.0142460080391141</v>
      </c>
      <c r="T56" s="397" t="str">
        <f t="shared" si="50"/>
        <v>0.985753991960886+0.0415928662799822i</v>
      </c>
      <c r="U56" s="652">
        <v>1</v>
      </c>
      <c r="V56">
        <f t="shared" si="40"/>
        <v>1</v>
      </c>
      <c r="W56">
        <f t="shared" si="23"/>
        <v>0</v>
      </c>
      <c r="X56">
        <f t="shared" si="41"/>
        <v>0</v>
      </c>
      <c r="Z56" t="str">
        <f t="shared" si="42"/>
        <v>1.01443433812182-0.000415975520938413i</v>
      </c>
      <c r="AA56">
        <f t="shared" si="24"/>
        <v>0.12447955922984369</v>
      </c>
      <c r="AB56">
        <f t="shared" si="43"/>
        <v>-2.3494512681856306E-2</v>
      </c>
      <c r="AD56" s="30" t="str">
        <f t="shared" si="44"/>
        <v>2.387610414i</v>
      </c>
      <c r="AE56" s="30" t="str">
        <f t="shared" si="25"/>
        <v>1+2.387610414i</v>
      </c>
      <c r="AF56" s="30" t="e">
        <f t="shared" si="45"/>
        <v>#VALUE!</v>
      </c>
      <c r="AG56" t="e">
        <f t="shared" si="46"/>
        <v>#VALUE!</v>
      </c>
      <c r="AH56" t="str">
        <f t="shared" si="26"/>
        <v>1+2.387610414i</v>
      </c>
      <c r="AI56" s="299" t="e">
        <f t="shared" si="27"/>
        <v>#VALUE!</v>
      </c>
      <c r="AK56" t="e">
        <f t="shared" si="28"/>
        <v>#VALUE!</v>
      </c>
      <c r="AM56" t="e">
        <f t="shared" si="29"/>
        <v>#VALUE!</v>
      </c>
      <c r="AN56" t="e">
        <f t="shared" si="47"/>
        <v>#VALUE!</v>
      </c>
    </row>
    <row r="57" spans="1:40" x14ac:dyDescent="0.25">
      <c r="A57" s="335">
        <v>20000</v>
      </c>
      <c r="B57" s="352">
        <f t="shared" si="17"/>
        <v>20</v>
      </c>
      <c r="C57" t="str">
        <f t="shared" si="30"/>
        <v>125663.706i</v>
      </c>
      <c r="D57" s="30" t="str">
        <f t="shared" si="31"/>
        <v>-15791367005.6544</v>
      </c>
      <c r="E57" s="30" t="str">
        <f t="shared" si="32"/>
        <v>-1984401700736660i</v>
      </c>
      <c r="G57" s="30" t="e">
        <f t="shared" si="33"/>
        <v>#VALUE!</v>
      </c>
      <c r="I57" s="30" t="e">
        <f t="shared" si="34"/>
        <v>#REF!</v>
      </c>
      <c r="J57" t="e">
        <f t="shared" si="18"/>
        <v>#REF!</v>
      </c>
      <c r="L57" s="30" t="e">
        <f t="shared" si="35"/>
        <v>#VALUE!</v>
      </c>
      <c r="M57" t="e">
        <f t="shared" si="36"/>
        <v>#VALUE!</v>
      </c>
      <c r="N57" t="e">
        <f t="shared" si="48"/>
        <v>#REF!</v>
      </c>
      <c r="O57" s="299" t="e">
        <f t="shared" si="49"/>
        <v>#VALUE!</v>
      </c>
      <c r="P57" s="651">
        <v>0</v>
      </c>
      <c r="Q57" s="397" t="str">
        <f t="shared" si="37"/>
        <v>1+0.0439822971i</v>
      </c>
      <c r="R57" s="397" t="str">
        <f t="shared" si="38"/>
        <v>-0.000221975174244403i</v>
      </c>
      <c r="S57" s="397" t="str">
        <f t="shared" si="39"/>
        <v>-0.0157850504588521</v>
      </c>
      <c r="T57" s="397" t="str">
        <f t="shared" si="50"/>
        <v>0.984214949541148+0.0437603219257556i</v>
      </c>
      <c r="U57" s="652">
        <v>1</v>
      </c>
      <c r="V57">
        <f t="shared" si="40"/>
        <v>1</v>
      </c>
      <c r="W57">
        <f t="shared" si="23"/>
        <v>0</v>
      </c>
      <c r="X57">
        <f t="shared" si="41"/>
        <v>0</v>
      </c>
      <c r="Z57" t="str">
        <f t="shared" si="42"/>
        <v>1.01601657935512-0.000486596443905099i</v>
      </c>
      <c r="AA57">
        <f t="shared" si="24"/>
        <v>0.13801689257265934</v>
      </c>
      <c r="AB57">
        <f t="shared" si="43"/>
        <v>-2.744041881657654E-2</v>
      </c>
      <c r="AD57" s="30" t="str">
        <f t="shared" si="44"/>
        <v>2.51327412i</v>
      </c>
      <c r="AE57" s="30" t="str">
        <f t="shared" si="25"/>
        <v>1+2.51327412i</v>
      </c>
      <c r="AF57" s="30" t="e">
        <f t="shared" si="45"/>
        <v>#VALUE!</v>
      </c>
      <c r="AG57" t="e">
        <f t="shared" si="46"/>
        <v>#VALUE!</v>
      </c>
      <c r="AH57" t="str">
        <f t="shared" si="26"/>
        <v>1+2.51327412i</v>
      </c>
      <c r="AI57" s="299" t="e">
        <f t="shared" si="27"/>
        <v>#VALUE!</v>
      </c>
      <c r="AK57" t="e">
        <f t="shared" si="28"/>
        <v>#VALUE!</v>
      </c>
      <c r="AM57" t="e">
        <f t="shared" si="29"/>
        <v>#VALUE!</v>
      </c>
      <c r="AN57" t="e">
        <f t="shared" si="47"/>
        <v>#VALUE!</v>
      </c>
    </row>
    <row r="58" spans="1:40" x14ac:dyDescent="0.25">
      <c r="A58" s="335">
        <v>25000</v>
      </c>
      <c r="B58" s="352">
        <f t="shared" si="17"/>
        <v>25</v>
      </c>
      <c r="C58" t="str">
        <f t="shared" si="30"/>
        <v>157079.6325i</v>
      </c>
      <c r="D58" s="30" t="str">
        <f t="shared" si="31"/>
        <v>-24674010946.3351</v>
      </c>
      <c r="E58" s="30" t="str">
        <f t="shared" si="32"/>
        <v>-3875784571751290i</v>
      </c>
      <c r="G58" s="30" t="e">
        <f t="shared" si="33"/>
        <v>#VALUE!</v>
      </c>
      <c r="I58" s="30" t="e">
        <f t="shared" si="34"/>
        <v>#REF!</v>
      </c>
      <c r="J58" t="e">
        <f t="shared" si="18"/>
        <v>#REF!</v>
      </c>
      <c r="L58" s="30" t="e">
        <f t="shared" si="35"/>
        <v>#VALUE!</v>
      </c>
      <c r="M58" t="e">
        <f t="shared" si="36"/>
        <v>#VALUE!</v>
      </c>
      <c r="N58" t="e">
        <f t="shared" si="48"/>
        <v>#REF!</v>
      </c>
      <c r="O58" s="299" t="e">
        <f t="shared" si="49"/>
        <v>#VALUE!</v>
      </c>
      <c r="P58" s="651">
        <v>0</v>
      </c>
      <c r="Q58" s="397" t="str">
        <f t="shared" si="37"/>
        <v>1+0.054977871375i</v>
      </c>
      <c r="R58" s="397" t="str">
        <f t="shared" si="38"/>
        <v>-0.000433545262196099i</v>
      </c>
      <c r="S58" s="397" t="str">
        <f t="shared" si="39"/>
        <v>-0.0246641413419566</v>
      </c>
      <c r="T58" s="397" t="str">
        <f t="shared" si="50"/>
        <v>0.975335858658043+0.0545443261128039i</v>
      </c>
      <c r="U58" s="652">
        <v>1</v>
      </c>
      <c r="V58">
        <f t="shared" si="40"/>
        <v>1</v>
      </c>
      <c r="W58">
        <f t="shared" si="23"/>
        <v>0</v>
      </c>
      <c r="X58">
        <f t="shared" si="41"/>
        <v>0</v>
      </c>
      <c r="Z58" t="str">
        <f t="shared" si="42"/>
        <v>1.02523378537434-0.000966656304033977i</v>
      </c>
      <c r="AA58">
        <f t="shared" si="24"/>
        <v>0.21646204909008521</v>
      </c>
      <c r="AB58">
        <f t="shared" si="43"/>
        <v>-5.4022127344881758E-2</v>
      </c>
      <c r="AD58" s="30" t="str">
        <f t="shared" si="44"/>
        <v>3.14159265i</v>
      </c>
      <c r="AE58" s="30" t="str">
        <f t="shared" si="25"/>
        <v>1+3.14159265i</v>
      </c>
      <c r="AF58" s="30" t="e">
        <f t="shared" si="45"/>
        <v>#VALUE!</v>
      </c>
      <c r="AG58" t="e">
        <f t="shared" si="46"/>
        <v>#VALUE!</v>
      </c>
      <c r="AH58" t="str">
        <f t="shared" si="26"/>
        <v>1+3.14159265i</v>
      </c>
      <c r="AI58" s="299" t="e">
        <f t="shared" si="27"/>
        <v>#VALUE!</v>
      </c>
      <c r="AK58" t="e">
        <f t="shared" si="28"/>
        <v>#VALUE!</v>
      </c>
      <c r="AM58" t="e">
        <f t="shared" si="29"/>
        <v>#VALUE!</v>
      </c>
      <c r="AN58" t="e">
        <f t="shared" si="47"/>
        <v>#VALUE!</v>
      </c>
    </row>
    <row r="59" spans="1:40" x14ac:dyDescent="0.25">
      <c r="A59" s="335">
        <v>30000</v>
      </c>
      <c r="B59" s="352">
        <f t="shared" si="17"/>
        <v>30</v>
      </c>
      <c r="C59" t="str">
        <f t="shared" si="30"/>
        <v>188495.559i</v>
      </c>
      <c r="D59" s="30" t="str">
        <f t="shared" si="31"/>
        <v>-35530575762.7225</v>
      </c>
      <c r="E59" s="30" t="str">
        <f t="shared" si="32"/>
        <v>-6697355739986230i</v>
      </c>
      <c r="G59" s="30" t="e">
        <f t="shared" si="33"/>
        <v>#VALUE!</v>
      </c>
      <c r="I59" s="30" t="e">
        <f t="shared" si="34"/>
        <v>#REF!</v>
      </c>
      <c r="J59" t="e">
        <f t="shared" si="18"/>
        <v>#REF!</v>
      </c>
      <c r="L59" s="30" t="e">
        <f t="shared" si="35"/>
        <v>#VALUE!</v>
      </c>
      <c r="M59" t="e">
        <f t="shared" si="36"/>
        <v>#VALUE!</v>
      </c>
      <c r="N59" t="e">
        <f t="shared" si="48"/>
        <v>#REF!</v>
      </c>
      <c r="O59" s="299" t="e">
        <f t="shared" si="49"/>
        <v>#VALUE!</v>
      </c>
      <c r="P59" s="651">
        <v>0</v>
      </c>
      <c r="Q59" s="397" t="str">
        <f t="shared" si="37"/>
        <v>1+0.06597344565i</v>
      </c>
      <c r="R59" s="397" t="str">
        <f t="shared" si="38"/>
        <v>-0.00074916621307486i</v>
      </c>
      <c r="S59" s="397" t="str">
        <f t="shared" si="39"/>
        <v>-0.0355163635324174</v>
      </c>
      <c r="T59" s="397" t="str">
        <f t="shared" si="50"/>
        <v>0.964483636467583+0.0652242794369251i</v>
      </c>
      <c r="U59" s="652">
        <v>1</v>
      </c>
      <c r="V59">
        <f t="shared" si="40"/>
        <v>1</v>
      </c>
      <c r="W59">
        <f t="shared" si="23"/>
        <v>0</v>
      </c>
      <c r="X59">
        <f t="shared" si="41"/>
        <v>0</v>
      </c>
      <c r="Z59" t="str">
        <f t="shared" si="42"/>
        <v>1.03670887459481-0.00170572482425677i</v>
      </c>
      <c r="AA59">
        <f t="shared" si="24"/>
        <v>0.31314808208663503</v>
      </c>
      <c r="AB59">
        <f t="shared" si="43"/>
        <v>-9.4270192682177109E-2</v>
      </c>
      <c r="AD59" s="30" t="str">
        <f t="shared" si="44"/>
        <v>3.76991118i</v>
      </c>
      <c r="AE59" s="30" t="str">
        <f t="shared" si="25"/>
        <v>1+3.76991118i</v>
      </c>
      <c r="AF59" s="30" t="e">
        <f t="shared" si="45"/>
        <v>#VALUE!</v>
      </c>
      <c r="AG59" t="e">
        <f t="shared" si="46"/>
        <v>#VALUE!</v>
      </c>
      <c r="AH59" t="str">
        <f t="shared" si="26"/>
        <v>1+3.76991118i</v>
      </c>
      <c r="AI59" s="299" t="e">
        <f t="shared" si="27"/>
        <v>#VALUE!</v>
      </c>
      <c r="AK59" t="e">
        <f t="shared" si="28"/>
        <v>#VALUE!</v>
      </c>
      <c r="AM59" t="e">
        <f t="shared" si="29"/>
        <v>#VALUE!</v>
      </c>
      <c r="AN59" t="e">
        <f t="shared" si="47"/>
        <v>#VALUE!</v>
      </c>
    </row>
    <row r="60" spans="1:40" x14ac:dyDescent="0.25">
      <c r="A60" s="335">
        <v>35000</v>
      </c>
      <c r="B60" s="352">
        <f t="shared" si="17"/>
        <v>35</v>
      </c>
      <c r="C60" t="str">
        <f t="shared" si="30"/>
        <v>219911.4855i</v>
      </c>
      <c r="D60" s="30" t="str">
        <f t="shared" si="31"/>
        <v>-48361061454.8167</v>
      </c>
      <c r="E60" s="30" t="str">
        <f t="shared" si="32"/>
        <v>-10635152864885500i</v>
      </c>
      <c r="G60" s="30" t="e">
        <f t="shared" si="33"/>
        <v>#VALUE!</v>
      </c>
      <c r="I60" s="30" t="e">
        <f t="shared" si="34"/>
        <v>#REF!</v>
      </c>
      <c r="J60" t="e">
        <f t="shared" si="18"/>
        <v>#REF!</v>
      </c>
      <c r="L60" s="30" t="e">
        <f t="shared" si="35"/>
        <v>#VALUE!</v>
      </c>
      <c r="M60" t="e">
        <f t="shared" si="36"/>
        <v>#VALUE!</v>
      </c>
      <c r="N60" t="e">
        <f t="shared" si="48"/>
        <v>#REF!</v>
      </c>
      <c r="O60" s="299" t="e">
        <f t="shared" si="49"/>
        <v>#VALUE!</v>
      </c>
      <c r="P60" s="651">
        <v>0</v>
      </c>
      <c r="Q60" s="397" t="str">
        <f t="shared" si="37"/>
        <v>1+0.076969019925i</v>
      </c>
      <c r="R60" s="397" t="str">
        <f t="shared" si="38"/>
        <v>-0.00118964819946609i</v>
      </c>
      <c r="S60" s="397" t="str">
        <f t="shared" si="39"/>
        <v>-0.0483417170302348</v>
      </c>
      <c r="T60" s="397" t="str">
        <f t="shared" si="50"/>
        <v>0.951658282969765+0.0757793717255339i</v>
      </c>
      <c r="U60" s="652">
        <v>1</v>
      </c>
      <c r="V60">
        <f t="shared" si="40"/>
        <v>1</v>
      </c>
      <c r="W60">
        <f t="shared" si="23"/>
        <v>0</v>
      </c>
      <c r="X60">
        <f t="shared" si="41"/>
        <v>0</v>
      </c>
      <c r="Z60" t="str">
        <f t="shared" si="42"/>
        <v>1.05057619978726-0.00277724104542023i</v>
      </c>
      <c r="AA60">
        <f t="shared" si="24"/>
        <v>0.42858150735745315</v>
      </c>
      <c r="AB60">
        <f t="shared" si="43"/>
        <v>-0.15146337803870516</v>
      </c>
      <c r="AD60" s="30" t="str">
        <f t="shared" si="44"/>
        <v>4.39822971i</v>
      </c>
      <c r="AE60" s="30" t="str">
        <f t="shared" si="25"/>
        <v>1+4.39822971i</v>
      </c>
      <c r="AF60" s="30" t="e">
        <f t="shared" si="45"/>
        <v>#VALUE!</v>
      </c>
      <c r="AG60" t="e">
        <f t="shared" si="46"/>
        <v>#VALUE!</v>
      </c>
      <c r="AH60" t="str">
        <f t="shared" si="26"/>
        <v>1+4.39822971i</v>
      </c>
      <c r="AI60" s="299" t="e">
        <f t="shared" si="27"/>
        <v>#VALUE!</v>
      </c>
      <c r="AK60" t="e">
        <f t="shared" si="28"/>
        <v>#VALUE!</v>
      </c>
      <c r="AM60" t="e">
        <f t="shared" si="29"/>
        <v>#VALUE!</v>
      </c>
      <c r="AN60" t="e">
        <f t="shared" si="47"/>
        <v>#VALUE!</v>
      </c>
    </row>
    <row r="61" spans="1:40" x14ac:dyDescent="0.25">
      <c r="A61" s="335">
        <v>40000</v>
      </c>
      <c r="B61" s="352">
        <f t="shared" si="17"/>
        <v>40</v>
      </c>
      <c r="C61" t="str">
        <f t="shared" si="30"/>
        <v>251327.412i</v>
      </c>
      <c r="D61" s="30" t="str">
        <f t="shared" si="31"/>
        <v>-63165468022.6178</v>
      </c>
      <c r="E61" s="30" t="str">
        <f t="shared" si="32"/>
        <v>-15875213605893300i</v>
      </c>
      <c r="G61" s="30" t="e">
        <f t="shared" si="33"/>
        <v>#VALUE!</v>
      </c>
      <c r="I61" s="30" t="e">
        <f t="shared" si="34"/>
        <v>#REF!</v>
      </c>
      <c r="J61" t="e">
        <f t="shared" si="18"/>
        <v>#REF!</v>
      </c>
      <c r="L61" s="30" t="e">
        <f t="shared" si="35"/>
        <v>#VALUE!</v>
      </c>
      <c r="M61" t="e">
        <f t="shared" si="36"/>
        <v>#VALUE!</v>
      </c>
      <c r="N61" t="e">
        <f t="shared" si="48"/>
        <v>#REF!</v>
      </c>
      <c r="O61" s="299" t="e">
        <f t="shared" si="49"/>
        <v>#VALUE!</v>
      </c>
      <c r="P61" s="651">
        <v>0</v>
      </c>
      <c r="Q61" s="397" t="str">
        <f t="shared" si="37"/>
        <v>1+0.0879645942i</v>
      </c>
      <c r="R61" s="397" t="str">
        <f t="shared" si="38"/>
        <v>-0.00177580139395522i</v>
      </c>
      <c r="S61" s="397" t="str">
        <f t="shared" si="39"/>
        <v>-0.0631402018354088</v>
      </c>
      <c r="T61" s="397" t="str">
        <f t="shared" si="50"/>
        <v>0.936859798164591+0.0861887928060448i</v>
      </c>
      <c r="U61" s="652">
        <v>1</v>
      </c>
      <c r="V61">
        <f t="shared" si="40"/>
        <v>1</v>
      </c>
      <c r="W61">
        <f t="shared" si="23"/>
        <v>0</v>
      </c>
      <c r="X61">
        <f t="shared" si="41"/>
        <v>0</v>
      </c>
      <c r="Z61" t="str">
        <f t="shared" si="42"/>
        <v>1.06700286965865-0.00426861635465528i</v>
      </c>
      <c r="AA61">
        <f t="shared" si="24"/>
        <v>0.56338125510820847</v>
      </c>
      <c r="AB61">
        <f t="shared" si="43"/>
        <v>-0.22921437604912545</v>
      </c>
      <c r="AD61" s="30" t="str">
        <f t="shared" si="44"/>
        <v>5.02654824i</v>
      </c>
      <c r="AE61" s="30" t="str">
        <f t="shared" si="25"/>
        <v>1+5.02654824i</v>
      </c>
      <c r="AF61" s="30" t="e">
        <f t="shared" si="45"/>
        <v>#VALUE!</v>
      </c>
      <c r="AG61" t="e">
        <f t="shared" si="46"/>
        <v>#VALUE!</v>
      </c>
      <c r="AH61" t="str">
        <f t="shared" si="26"/>
        <v>1+5.02654824i</v>
      </c>
      <c r="AI61" s="299" t="e">
        <f t="shared" si="27"/>
        <v>#VALUE!</v>
      </c>
      <c r="AK61" t="e">
        <f t="shared" si="28"/>
        <v>#VALUE!</v>
      </c>
      <c r="AM61" t="e">
        <f t="shared" si="29"/>
        <v>#VALUE!</v>
      </c>
      <c r="AN61" t="e">
        <f t="shared" si="47"/>
        <v>#VALUE!</v>
      </c>
    </row>
    <row r="62" spans="1:40" x14ac:dyDescent="0.25">
      <c r="A62" s="335">
        <v>45000</v>
      </c>
      <c r="B62" s="352">
        <f t="shared" si="17"/>
        <v>45</v>
      </c>
      <c r="C62" t="str">
        <f t="shared" si="30"/>
        <v>282743.3385i</v>
      </c>
      <c r="D62" s="30" t="str">
        <f t="shared" si="31"/>
        <v>-79943795466.1256</v>
      </c>
      <c r="E62" s="30" t="str">
        <f t="shared" si="32"/>
        <v>-22603575622453500i</v>
      </c>
      <c r="G62" s="30" t="e">
        <f t="shared" si="33"/>
        <v>#VALUE!</v>
      </c>
      <c r="I62" s="30" t="e">
        <f t="shared" si="34"/>
        <v>#REF!</v>
      </c>
      <c r="J62" t="e">
        <f t="shared" si="18"/>
        <v>#REF!</v>
      </c>
      <c r="L62" s="30" t="e">
        <f t="shared" si="35"/>
        <v>#VALUE!</v>
      </c>
      <c r="M62" t="e">
        <f t="shared" si="36"/>
        <v>#VALUE!</v>
      </c>
      <c r="N62" t="e">
        <f t="shared" si="48"/>
        <v>#REF!</v>
      </c>
      <c r="O62" s="299" t="e">
        <f t="shared" si="49"/>
        <v>#VALUE!</v>
      </c>
      <c r="P62" s="651">
        <v>0</v>
      </c>
      <c r="Q62" s="397" t="str">
        <f t="shared" si="37"/>
        <v>1+0.098960168475i</v>
      </c>
      <c r="R62" s="397" t="str">
        <f t="shared" si="38"/>
        <v>-0.00252843596912765i</v>
      </c>
      <c r="S62" s="397" t="str">
        <f t="shared" si="39"/>
        <v>-0.0799118179479392</v>
      </c>
      <c r="T62" s="397" t="str">
        <f t="shared" si="50"/>
        <v>0.920088182052061+0.0964317325058724i</v>
      </c>
      <c r="U62" s="652">
        <v>1</v>
      </c>
      <c r="V62">
        <f t="shared" si="40"/>
        <v>1</v>
      </c>
      <c r="W62">
        <f t="shared" si="23"/>
        <v>0</v>
      </c>
      <c r="X62">
        <f t="shared" si="41"/>
        <v>0</v>
      </c>
      <c r="Z62" t="str">
        <f t="shared" si="42"/>
        <v>1.08619356566251-0.00628565719175738i</v>
      </c>
      <c r="AA62">
        <f t="shared" si="24"/>
        <v>0.71828994959670589</v>
      </c>
      <c r="AB62">
        <f t="shared" si="43"/>
        <v>-0.33155932819996564</v>
      </c>
      <c r="AD62" s="30" t="str">
        <f t="shared" si="44"/>
        <v>5.65486677i</v>
      </c>
      <c r="AE62" s="30" t="str">
        <f t="shared" si="25"/>
        <v>1+5.65486677i</v>
      </c>
      <c r="AF62" s="30" t="e">
        <f t="shared" si="45"/>
        <v>#VALUE!</v>
      </c>
      <c r="AG62" t="e">
        <f t="shared" si="46"/>
        <v>#VALUE!</v>
      </c>
      <c r="AH62" t="str">
        <f t="shared" si="26"/>
        <v>1+5.65486677i</v>
      </c>
      <c r="AI62" s="299" t="e">
        <f t="shared" si="27"/>
        <v>#VALUE!</v>
      </c>
      <c r="AK62" t="e">
        <f t="shared" si="28"/>
        <v>#VALUE!</v>
      </c>
      <c r="AM62" t="e">
        <f t="shared" si="29"/>
        <v>#VALUE!</v>
      </c>
      <c r="AN62" t="e">
        <f t="shared" si="47"/>
        <v>#VALUE!</v>
      </c>
    </row>
    <row r="63" spans="1:40" x14ac:dyDescent="0.25">
      <c r="A63" s="335">
        <v>50000</v>
      </c>
      <c r="B63" s="352">
        <f t="shared" si="17"/>
        <v>50</v>
      </c>
      <c r="C63" t="str">
        <f t="shared" si="30"/>
        <v>314159.265i</v>
      </c>
      <c r="D63" s="30" t="str">
        <f t="shared" si="31"/>
        <v>-98696043785.3402</v>
      </c>
      <c r="E63" s="30" t="str">
        <f t="shared" si="32"/>
        <v>-31006276574010300i</v>
      </c>
      <c r="G63" s="30" t="e">
        <f t="shared" si="33"/>
        <v>#VALUE!</v>
      </c>
      <c r="I63" s="30" t="e">
        <f t="shared" si="34"/>
        <v>#REF!</v>
      </c>
      <c r="J63" t="e">
        <f t="shared" si="18"/>
        <v>#REF!</v>
      </c>
      <c r="L63" s="30" t="e">
        <f t="shared" si="35"/>
        <v>#VALUE!</v>
      </c>
      <c r="M63" t="e">
        <f t="shared" si="36"/>
        <v>#VALUE!</v>
      </c>
      <c r="N63" t="e">
        <f t="shared" si="48"/>
        <v>#REF!</v>
      </c>
      <c r="O63" s="299" t="e">
        <f t="shared" si="49"/>
        <v>#VALUE!</v>
      </c>
      <c r="P63" s="651">
        <v>0</v>
      </c>
      <c r="Q63" s="397" t="str">
        <f t="shared" si="37"/>
        <v>1+0.10995574275i</v>
      </c>
      <c r="R63" s="397" t="str">
        <f t="shared" si="38"/>
        <v>-0.00346836209756879i</v>
      </c>
      <c r="S63" s="397" t="str">
        <f t="shared" si="39"/>
        <v>-0.0986565653678261</v>
      </c>
      <c r="T63" s="397" t="str">
        <f t="shared" si="50"/>
        <v>0.901343434632174+0.106487380652431i</v>
      </c>
      <c r="U63" s="652">
        <v>1</v>
      </c>
      <c r="V63">
        <f t="shared" si="40"/>
        <v>1</v>
      </c>
      <c r="W63">
        <f t="shared" si="23"/>
        <v>0</v>
      </c>
      <c r="X63">
        <f t="shared" si="41"/>
        <v>0</v>
      </c>
      <c r="Z63" t="str">
        <f t="shared" si="42"/>
        <v>1.10839666057698-0.00895831050462997i</v>
      </c>
      <c r="AA63">
        <f t="shared" si="24"/>
        <v>0.89418785513768861</v>
      </c>
      <c r="AB63">
        <f t="shared" si="43"/>
        <v>-0.46306726345210286</v>
      </c>
      <c r="AD63" s="30" t="str">
        <f t="shared" si="44"/>
        <v>6.2831853i</v>
      </c>
      <c r="AE63" s="30" t="str">
        <f t="shared" si="25"/>
        <v>1+6.2831853i</v>
      </c>
      <c r="AF63" s="30" t="e">
        <f t="shared" si="45"/>
        <v>#VALUE!</v>
      </c>
      <c r="AG63" t="e">
        <f t="shared" si="46"/>
        <v>#VALUE!</v>
      </c>
      <c r="AH63" t="str">
        <f t="shared" si="26"/>
        <v>1+6.2831853i</v>
      </c>
      <c r="AI63" s="299" t="e">
        <f t="shared" si="27"/>
        <v>#VALUE!</v>
      </c>
      <c r="AK63" t="e">
        <f t="shared" si="28"/>
        <v>#VALUE!</v>
      </c>
      <c r="AM63" t="e">
        <f t="shared" si="29"/>
        <v>#VALUE!</v>
      </c>
      <c r="AN63" t="e">
        <f t="shared" si="47"/>
        <v>#VALUE!</v>
      </c>
    </row>
    <row r="64" spans="1:40" x14ac:dyDescent="0.25">
      <c r="A64" s="335">
        <v>55000</v>
      </c>
      <c r="B64" s="352">
        <f t="shared" si="17"/>
        <v>55</v>
      </c>
      <c r="C64" t="str">
        <f t="shared" si="30"/>
        <v>345575.1915i</v>
      </c>
      <c r="D64" s="30" t="str">
        <f t="shared" si="31"/>
        <v>-119422212980.262</v>
      </c>
      <c r="E64" s="30" t="str">
        <f t="shared" si="32"/>
        <v>-41269354120007700i</v>
      </c>
      <c r="G64" s="30" t="e">
        <f t="shared" si="33"/>
        <v>#VALUE!</v>
      </c>
      <c r="I64" s="30" t="e">
        <f t="shared" si="34"/>
        <v>#REF!</v>
      </c>
      <c r="J64" t="e">
        <f t="shared" si="18"/>
        <v>#REF!</v>
      </c>
      <c r="L64" s="30" t="e">
        <f t="shared" si="35"/>
        <v>#VALUE!</v>
      </c>
      <c r="M64" t="e">
        <f t="shared" si="36"/>
        <v>#VALUE!</v>
      </c>
      <c r="N64" t="e">
        <f t="shared" si="48"/>
        <v>#REF!</v>
      </c>
      <c r="O64" s="299" t="e">
        <f t="shared" si="49"/>
        <v>#VALUE!</v>
      </c>
      <c r="P64" s="651">
        <v>0</v>
      </c>
      <c r="Q64" s="397" t="str">
        <f t="shared" si="37"/>
        <v>1+0.120951317025i</v>
      </c>
      <c r="R64" s="397" t="str">
        <f t="shared" si="38"/>
        <v>-0.00461638995186406i</v>
      </c>
      <c r="S64" s="397" t="str">
        <f t="shared" si="39"/>
        <v>-0.11937444409507</v>
      </c>
      <c r="T64" s="397" t="str">
        <f t="shared" si="50"/>
        <v>0.88062555590493+0.116334927073136i</v>
      </c>
      <c r="U64" s="652">
        <v>1</v>
      </c>
      <c r="V64">
        <f t="shared" si="40"/>
        <v>1</v>
      </c>
      <c r="W64">
        <f t="shared" si="23"/>
        <v>0</v>
      </c>
      <c r="X64">
        <f t="shared" si="41"/>
        <v>0</v>
      </c>
      <c r="Z64" t="str">
        <f t="shared" si="42"/>
        <v>1.1339119415625-0.0124482487823856i</v>
      </c>
      <c r="AA64">
        <f t="shared" si="24"/>
        <v>1.0921099587044569</v>
      </c>
      <c r="AB64">
        <f t="shared" si="43"/>
        <v>-0.628976061964027</v>
      </c>
      <c r="AD64" s="30" t="str">
        <f t="shared" si="44"/>
        <v>6.91150383i</v>
      </c>
      <c r="AE64" s="30" t="str">
        <f t="shared" si="25"/>
        <v>1+6.91150383i</v>
      </c>
      <c r="AF64" s="30" t="e">
        <f t="shared" si="45"/>
        <v>#VALUE!</v>
      </c>
      <c r="AG64" t="e">
        <f t="shared" si="46"/>
        <v>#VALUE!</v>
      </c>
      <c r="AH64" t="str">
        <f t="shared" si="26"/>
        <v>1+6.91150383i</v>
      </c>
      <c r="AI64" s="299" t="e">
        <f t="shared" si="27"/>
        <v>#VALUE!</v>
      </c>
      <c r="AK64" t="e">
        <f t="shared" si="28"/>
        <v>#VALUE!</v>
      </c>
      <c r="AM64" t="e">
        <f t="shared" si="29"/>
        <v>#VALUE!</v>
      </c>
      <c r="AN64" t="e">
        <f t="shared" si="47"/>
        <v>#VALUE!</v>
      </c>
    </row>
    <row r="65" spans="1:40" x14ac:dyDescent="0.25">
      <c r="A65" s="335">
        <v>60000</v>
      </c>
      <c r="B65" s="352">
        <f t="shared" si="17"/>
        <v>60</v>
      </c>
      <c r="C65" t="str">
        <f t="shared" si="30"/>
        <v>376991.118i</v>
      </c>
      <c r="D65" s="30" t="str">
        <f t="shared" si="31"/>
        <v>-142122303050.89</v>
      </c>
      <c r="E65" s="30" t="str">
        <f t="shared" si="32"/>
        <v>-53578845919889800i</v>
      </c>
      <c r="G65" s="30" t="e">
        <f t="shared" si="33"/>
        <v>#VALUE!</v>
      </c>
      <c r="I65" s="30" t="e">
        <f t="shared" si="34"/>
        <v>#REF!</v>
      </c>
      <c r="J65" t="e">
        <f t="shared" si="18"/>
        <v>#REF!</v>
      </c>
      <c r="L65" s="30" t="e">
        <f t="shared" si="35"/>
        <v>#VALUE!</v>
      </c>
      <c r="M65" t="e">
        <f t="shared" si="36"/>
        <v>#VALUE!</v>
      </c>
      <c r="N65" t="e">
        <f t="shared" si="48"/>
        <v>#REF!</v>
      </c>
      <c r="O65" s="299" t="e">
        <f t="shared" si="49"/>
        <v>#VALUE!</v>
      </c>
      <c r="P65" s="651">
        <v>0</v>
      </c>
      <c r="Q65" s="397" t="str">
        <f t="shared" si="37"/>
        <v>1+0.1319468913i</v>
      </c>
      <c r="R65" s="397" t="str">
        <f t="shared" si="38"/>
        <v>-0.00599332970459887i</v>
      </c>
      <c r="S65" s="397" t="str">
        <f t="shared" si="39"/>
        <v>-0.14206545412967</v>
      </c>
      <c r="T65" s="397" t="str">
        <f t="shared" si="50"/>
        <v>0.85793454587033+0.125953561595401i</v>
      </c>
      <c r="U65" s="652">
        <v>1</v>
      </c>
      <c r="V65">
        <f t="shared" si="40"/>
        <v>1</v>
      </c>
      <c r="W65">
        <f t="shared" si="23"/>
        <v>0</v>
      </c>
      <c r="X65">
        <f t="shared" si="41"/>
        <v>0</v>
      </c>
      <c r="Z65" t="str">
        <f t="shared" si="42"/>
        <v>1.1631003258263-0.0169590294511739i</v>
      </c>
      <c r="AA65">
        <f t="shared" si="24"/>
        <v>1.3132667689997053</v>
      </c>
      <c r="AB65">
        <f t="shared" si="43"/>
        <v>-0.83536384612322845</v>
      </c>
      <c r="AD65" s="30" t="str">
        <f t="shared" si="44"/>
        <v>7.53982236i</v>
      </c>
      <c r="AE65" s="30" t="str">
        <f t="shared" si="25"/>
        <v>1+7.53982236i</v>
      </c>
      <c r="AF65" s="30" t="e">
        <f t="shared" si="45"/>
        <v>#VALUE!</v>
      </c>
      <c r="AG65" t="e">
        <f t="shared" si="46"/>
        <v>#VALUE!</v>
      </c>
      <c r="AH65" t="str">
        <f t="shared" si="26"/>
        <v>1+7.53982236i</v>
      </c>
      <c r="AI65" s="299" t="e">
        <f t="shared" si="27"/>
        <v>#VALUE!</v>
      </c>
      <c r="AK65" t="e">
        <f t="shared" si="28"/>
        <v>#VALUE!</v>
      </c>
      <c r="AM65" t="e">
        <f t="shared" si="29"/>
        <v>#VALUE!</v>
      </c>
      <c r="AN65" t="e">
        <f t="shared" si="47"/>
        <v>#VALUE!</v>
      </c>
    </row>
    <row r="66" spans="1:40" x14ac:dyDescent="0.25">
      <c r="A66" s="335">
        <v>65000</v>
      </c>
      <c r="B66" s="352">
        <f t="shared" si="17"/>
        <v>65</v>
      </c>
      <c r="C66" t="str">
        <f t="shared" si="30"/>
        <v>408407.0445i</v>
      </c>
      <c r="D66" s="30" t="str">
        <f t="shared" si="31"/>
        <v>-166796313997.225</v>
      </c>
      <c r="E66" s="30" t="str">
        <f t="shared" si="32"/>
        <v>-68120789633100600i</v>
      </c>
      <c r="G66" s="30" t="e">
        <f t="shared" si="33"/>
        <v>#VALUE!</v>
      </c>
      <c r="I66" s="30" t="e">
        <f t="shared" si="34"/>
        <v>#REF!</v>
      </c>
      <c r="J66" t="e">
        <f t="shared" si="18"/>
        <v>#REF!</v>
      </c>
      <c r="L66" s="30" t="e">
        <f t="shared" si="35"/>
        <v>#VALUE!</v>
      </c>
      <c r="M66" t="e">
        <f t="shared" si="36"/>
        <v>#VALUE!</v>
      </c>
      <c r="N66" t="e">
        <f t="shared" si="48"/>
        <v>#REF!</v>
      </c>
      <c r="O66" s="299" t="e">
        <f t="shared" si="49"/>
        <v>#VALUE!</v>
      </c>
      <c r="P66" s="651">
        <v>0</v>
      </c>
      <c r="Q66" s="397" t="str">
        <f t="shared" si="37"/>
        <v>1+0.142942465575i</v>
      </c>
      <c r="R66" s="397" t="str">
        <f t="shared" si="38"/>
        <v>-0.00761999152835863i</v>
      </c>
      <c r="S66" s="397" t="str">
        <f t="shared" si="39"/>
        <v>-0.166729595471626</v>
      </c>
      <c r="T66" s="397" t="str">
        <f t="shared" si="50"/>
        <v>0.833270404528374+0.135322474046641i</v>
      </c>
      <c r="U66" s="652">
        <v>1</v>
      </c>
      <c r="V66">
        <f t="shared" si="40"/>
        <v>1</v>
      </c>
      <c r="W66">
        <f t="shared" si="23"/>
        <v>0</v>
      </c>
      <c r="X66">
        <f t="shared" si="41"/>
        <v>0</v>
      </c>
      <c r="Z66" t="str">
        <f t="shared" si="42"/>
        <v>1.19639605981863-0.0227498889631618i</v>
      </c>
      <c r="AA66">
        <f t="shared" si="24"/>
        <v>1.5590695347266561</v>
      </c>
      <c r="AB66">
        <f t="shared" si="43"/>
        <v>-1.0893679748558442</v>
      </c>
      <c r="AD66" s="30" t="str">
        <f t="shared" si="44"/>
        <v>8.16814089i</v>
      </c>
      <c r="AE66" s="30" t="str">
        <f t="shared" si="25"/>
        <v>1+8.16814089i</v>
      </c>
      <c r="AF66" s="30" t="e">
        <f t="shared" si="45"/>
        <v>#VALUE!</v>
      </c>
      <c r="AG66" t="e">
        <f t="shared" si="46"/>
        <v>#VALUE!</v>
      </c>
      <c r="AH66" t="str">
        <f t="shared" si="26"/>
        <v>1+8.16814089i</v>
      </c>
      <c r="AI66" s="299" t="e">
        <f t="shared" si="27"/>
        <v>#VALUE!</v>
      </c>
      <c r="AK66" t="e">
        <f t="shared" si="28"/>
        <v>#VALUE!</v>
      </c>
      <c r="AM66" t="e">
        <f t="shared" si="29"/>
        <v>#VALUE!</v>
      </c>
      <c r="AN66" t="e">
        <f t="shared" si="47"/>
        <v>#VALUE!</v>
      </c>
    </row>
    <row r="67" spans="1:40" x14ac:dyDescent="0.25">
      <c r="A67" s="335">
        <v>70000</v>
      </c>
      <c r="B67" s="352">
        <f t="shared" si="17"/>
        <v>70</v>
      </c>
      <c r="C67" t="str">
        <f t="shared" si="30"/>
        <v>439822.971i</v>
      </c>
      <c r="D67" s="30" t="str">
        <f t="shared" si="31"/>
        <v>-193444245819.267</v>
      </c>
      <c r="E67" s="30" t="str">
        <f t="shared" si="32"/>
        <v>-85081222919084300i</v>
      </c>
      <c r="G67" s="30" t="e">
        <f t="shared" si="33"/>
        <v>#VALUE!</v>
      </c>
      <c r="I67" s="30" t="e">
        <f t="shared" si="34"/>
        <v>#REF!</v>
      </c>
      <c r="J67" t="e">
        <f t="shared" si="18"/>
        <v>#REF!</v>
      </c>
      <c r="L67" s="30" t="e">
        <f t="shared" si="35"/>
        <v>#VALUE!</v>
      </c>
      <c r="M67" t="e">
        <f t="shared" si="36"/>
        <v>#VALUE!</v>
      </c>
      <c r="N67" t="e">
        <f t="shared" si="48"/>
        <v>#REF!</v>
      </c>
      <c r="O67" s="299" t="e">
        <f t="shared" si="49"/>
        <v>#VALUE!</v>
      </c>
      <c r="P67" s="651">
        <v>0</v>
      </c>
      <c r="Q67" s="397" t="str">
        <f t="shared" si="37"/>
        <v>1+0.15393803985i</v>
      </c>
      <c r="R67" s="397" t="str">
        <f t="shared" si="38"/>
        <v>-0.00951718559572877i</v>
      </c>
      <c r="S67" s="397" t="str">
        <f t="shared" si="39"/>
        <v>-0.193366868120939</v>
      </c>
      <c r="T67" s="397" t="str">
        <f t="shared" si="50"/>
        <v>0.806633131879061+0.144420854254271i</v>
      </c>
      <c r="U67" s="652">
        <v>1</v>
      </c>
      <c r="V67">
        <f t="shared" si="40"/>
        <v>1</v>
      </c>
      <c r="W67">
        <f t="shared" si="23"/>
        <v>0</v>
      </c>
      <c r="X67">
        <f t="shared" si="41"/>
        <v>0</v>
      </c>
      <c r="Z67" t="str">
        <f t="shared" si="42"/>
        <v>1.23432201043572-0.0301547238275632i</v>
      </c>
      <c r="AA67">
        <f t="shared" si="24"/>
        <v>1.8311607132208529</v>
      </c>
      <c r="AB67">
        <f t="shared" si="43"/>
        <v>-1.3994685289579945</v>
      </c>
      <c r="AD67" s="30" t="str">
        <f t="shared" si="44"/>
        <v>8.79645942i</v>
      </c>
      <c r="AE67" s="30" t="str">
        <f t="shared" si="25"/>
        <v>1+8.79645942i</v>
      </c>
      <c r="AF67" s="30" t="e">
        <f t="shared" si="45"/>
        <v>#VALUE!</v>
      </c>
      <c r="AG67" t="e">
        <f t="shared" si="46"/>
        <v>#VALUE!</v>
      </c>
      <c r="AH67" t="str">
        <f t="shared" si="26"/>
        <v>1+8.79645942i</v>
      </c>
      <c r="AI67" s="299" t="e">
        <f t="shared" si="27"/>
        <v>#VALUE!</v>
      </c>
      <c r="AK67" t="e">
        <f t="shared" si="28"/>
        <v>#VALUE!</v>
      </c>
      <c r="AM67" t="e">
        <f t="shared" si="29"/>
        <v>#VALUE!</v>
      </c>
      <c r="AN67" t="e">
        <f t="shared" si="47"/>
        <v>#VALUE!</v>
      </c>
    </row>
    <row r="68" spans="1:40" x14ac:dyDescent="0.25">
      <c r="A68" s="335">
        <v>75000</v>
      </c>
      <c r="B68" s="352">
        <f t="shared" si="17"/>
        <v>75</v>
      </c>
      <c r="C68" t="str">
        <f t="shared" si="30"/>
        <v>471238.8975i</v>
      </c>
      <c r="D68" s="30" t="str">
        <f t="shared" si="31"/>
        <v>-222066098517.016</v>
      </c>
      <c r="E68" s="30" t="str">
        <f t="shared" si="32"/>
        <v>-104646183437285000i</v>
      </c>
      <c r="G68" s="30" t="e">
        <f t="shared" si="33"/>
        <v>#VALUE!</v>
      </c>
      <c r="I68" s="30" t="e">
        <f t="shared" si="34"/>
        <v>#REF!</v>
      </c>
      <c r="J68" t="e">
        <f t="shared" si="18"/>
        <v>#REF!</v>
      </c>
      <c r="L68" s="30" t="e">
        <f t="shared" si="35"/>
        <v>#VALUE!</v>
      </c>
      <c r="M68" t="e">
        <f t="shared" si="36"/>
        <v>#VALUE!</v>
      </c>
      <c r="N68" t="e">
        <f t="shared" si="48"/>
        <v>#REF!</v>
      </c>
      <c r="O68" s="299" t="e">
        <f t="shared" si="49"/>
        <v>#VALUE!</v>
      </c>
      <c r="P68" s="651">
        <v>0</v>
      </c>
      <c r="Q68" s="397" t="str">
        <f t="shared" si="37"/>
        <v>1+0.164933614125i</v>
      </c>
      <c r="R68" s="397" t="str">
        <f t="shared" si="38"/>
        <v>-0.0117057220792947i</v>
      </c>
      <c r="S68" s="397" t="str">
        <f t="shared" si="39"/>
        <v>-0.221977272077609</v>
      </c>
      <c r="T68" s="397" t="str">
        <f t="shared" si="50"/>
        <v>0.778022727922391+0.153227892045705i</v>
      </c>
      <c r="U68" s="652">
        <v>1</v>
      </c>
      <c r="V68">
        <f t="shared" si="40"/>
        <v>1</v>
      </c>
      <c r="W68">
        <f t="shared" si="23"/>
        <v>0</v>
      </c>
      <c r="X68">
        <f t="shared" si="41"/>
        <v>0</v>
      </c>
      <c r="Z68" t="str">
        <f t="shared" si="42"/>
        <v>1.27750877655212-0.0396085636961541i</v>
      </c>
      <c r="AA68">
        <f t="shared" si="24"/>
        <v>2.1314506343374608</v>
      </c>
      <c r="AB68">
        <f t="shared" si="43"/>
        <v>-1.775860031243816</v>
      </c>
      <c r="AD68" s="30" t="str">
        <f t="shared" si="44"/>
        <v>9.42477795i</v>
      </c>
      <c r="AE68" s="30" t="str">
        <f t="shared" si="25"/>
        <v>1+9.42477795i</v>
      </c>
      <c r="AF68" s="30" t="e">
        <f t="shared" si="45"/>
        <v>#VALUE!</v>
      </c>
      <c r="AG68" t="e">
        <f t="shared" si="46"/>
        <v>#VALUE!</v>
      </c>
      <c r="AH68" t="str">
        <f t="shared" si="26"/>
        <v>1+9.42477795i</v>
      </c>
      <c r="AI68" s="299" t="e">
        <f t="shared" si="27"/>
        <v>#VALUE!</v>
      </c>
      <c r="AK68" t="e">
        <f t="shared" si="28"/>
        <v>#VALUE!</v>
      </c>
      <c r="AM68" t="e">
        <f t="shared" si="29"/>
        <v>#VALUE!</v>
      </c>
      <c r="AN68" t="e">
        <f t="shared" si="47"/>
        <v>#VALUE!</v>
      </c>
    </row>
    <row r="69" spans="1:40" x14ac:dyDescent="0.25">
      <c r="A69" s="335">
        <v>80000</v>
      </c>
      <c r="B69" s="352">
        <f t="shared" si="17"/>
        <v>80</v>
      </c>
      <c r="C69" t="str">
        <f t="shared" si="30"/>
        <v>502654.824i</v>
      </c>
      <c r="D69" s="30" t="str">
        <f t="shared" si="31"/>
        <v>-252661872090.471</v>
      </c>
      <c r="E69" s="30" t="str">
        <f t="shared" si="32"/>
        <v>-127001708847146000i</v>
      </c>
      <c r="G69" s="30" t="e">
        <f t="shared" si="33"/>
        <v>#VALUE!</v>
      </c>
      <c r="I69" s="30" t="e">
        <f t="shared" si="34"/>
        <v>#REF!</v>
      </c>
      <c r="J69" t="e">
        <f t="shared" si="18"/>
        <v>#REF!</v>
      </c>
      <c r="L69" s="30" t="e">
        <f t="shared" si="35"/>
        <v>#VALUE!</v>
      </c>
      <c r="M69" t="e">
        <f t="shared" si="36"/>
        <v>#VALUE!</v>
      </c>
      <c r="N69" t="e">
        <f t="shared" si="19"/>
        <v>#REF!</v>
      </c>
      <c r="O69" s="299" t="e">
        <f t="shared" si="20"/>
        <v>#VALUE!</v>
      </c>
      <c r="P69" s="651">
        <v>0</v>
      </c>
      <c r="Q69" s="397" t="str">
        <f t="shared" si="37"/>
        <v>1+0.1759291884i</v>
      </c>
      <c r="R69" s="397" t="str">
        <f t="shared" si="38"/>
        <v>-0.0142064111516417i</v>
      </c>
      <c r="S69" s="397" t="str">
        <f t="shared" si="39"/>
        <v>-0.252560807341635</v>
      </c>
      <c r="T69" s="397" t="str">
        <f t="shared" si="21"/>
        <v>0.747439192658365+0.161722777248358i</v>
      </c>
      <c r="U69" s="652">
        <v>1</v>
      </c>
      <c r="V69">
        <f t="shared" si="40"/>
        <v>1</v>
      </c>
      <c r="W69">
        <f t="shared" si="23"/>
        <v>0</v>
      </c>
      <c r="X69">
        <f t="shared" si="41"/>
        <v>0</v>
      </c>
      <c r="Z69" t="str">
        <f t="shared" si="42"/>
        <v>1.32671843606306-0.0516850094110243i</v>
      </c>
      <c r="AA69">
        <f t="shared" si="24"/>
        <v>2.4621613570964245</v>
      </c>
      <c r="AB69">
        <f t="shared" si="43"/>
        <v>-2.2309452403961947</v>
      </c>
      <c r="AD69" s="30" t="str">
        <f t="shared" si="44"/>
        <v>10.05309648i</v>
      </c>
      <c r="AE69" s="30" t="str">
        <f t="shared" si="25"/>
        <v>1+10.05309648i</v>
      </c>
      <c r="AF69" s="30" t="e">
        <f t="shared" si="45"/>
        <v>#VALUE!</v>
      </c>
      <c r="AG69" t="e">
        <f t="shared" si="46"/>
        <v>#VALUE!</v>
      </c>
      <c r="AH69" t="str">
        <f t="shared" si="26"/>
        <v>1+10.05309648i</v>
      </c>
      <c r="AI69" s="299" t="e">
        <f t="shared" si="27"/>
        <v>#VALUE!</v>
      </c>
      <c r="AK69" t="e">
        <f t="shared" si="28"/>
        <v>#VALUE!</v>
      </c>
      <c r="AM69" t="e">
        <f t="shared" si="29"/>
        <v>#VALUE!</v>
      </c>
      <c r="AN69" t="e">
        <f t="shared" si="47"/>
        <v>#VALUE!</v>
      </c>
    </row>
    <row r="70" spans="1:40" x14ac:dyDescent="0.25">
      <c r="A70" s="335">
        <v>90000</v>
      </c>
      <c r="B70" s="352">
        <f t="shared" si="17"/>
        <v>90</v>
      </c>
      <c r="C70" t="str">
        <f t="shared" si="30"/>
        <v>565486.677i</v>
      </c>
      <c r="D70" s="30" t="str">
        <f t="shared" si="31"/>
        <v>-319775181864.502</v>
      </c>
      <c r="E70" s="30" t="str">
        <f t="shared" si="32"/>
        <v>-180828604979628000i</v>
      </c>
      <c r="G70" s="30" t="e">
        <f t="shared" si="33"/>
        <v>#VALUE!</v>
      </c>
      <c r="I70" s="30" t="e">
        <f t="shared" si="34"/>
        <v>#REF!</v>
      </c>
      <c r="J70" t="e">
        <f t="shared" si="18"/>
        <v>#REF!</v>
      </c>
      <c r="L70" s="30" t="e">
        <f t="shared" si="35"/>
        <v>#VALUE!</v>
      </c>
      <c r="M70" t="e">
        <f t="shared" si="36"/>
        <v>#VALUE!</v>
      </c>
      <c r="N70" t="e">
        <f t="shared" si="19"/>
        <v>#REF!</v>
      </c>
      <c r="O70" s="299" t="e">
        <f t="shared" si="20"/>
        <v>#VALUE!</v>
      </c>
      <c r="P70" s="651">
        <v>0</v>
      </c>
      <c r="Q70" s="397" t="str">
        <f t="shared" si="37"/>
        <v>1+0.19792033695i</v>
      </c>
      <c r="R70" s="397" t="str">
        <f t="shared" si="38"/>
        <v>-0.0202274877530212i</v>
      </c>
      <c r="S70" s="397" t="str">
        <f t="shared" si="39"/>
        <v>-0.319647271791756</v>
      </c>
      <c r="T70" s="397" t="str">
        <f t="shared" si="21"/>
        <v>0.680352728208244+0.177692849196979i</v>
      </c>
      <c r="U70" s="652">
        <v>1</v>
      </c>
      <c r="V70">
        <f t="shared" si="40"/>
        <v>1</v>
      </c>
      <c r="W70">
        <f t="shared" si="23"/>
        <v>0</v>
      </c>
      <c r="X70">
        <f t="shared" si="41"/>
        <v>0</v>
      </c>
      <c r="Z70" t="str">
        <f t="shared" si="42"/>
        <v>1.44709298035524-0.0870397594174791i</v>
      </c>
      <c r="AA70">
        <f t="shared" si="24"/>
        <v>3.2256122149724868</v>
      </c>
      <c r="AB70">
        <f t="shared" si="43"/>
        <v>-3.4420800766964819</v>
      </c>
      <c r="AD70" s="30" t="str">
        <f t="shared" si="44"/>
        <v>11.30973354i</v>
      </c>
      <c r="AE70" s="30" t="str">
        <f t="shared" si="25"/>
        <v>1+11.30973354i</v>
      </c>
      <c r="AF70" s="30" t="e">
        <f t="shared" si="45"/>
        <v>#VALUE!</v>
      </c>
      <c r="AG70" t="e">
        <f t="shared" si="46"/>
        <v>#VALUE!</v>
      </c>
      <c r="AH70" t="str">
        <f t="shared" si="26"/>
        <v>1+11.30973354i</v>
      </c>
      <c r="AI70" s="299" t="e">
        <f t="shared" si="27"/>
        <v>#VALUE!</v>
      </c>
      <c r="AK70" t="e">
        <f t="shared" si="28"/>
        <v>#VALUE!</v>
      </c>
      <c r="AM70" t="e">
        <f t="shared" si="29"/>
        <v>#VALUE!</v>
      </c>
      <c r="AN70" t="e">
        <f t="shared" si="47"/>
        <v>#VALUE!</v>
      </c>
    </row>
    <row r="71" spans="1:40" x14ac:dyDescent="0.25">
      <c r="A71" s="335">
        <v>100000</v>
      </c>
      <c r="B71" s="352">
        <f t="shared" si="17"/>
        <v>100</v>
      </c>
      <c r="C71" t="str">
        <f t="shared" si="30"/>
        <v>628318.53i</v>
      </c>
      <c r="D71" s="30" t="str">
        <f t="shared" si="31"/>
        <v>-394784175141.361</v>
      </c>
      <c r="E71" s="30" t="str">
        <f t="shared" si="32"/>
        <v>-248050212592082000i</v>
      </c>
      <c r="G71" s="30" t="e">
        <f t="shared" si="33"/>
        <v>#VALUE!</v>
      </c>
      <c r="I71" s="30" t="e">
        <f t="shared" si="34"/>
        <v>#REF!</v>
      </c>
      <c r="J71" t="e">
        <f t="shared" si="18"/>
        <v>#REF!</v>
      </c>
      <c r="L71" s="30" t="e">
        <f t="shared" si="35"/>
        <v>#VALUE!</v>
      </c>
      <c r="M71" t="e">
        <f t="shared" si="36"/>
        <v>#VALUE!</v>
      </c>
      <c r="N71" t="e">
        <f t="shared" si="19"/>
        <v>#REF!</v>
      </c>
      <c r="O71" s="299" t="e">
        <f t="shared" si="20"/>
        <v>#VALUE!</v>
      </c>
      <c r="P71" s="651">
        <v>0</v>
      </c>
      <c r="Q71" s="397" t="str">
        <f t="shared" si="37"/>
        <v>1+0.2199114855i</v>
      </c>
      <c r="R71" s="397" t="str">
        <f t="shared" si="38"/>
        <v>-0.0277468967805503i</v>
      </c>
      <c r="S71" s="397" t="str">
        <f t="shared" si="39"/>
        <v>-0.394626261471305</v>
      </c>
      <c r="T71" s="397" t="str">
        <f t="shared" si="21"/>
        <v>0.605373738528695+0.19216458871945i</v>
      </c>
      <c r="U71" s="652">
        <v>1</v>
      </c>
      <c r="V71">
        <f t="shared" si="40"/>
        <v>1</v>
      </c>
      <c r="W71">
        <f t="shared" si="23"/>
        <v>0</v>
      </c>
      <c r="X71">
        <f t="shared" si="41"/>
        <v>0</v>
      </c>
      <c r="Z71" t="str">
        <f t="shared" si="42"/>
        <v>1.60541786286688-0.146344269997555i</v>
      </c>
      <c r="AA71">
        <f t="shared" si="24"/>
        <v>4.1477004385549856</v>
      </c>
      <c r="AB71">
        <f t="shared" si="43"/>
        <v>-5.208487782900634</v>
      </c>
      <c r="AD71" s="30" t="str">
        <f t="shared" si="44"/>
        <v>12.5663706i</v>
      </c>
      <c r="AE71" s="30" t="str">
        <f t="shared" si="25"/>
        <v>1+12.5663706i</v>
      </c>
      <c r="AF71" s="30" t="e">
        <f t="shared" si="45"/>
        <v>#VALUE!</v>
      </c>
      <c r="AG71" t="e">
        <f t="shared" si="46"/>
        <v>#VALUE!</v>
      </c>
      <c r="AH71" t="str">
        <f t="shared" si="26"/>
        <v>1+12.5663706i</v>
      </c>
      <c r="AI71" s="299" t="e">
        <f t="shared" si="27"/>
        <v>#VALUE!</v>
      </c>
      <c r="AK71" t="e">
        <f t="shared" si="28"/>
        <v>#VALUE!</v>
      </c>
      <c r="AM71" t="e">
        <f t="shared" si="29"/>
        <v>#VALUE!</v>
      </c>
      <c r="AN71" t="e">
        <f t="shared" si="47"/>
        <v>#VALUE!</v>
      </c>
    </row>
    <row r="72" spans="1:40" x14ac:dyDescent="0.25">
      <c r="A72" s="335">
        <v>110000</v>
      </c>
      <c r="B72" s="352">
        <f t="shared" si="17"/>
        <v>110</v>
      </c>
      <c r="C72" t="str">
        <f t="shared" si="30"/>
        <v>691150.383i</v>
      </c>
      <c r="D72" s="30" t="str">
        <f t="shared" si="31"/>
        <v>-477688851921.047</v>
      </c>
      <c r="E72" s="30" t="str">
        <f t="shared" si="32"/>
        <v>-330154832960062000i</v>
      </c>
      <c r="G72" s="30" t="e">
        <f t="shared" si="33"/>
        <v>#VALUE!</v>
      </c>
      <c r="I72" s="30" t="e">
        <f t="shared" si="34"/>
        <v>#REF!</v>
      </c>
      <c r="J72" t="e">
        <f t="shared" si="18"/>
        <v>#REF!</v>
      </c>
      <c r="L72" s="30" t="e">
        <f t="shared" si="35"/>
        <v>#VALUE!</v>
      </c>
      <c r="M72" t="e">
        <f t="shared" si="36"/>
        <v>#VALUE!</v>
      </c>
      <c r="N72" t="e">
        <f t="shared" ref="N72:N78" si="51">J72</f>
        <v>#REF!</v>
      </c>
      <c r="O72" s="299" t="e">
        <f t="shared" ref="O72:O78" si="52">IMSUM(L72:N72)</f>
        <v>#VALUE!</v>
      </c>
      <c r="P72" s="651">
        <v>1</v>
      </c>
      <c r="Q72" s="397" t="str">
        <f t="shared" si="37"/>
        <v>1+0.24190263405i</v>
      </c>
      <c r="R72" s="397" t="str">
        <f t="shared" si="38"/>
        <v>-0.0369311196149125i</v>
      </c>
      <c r="S72" s="397" t="str">
        <f t="shared" si="39"/>
        <v>-0.477497776380279</v>
      </c>
      <c r="T72" s="397" t="str">
        <f t="shared" ref="T72:T78" si="53">IMSUM(S72,R72,Q72)</f>
        <v>0.522502223619721+0.204971514435088i</v>
      </c>
      <c r="U72" s="652">
        <v>1</v>
      </c>
      <c r="V72">
        <f t="shared" si="40"/>
        <v>1</v>
      </c>
      <c r="W72">
        <f t="shared" si="23"/>
        <v>0</v>
      </c>
      <c r="X72">
        <f t="shared" si="41"/>
        <v>0</v>
      </c>
      <c r="Z72" t="str">
        <f t="shared" si="42"/>
        <v>1.81601781079008-0.249432980334241i</v>
      </c>
      <c r="AA72">
        <f t="shared" si="24"/>
        <v>5.2635704959533189</v>
      </c>
      <c r="AB72">
        <f t="shared" si="43"/>
        <v>-7.8207323086855629</v>
      </c>
      <c r="AD72" s="30" t="str">
        <f t="shared" si="44"/>
        <v>13.82300766i</v>
      </c>
      <c r="AE72" s="30" t="str">
        <f t="shared" si="25"/>
        <v>1+13.82300766i</v>
      </c>
      <c r="AF72" s="30" t="e">
        <f t="shared" si="45"/>
        <v>#VALUE!</v>
      </c>
      <c r="AG72" t="e">
        <f t="shared" si="46"/>
        <v>#VALUE!</v>
      </c>
      <c r="AH72" t="str">
        <f t="shared" si="26"/>
        <v>1+13.82300766i</v>
      </c>
      <c r="AI72" s="299" t="e">
        <f t="shared" si="27"/>
        <v>#VALUE!</v>
      </c>
      <c r="AK72" t="e">
        <f t="shared" si="28"/>
        <v>#VALUE!</v>
      </c>
      <c r="AM72" t="e">
        <f t="shared" si="29"/>
        <v>#VALUE!</v>
      </c>
      <c r="AN72" t="e">
        <f t="shared" si="47"/>
        <v>#VALUE!</v>
      </c>
    </row>
    <row r="73" spans="1:40" x14ac:dyDescent="0.25">
      <c r="A73" s="335">
        <v>120000</v>
      </c>
      <c r="B73" s="352">
        <f t="shared" si="17"/>
        <v>120</v>
      </c>
      <c r="C73" t="str">
        <f t="shared" si="30"/>
        <v>753982.236i</v>
      </c>
      <c r="D73" s="30" t="str">
        <f t="shared" si="31"/>
        <v>-568489212203.56</v>
      </c>
      <c r="E73" s="30" t="str">
        <f t="shared" si="32"/>
        <v>-428630767359118000i</v>
      </c>
      <c r="G73" s="30" t="e">
        <f t="shared" si="33"/>
        <v>#VALUE!</v>
      </c>
      <c r="I73" s="30" t="e">
        <f t="shared" si="34"/>
        <v>#REF!</v>
      </c>
      <c r="J73" t="e">
        <f t="shared" si="18"/>
        <v>#REF!</v>
      </c>
      <c r="L73" s="30" t="e">
        <f t="shared" si="35"/>
        <v>#VALUE!</v>
      </c>
      <c r="M73" t="e">
        <f t="shared" si="36"/>
        <v>#VALUE!</v>
      </c>
      <c r="N73" t="e">
        <f t="shared" si="51"/>
        <v>#REF!</v>
      </c>
      <c r="O73" s="299" t="e">
        <f t="shared" si="52"/>
        <v>#VALUE!</v>
      </c>
      <c r="P73" s="651">
        <v>2</v>
      </c>
      <c r="Q73" s="397" t="str">
        <f t="shared" si="37"/>
        <v>1+0.2638937826i</v>
      </c>
      <c r="R73" s="397" t="str">
        <f t="shared" si="38"/>
        <v>-0.0479466376367909i</v>
      </c>
      <c r="S73" s="397" t="str">
        <f t="shared" si="39"/>
        <v>-0.568261816518679</v>
      </c>
      <c r="T73" s="397" t="str">
        <f t="shared" si="53"/>
        <v>0.431738183481321+0.215947144963209i</v>
      </c>
      <c r="U73" s="652">
        <v>1</v>
      </c>
      <c r="V73">
        <f t="shared" si="40"/>
        <v>1</v>
      </c>
      <c r="W73">
        <f t="shared" si="23"/>
        <v>0</v>
      </c>
      <c r="X73">
        <f t="shared" si="41"/>
        <v>0</v>
      </c>
      <c r="Z73" t="str">
        <f t="shared" si="42"/>
        <v>2.09725415352119-0.43777055480966i</v>
      </c>
      <c r="AA73">
        <f t="shared" si="24"/>
        <v>6.6182385434260986</v>
      </c>
      <c r="AB73">
        <f t="shared" si="43"/>
        <v>-11.79034914070173</v>
      </c>
      <c r="AD73" s="30" t="str">
        <f t="shared" si="44"/>
        <v>15.07964472i</v>
      </c>
      <c r="AE73" s="30" t="str">
        <f t="shared" si="25"/>
        <v>1+15.07964472i</v>
      </c>
      <c r="AF73" s="30" t="e">
        <f t="shared" si="45"/>
        <v>#VALUE!</v>
      </c>
      <c r="AG73" t="e">
        <f t="shared" si="46"/>
        <v>#VALUE!</v>
      </c>
      <c r="AH73" t="str">
        <f t="shared" si="26"/>
        <v>1+15.07964472i</v>
      </c>
      <c r="AI73" s="299" t="e">
        <f t="shared" si="27"/>
        <v>#VALUE!</v>
      </c>
      <c r="AK73" t="e">
        <f t="shared" si="28"/>
        <v>#VALUE!</v>
      </c>
      <c r="AM73" t="e">
        <f t="shared" si="29"/>
        <v>#VALUE!</v>
      </c>
      <c r="AN73" t="e">
        <f t="shared" si="47"/>
        <v>#VALUE!</v>
      </c>
    </row>
    <row r="74" spans="1:40" x14ac:dyDescent="0.25">
      <c r="A74" s="335">
        <v>130000</v>
      </c>
      <c r="B74" s="352">
        <f t="shared" si="17"/>
        <v>130</v>
      </c>
      <c r="C74" t="str">
        <f t="shared" si="30"/>
        <v>816814.089i</v>
      </c>
      <c r="D74" s="30" t="str">
        <f t="shared" si="31"/>
        <v>-667185255988.9</v>
      </c>
      <c r="E74" s="30" t="str">
        <f t="shared" si="32"/>
        <v>-544966317064805000i</v>
      </c>
      <c r="G74" s="30" t="e">
        <f t="shared" si="33"/>
        <v>#VALUE!</v>
      </c>
      <c r="I74" s="30" t="e">
        <f t="shared" si="34"/>
        <v>#REF!</v>
      </c>
      <c r="J74" t="e">
        <f t="shared" si="18"/>
        <v>#REF!</v>
      </c>
      <c r="L74" s="30" t="e">
        <f t="shared" si="35"/>
        <v>#VALUE!</v>
      </c>
      <c r="M74" t="e">
        <f t="shared" si="36"/>
        <v>#VALUE!</v>
      </c>
      <c r="N74" t="e">
        <f t="shared" si="51"/>
        <v>#REF!</v>
      </c>
      <c r="O74" s="299" t="e">
        <f t="shared" si="52"/>
        <v>#VALUE!</v>
      </c>
      <c r="P74" s="651">
        <v>3</v>
      </c>
      <c r="Q74" s="397" t="str">
        <f t="shared" si="37"/>
        <v>1+0.28588493115i</v>
      </c>
      <c r="R74" s="397" t="str">
        <f t="shared" si="38"/>
        <v>-0.0609599322268691i</v>
      </c>
      <c r="S74" s="397" t="str">
        <f t="shared" si="39"/>
        <v>-0.666918381886505</v>
      </c>
      <c r="T74" s="397" t="str">
        <f t="shared" si="53"/>
        <v>0.333081618113495+0.224924998923131i</v>
      </c>
      <c r="U74" s="652">
        <v>1</v>
      </c>
      <c r="V74">
        <f t="shared" si="40"/>
        <v>1</v>
      </c>
      <c r="W74">
        <f t="shared" si="23"/>
        <v>0</v>
      </c>
      <c r="X74">
        <f t="shared" si="41"/>
        <v>0</v>
      </c>
      <c r="Z74" t="str">
        <f t="shared" si="42"/>
        <v>2.4600564712321-0.802936137717432i</v>
      </c>
      <c r="AA74">
        <f t="shared" si="24"/>
        <v>8.2585333921617039</v>
      </c>
      <c r="AB74">
        <f t="shared" si="43"/>
        <v>-18.076129196132914</v>
      </c>
      <c r="AD74" s="30" t="str">
        <f t="shared" si="44"/>
        <v>16.33628178i</v>
      </c>
      <c r="AE74" s="30" t="str">
        <f t="shared" si="25"/>
        <v>1+16.33628178i</v>
      </c>
      <c r="AF74" s="30" t="e">
        <f t="shared" si="45"/>
        <v>#VALUE!</v>
      </c>
      <c r="AG74" t="e">
        <f t="shared" si="46"/>
        <v>#VALUE!</v>
      </c>
      <c r="AH74" t="str">
        <f t="shared" si="26"/>
        <v>1+16.33628178i</v>
      </c>
      <c r="AI74" s="299" t="e">
        <f t="shared" si="27"/>
        <v>#VALUE!</v>
      </c>
      <c r="AK74" t="e">
        <f t="shared" si="28"/>
        <v>#VALUE!</v>
      </c>
      <c r="AM74" t="e">
        <f t="shared" si="29"/>
        <v>#VALUE!</v>
      </c>
      <c r="AN74" t="e">
        <f t="shared" si="47"/>
        <v>#VALUE!</v>
      </c>
    </row>
    <row r="75" spans="1:40" x14ac:dyDescent="0.25">
      <c r="A75" s="335">
        <v>150000</v>
      </c>
      <c r="B75" s="352">
        <f t="shared" si="17"/>
        <v>150</v>
      </c>
      <c r="C75" t="str">
        <f t="shared" si="30"/>
        <v>942477.795i</v>
      </c>
      <c r="D75" s="30" t="str">
        <f t="shared" si="31"/>
        <v>-888264394068.062</v>
      </c>
      <c r="E75" s="30" t="str">
        <f t="shared" si="32"/>
        <v>-837169467498278000i</v>
      </c>
      <c r="G75" s="30" t="e">
        <f t="shared" si="33"/>
        <v>#VALUE!</v>
      </c>
      <c r="I75" s="30" t="e">
        <f t="shared" si="34"/>
        <v>#REF!</v>
      </c>
      <c r="J75" t="e">
        <f t="shared" si="18"/>
        <v>#REF!</v>
      </c>
      <c r="L75" s="30" t="e">
        <f t="shared" si="35"/>
        <v>#VALUE!</v>
      </c>
      <c r="M75" t="e">
        <f t="shared" si="36"/>
        <v>#VALUE!</v>
      </c>
      <c r="N75" t="e">
        <f t="shared" si="51"/>
        <v>#REF!</v>
      </c>
      <c r="O75" s="299" t="e">
        <f t="shared" si="52"/>
        <v>#VALUE!</v>
      </c>
      <c r="P75" s="651">
        <v>4</v>
      </c>
      <c r="Q75" s="397" t="str">
        <f t="shared" si="37"/>
        <v>1+0.32986722825i</v>
      </c>
      <c r="R75" s="397" t="str">
        <f t="shared" si="38"/>
        <v>-0.0936457766343574i</v>
      </c>
      <c r="S75" s="397" t="str">
        <f t="shared" si="39"/>
        <v>-0.887909088310435</v>
      </c>
      <c r="T75" s="397" t="str">
        <f t="shared" si="53"/>
        <v>0.112090911689565+0.236221451615643i</v>
      </c>
      <c r="U75" s="652">
        <v>1</v>
      </c>
      <c r="V75">
        <f t="shared" si="40"/>
        <v>1</v>
      </c>
      <c r="W75">
        <f t="shared" si="23"/>
        <v>0</v>
      </c>
      <c r="X75">
        <f t="shared" si="41"/>
        <v>0</v>
      </c>
      <c r="Z75" t="str">
        <f t="shared" si="42"/>
        <v>2.77938675294686-2.91445167327342i</v>
      </c>
      <c r="AA75">
        <f t="shared" si="24"/>
        <v>12.100245900170394</v>
      </c>
      <c r="AB75">
        <f t="shared" si="43"/>
        <v>-46.358872275853109</v>
      </c>
      <c r="AD75" s="30" t="str">
        <f t="shared" si="44"/>
        <v>18.8495559i</v>
      </c>
      <c r="AE75" s="30" t="str">
        <f t="shared" si="25"/>
        <v>1+18.8495559i</v>
      </c>
      <c r="AF75" s="30" t="e">
        <f t="shared" si="45"/>
        <v>#VALUE!</v>
      </c>
      <c r="AG75" t="e">
        <f t="shared" si="46"/>
        <v>#VALUE!</v>
      </c>
      <c r="AH75" t="str">
        <f t="shared" si="26"/>
        <v>1+18.8495559i</v>
      </c>
      <c r="AI75" s="299" t="e">
        <f t="shared" si="27"/>
        <v>#VALUE!</v>
      </c>
      <c r="AK75" t="e">
        <f t="shared" si="28"/>
        <v>#VALUE!</v>
      </c>
      <c r="AM75" t="e">
        <f t="shared" si="29"/>
        <v>#VALUE!</v>
      </c>
      <c r="AN75" t="e">
        <f t="shared" si="47"/>
        <v>#VALUE!</v>
      </c>
    </row>
    <row r="76" spans="1:40" x14ac:dyDescent="0.25">
      <c r="A76" s="335">
        <v>160000</v>
      </c>
      <c r="B76" s="352">
        <f t="shared" si="17"/>
        <v>160</v>
      </c>
      <c r="C76" t="str">
        <f t="shared" si="30"/>
        <v>1005309.648i</v>
      </c>
      <c r="D76" s="30" t="str">
        <f t="shared" si="31"/>
        <v>-1010647488361.88</v>
      </c>
      <c r="E76" s="30" t="str">
        <f t="shared" si="32"/>
        <v>-1016013670777170000i</v>
      </c>
      <c r="G76" s="30" t="e">
        <f t="shared" si="33"/>
        <v>#VALUE!</v>
      </c>
      <c r="I76" s="30" t="e">
        <f t="shared" si="34"/>
        <v>#REF!</v>
      </c>
      <c r="J76" t="e">
        <f t="shared" si="18"/>
        <v>#REF!</v>
      </c>
      <c r="L76" s="30" t="e">
        <f t="shared" si="35"/>
        <v>#VALUE!</v>
      </c>
      <c r="M76" t="e">
        <f t="shared" si="36"/>
        <v>#VALUE!</v>
      </c>
      <c r="N76" t="e">
        <f t="shared" si="51"/>
        <v>#REF!</v>
      </c>
      <c r="O76" s="299" t="e">
        <f t="shared" si="52"/>
        <v>#VALUE!</v>
      </c>
      <c r="P76" s="651">
        <v>5</v>
      </c>
      <c r="Q76" s="397" t="str">
        <f t="shared" si="37"/>
        <v>1+0.3518583768i</v>
      </c>
      <c r="R76" s="397" t="str">
        <f t="shared" si="38"/>
        <v>-0.113651289213134i</v>
      </c>
      <c r="S76" s="397" t="str">
        <f t="shared" si="39"/>
        <v>-1.01024322936654</v>
      </c>
      <c r="T76" s="397" t="str">
        <f t="shared" si="53"/>
        <v>-0.01024322936654+0.238207087586866i</v>
      </c>
      <c r="U76" s="652">
        <v>1</v>
      </c>
      <c r="V76">
        <f t="shared" si="40"/>
        <v>1</v>
      </c>
      <c r="W76">
        <f t="shared" si="23"/>
        <v>0</v>
      </c>
      <c r="X76">
        <f t="shared" si="41"/>
        <v>0</v>
      </c>
      <c r="Z76" t="str">
        <f t="shared" si="42"/>
        <v>1.29419724044521-4.25368014631354i</v>
      </c>
      <c r="AA76">
        <f t="shared" si="24"/>
        <v>12.959790177872241</v>
      </c>
      <c r="AB76">
        <f t="shared" si="43"/>
        <v>-73.077431398381563</v>
      </c>
      <c r="AD76" s="30" t="str">
        <f t="shared" si="44"/>
        <v>20.10619296i</v>
      </c>
      <c r="AE76" s="30" t="str">
        <f t="shared" si="25"/>
        <v>1+20.10619296i</v>
      </c>
      <c r="AF76" s="30" t="e">
        <f t="shared" si="45"/>
        <v>#VALUE!</v>
      </c>
      <c r="AG76" t="e">
        <f t="shared" si="46"/>
        <v>#VALUE!</v>
      </c>
      <c r="AH76" t="str">
        <f t="shared" si="26"/>
        <v>1+20.10619296i</v>
      </c>
      <c r="AI76" s="299" t="e">
        <f t="shared" si="27"/>
        <v>#VALUE!</v>
      </c>
      <c r="AK76" t="e">
        <f t="shared" si="28"/>
        <v>#VALUE!</v>
      </c>
      <c r="AM76" t="e">
        <f t="shared" si="29"/>
        <v>#VALUE!</v>
      </c>
      <c r="AN76" t="e">
        <f t="shared" si="47"/>
        <v>#VALUE!</v>
      </c>
    </row>
    <row r="77" spans="1:40" x14ac:dyDescent="0.25">
      <c r="A77" s="335">
        <v>175000</v>
      </c>
      <c r="B77" s="352">
        <f t="shared" si="17"/>
        <v>175</v>
      </c>
      <c r="C77" t="str">
        <f t="shared" ref="C77:C97" si="54">COMPLEX(0,2*Pi*A77)</f>
        <v>1099557.4275i</v>
      </c>
      <c r="D77" s="30" t="str">
        <f t="shared" ref="D77:D97" si="55">COMPLEX(-POWER(2*Pi*A77,2),0)</f>
        <v>-1209026536370.42</v>
      </c>
      <c r="E77" s="30" t="str">
        <f t="shared" ref="E77:E97" si="56">COMPLEX(0,-POWER(2*Pi*A77,3))</f>
        <v>-1329394108110690000i</v>
      </c>
      <c r="G77" s="30" t="e">
        <f t="shared" si="33"/>
        <v>#VALUE!</v>
      </c>
      <c r="I77" s="30" t="e">
        <f t="shared" ref="I77:I97" si="57">IMPRODUCT((RdampSel*CdampSel+RdampSel*CinjSel),C77)</f>
        <v>#REF!</v>
      </c>
      <c r="J77" t="e">
        <f t="shared" si="18"/>
        <v>#REF!</v>
      </c>
      <c r="L77" s="30" t="e">
        <f t="shared" ref="L77:L97" si="58">IMPRODUCT(G77,L_infilterStd*RdampSel*CinjSel*CdampSel,E77)</f>
        <v>#VALUE!</v>
      </c>
      <c r="M77" t="e">
        <f t="shared" ref="M77:M97" si="59">IMPRODUCT(G77,L_infilterStd*CinjSel,D77)</f>
        <v>#VALUE!</v>
      </c>
      <c r="N77" t="e">
        <f t="shared" si="51"/>
        <v>#REF!</v>
      </c>
      <c r="O77" s="299" t="e">
        <f t="shared" si="52"/>
        <v>#VALUE!</v>
      </c>
      <c r="P77" s="651">
        <v>6</v>
      </c>
      <c r="Q77" s="397" t="str">
        <f t="shared" ref="Q77:Q97" si="60">IMSUM(IMPRODUCT(C77,RdampPssv*CdampPssv),1)</f>
        <v>1+0.384845099625i</v>
      </c>
      <c r="R77" s="397" t="str">
        <f t="shared" ref="R77:R97" si="61">IMPRODUCT(RdampPssv*CdampPssv*CfilterPssv*LinfilterPssv,E77)</f>
        <v>-0.148706024933262i</v>
      </c>
      <c r="S77" s="397" t="str">
        <f t="shared" ref="S77:S97" si="62">IMPRODUCT(D77,LinfilterPssv*(CfilterPssv+CdampPssv))</f>
        <v>-1.20854292575587</v>
      </c>
      <c r="T77" s="397" t="str">
        <f t="shared" si="53"/>
        <v>-0.20854292575587+0.236139074691738i</v>
      </c>
      <c r="U77" s="652">
        <v>1</v>
      </c>
      <c r="V77">
        <f t="shared" si="40"/>
        <v>1</v>
      </c>
      <c r="W77">
        <f t="shared" si="23"/>
        <v>0</v>
      </c>
      <c r="X77">
        <f t="shared" si="41"/>
        <v>0</v>
      </c>
      <c r="Z77" t="str">
        <f t="shared" ref="Z77:Z97" si="63">IMDIV(Q77,T77)</f>
        <v>-1.18552956082797-3.18780870043445i</v>
      </c>
      <c r="AA77">
        <f t="shared" si="24"/>
        <v>10.632434371784214</v>
      </c>
      <c r="AB77">
        <f t="shared" ref="AB77:AB97" si="64">IMARGUMENT(Z77)*180/Pi</f>
        <v>-110.39990747553254</v>
      </c>
      <c r="AD77" s="30" t="str">
        <f t="shared" ref="AD77:AD97" si="65">IMPRODUCT((RdampCom*CdampCom+RdampCom*CinjCom),C77)</f>
        <v>21.99114855i</v>
      </c>
      <c r="AE77" s="30" t="str">
        <f t="shared" si="25"/>
        <v>1+21.99114855i</v>
      </c>
      <c r="AF77" s="30" t="e">
        <f t="shared" ref="AF77:AF97" si="66">IMPRODUCT(G77,L_infilterStd*RdampSel*CinjSel*CdampSel,E77)</f>
        <v>#VALUE!</v>
      </c>
      <c r="AG77" t="e">
        <f t="shared" ref="AG77:AG97" si="67">IMPRODUCT(G77,LAEFCom*CinjCom,D77)</f>
        <v>#VALUE!</v>
      </c>
      <c r="AH77" t="str">
        <f t="shared" si="26"/>
        <v>1+21.99114855i</v>
      </c>
      <c r="AI77" s="299" t="e">
        <f t="shared" si="27"/>
        <v>#VALUE!</v>
      </c>
      <c r="AK77" t="e">
        <f t="shared" si="28"/>
        <v>#VALUE!</v>
      </c>
      <c r="AM77" t="e">
        <f t="shared" si="29"/>
        <v>#VALUE!</v>
      </c>
      <c r="AN77" t="e">
        <f t="shared" ref="AN77:AN97" si="68">IMARGUMENT(AK77)*180/Pi</f>
        <v>#VALUE!</v>
      </c>
    </row>
    <row r="78" spans="1:40" x14ac:dyDescent="0.25">
      <c r="A78" s="335">
        <v>190000</v>
      </c>
      <c r="B78" s="352">
        <f t="shared" si="17"/>
        <v>190</v>
      </c>
      <c r="C78" t="str">
        <f t="shared" si="54"/>
        <v>1193805.207i</v>
      </c>
      <c r="D78" s="30" t="str">
        <f t="shared" si="55"/>
        <v>-1425170872260.31</v>
      </c>
      <c r="E78" s="30" t="str">
        <f t="shared" si="56"/>
        <v>-1701376408169090000i</v>
      </c>
      <c r="G78" s="30" t="e">
        <f t="shared" si="33"/>
        <v>#VALUE!</v>
      </c>
      <c r="I78" s="30" t="e">
        <f t="shared" si="57"/>
        <v>#REF!</v>
      </c>
      <c r="J78" t="e">
        <f t="shared" si="18"/>
        <v>#REF!</v>
      </c>
      <c r="L78" s="30" t="e">
        <f t="shared" si="58"/>
        <v>#VALUE!</v>
      </c>
      <c r="M78" t="e">
        <f t="shared" si="59"/>
        <v>#VALUE!</v>
      </c>
      <c r="N78" t="e">
        <f t="shared" si="51"/>
        <v>#REF!</v>
      </c>
      <c r="O78" s="299" t="e">
        <f t="shared" si="52"/>
        <v>#VALUE!</v>
      </c>
      <c r="P78" s="651">
        <v>7</v>
      </c>
      <c r="Q78" s="397" t="str">
        <f t="shared" si="60"/>
        <v>1+0.41783182245i</v>
      </c>
      <c r="R78" s="397" t="str">
        <f t="shared" si="61"/>
        <v>-0.190315965017794i</v>
      </c>
      <c r="S78" s="397" t="str">
        <f t="shared" si="62"/>
        <v>-1.42460080391141</v>
      </c>
      <c r="T78" s="397" t="str">
        <f t="shared" si="53"/>
        <v>-0.42460080391141+0.227515857432206i</v>
      </c>
      <c r="U78" s="652">
        <v>1</v>
      </c>
      <c r="V78">
        <f t="shared" si="40"/>
        <v>1</v>
      </c>
      <c r="W78">
        <f t="shared" si="23"/>
        <v>0</v>
      </c>
      <c r="X78">
        <f t="shared" si="41"/>
        <v>0</v>
      </c>
      <c r="Z78" t="str">
        <f t="shared" si="63"/>
        <v>-1.42011816933091-1.74500664759685i</v>
      </c>
      <c r="AA78">
        <f t="shared" ref="AA78:AA97" si="69">20*LOG10(IMABS(Z78))</f>
        <v>7.0430359282769261</v>
      </c>
      <c r="AB78">
        <f t="shared" si="64"/>
        <v>-129.13932379003126</v>
      </c>
      <c r="AD78" s="30" t="str">
        <f t="shared" si="65"/>
        <v>23.87610414i</v>
      </c>
      <c r="AE78" s="30" t="str">
        <f t="shared" ref="AE78:AE97" si="70">IMSUM(1,AD78)</f>
        <v>1+23.87610414i</v>
      </c>
      <c r="AF78" s="30" t="e">
        <f t="shared" si="66"/>
        <v>#VALUE!</v>
      </c>
      <c r="AG78" t="e">
        <f t="shared" si="67"/>
        <v>#VALUE!</v>
      </c>
      <c r="AH78" t="str">
        <f t="shared" ref="AH78:AH97" si="71">AE78</f>
        <v>1+23.87610414i</v>
      </c>
      <c r="AI78" s="299" t="e">
        <f t="shared" ref="AI78:AI97" si="72">IMSUM(AF78:AH78)</f>
        <v>#VALUE!</v>
      </c>
      <c r="AK78" t="e">
        <f t="shared" ref="AK78:AK97" si="73">IMDIV(AE78,AI78)</f>
        <v>#VALUE!</v>
      </c>
      <c r="AM78" t="e">
        <f t="shared" ref="AM78:AM97" si="74">20*LOG10(IMABS(AK78))</f>
        <v>#VALUE!</v>
      </c>
      <c r="AN78" t="e">
        <f t="shared" si="68"/>
        <v>#VALUE!</v>
      </c>
    </row>
    <row r="79" spans="1:40" x14ac:dyDescent="0.25">
      <c r="A79" s="653">
        <v>200000</v>
      </c>
      <c r="B79" s="352">
        <f t="shared" si="17"/>
        <v>200</v>
      </c>
      <c r="C79" t="str">
        <f t="shared" si="54"/>
        <v>1256637.06i</v>
      </c>
      <c r="D79" s="30" t="str">
        <f t="shared" si="55"/>
        <v>-1579136700565.44</v>
      </c>
      <c r="E79" s="30" t="str">
        <f t="shared" si="56"/>
        <v>-1984401700736660000i</v>
      </c>
      <c r="G79" s="30" t="e">
        <f t="shared" si="33"/>
        <v>#VALUE!</v>
      </c>
      <c r="I79" s="30" t="e">
        <f t="shared" si="57"/>
        <v>#REF!</v>
      </c>
      <c r="J79" t="e">
        <f t="shared" si="18"/>
        <v>#REF!</v>
      </c>
      <c r="L79" s="30" t="e">
        <f t="shared" si="58"/>
        <v>#VALUE!</v>
      </c>
      <c r="M79" t="e">
        <f t="shared" si="59"/>
        <v>#VALUE!</v>
      </c>
      <c r="N79" t="e">
        <f t="shared" si="19"/>
        <v>#REF!</v>
      </c>
      <c r="O79" s="299" t="e">
        <f t="shared" si="20"/>
        <v>#VALUE!</v>
      </c>
      <c r="P79" s="651">
        <v>0</v>
      </c>
      <c r="Q79" s="397" t="str">
        <f t="shared" si="60"/>
        <v>1+0.439822971i</v>
      </c>
      <c r="R79" s="397" t="str">
        <f t="shared" si="61"/>
        <v>-0.221975174244403i</v>
      </c>
      <c r="S79" s="397" t="str">
        <f t="shared" si="62"/>
        <v>-1.57850504588521</v>
      </c>
      <c r="T79" s="397" t="str">
        <f t="shared" si="21"/>
        <v>-0.57850504588521+0.217847796755597i</v>
      </c>
      <c r="U79" s="652">
        <v>1</v>
      </c>
      <c r="V79">
        <f t="shared" si="40"/>
        <v>1</v>
      </c>
      <c r="W79">
        <f t="shared" si="23"/>
        <v>0</v>
      </c>
      <c r="X79">
        <f t="shared" si="41"/>
        <v>0</v>
      </c>
      <c r="Z79" t="str">
        <f t="shared" si="63"/>
        <v>-1.26317208366406-1.23594812428182i</v>
      </c>
      <c r="AA79">
        <f t="shared" si="69"/>
        <v>4.9459582998103908</v>
      </c>
      <c r="AB79">
        <f t="shared" si="64"/>
        <v>-135.6241223057485</v>
      </c>
      <c r="AD79" s="30" t="str">
        <f t="shared" si="65"/>
        <v>25.1327412i</v>
      </c>
      <c r="AE79" s="30" t="str">
        <f t="shared" si="70"/>
        <v>1+25.1327412i</v>
      </c>
      <c r="AF79" s="30" t="e">
        <f t="shared" si="66"/>
        <v>#VALUE!</v>
      </c>
      <c r="AG79" t="e">
        <f t="shared" si="67"/>
        <v>#VALUE!</v>
      </c>
      <c r="AH79" t="str">
        <f t="shared" si="71"/>
        <v>1+25.1327412i</v>
      </c>
      <c r="AI79" s="299" t="e">
        <f t="shared" si="72"/>
        <v>#VALUE!</v>
      </c>
      <c r="AK79" t="e">
        <f t="shared" si="73"/>
        <v>#VALUE!</v>
      </c>
      <c r="AM79" t="e">
        <f t="shared" si="74"/>
        <v>#VALUE!</v>
      </c>
      <c r="AN79" t="e">
        <f t="shared" si="68"/>
        <v>#VALUE!</v>
      </c>
    </row>
    <row r="80" spans="1:40" x14ac:dyDescent="0.25">
      <c r="A80" s="335">
        <v>300000</v>
      </c>
      <c r="B80" s="352">
        <f t="shared" si="17"/>
        <v>300</v>
      </c>
      <c r="C80" t="str">
        <f t="shared" si="54"/>
        <v>1884955.59i</v>
      </c>
      <c r="D80" s="30" t="str">
        <f t="shared" si="55"/>
        <v>-3553057576272.25</v>
      </c>
      <c r="E80" s="30" t="str">
        <f t="shared" si="56"/>
        <v>-6697355739986230000i</v>
      </c>
      <c r="G80" s="30" t="e">
        <f t="shared" si="33"/>
        <v>#VALUE!</v>
      </c>
      <c r="I80" s="30" t="e">
        <f t="shared" si="57"/>
        <v>#REF!</v>
      </c>
      <c r="J80" t="e">
        <f t="shared" si="18"/>
        <v>#REF!</v>
      </c>
      <c r="L80" s="30" t="e">
        <f t="shared" si="58"/>
        <v>#VALUE!</v>
      </c>
      <c r="M80" t="e">
        <f t="shared" si="59"/>
        <v>#VALUE!</v>
      </c>
      <c r="N80" t="e">
        <f t="shared" si="19"/>
        <v>#REF!</v>
      </c>
      <c r="O80" s="299" t="e">
        <f t="shared" si="20"/>
        <v>#VALUE!</v>
      </c>
      <c r="P80" s="651">
        <v>0</v>
      </c>
      <c r="Q80" s="397" t="str">
        <f t="shared" si="60"/>
        <v>1+0.6597344565i</v>
      </c>
      <c r="R80" s="397" t="str">
        <f t="shared" si="61"/>
        <v>-0.74916621307486i</v>
      </c>
      <c r="S80" s="397" t="str">
        <f t="shared" si="62"/>
        <v>-3.55163635324174</v>
      </c>
      <c r="T80" s="397" t="str">
        <f t="shared" si="21"/>
        <v>-2.55163635324174-0.08943175657486i</v>
      </c>
      <c r="U80" s="652">
        <v>1</v>
      </c>
      <c r="V80">
        <f t="shared" si="40"/>
        <v>1</v>
      </c>
      <c r="W80">
        <f t="shared" si="23"/>
        <v>0</v>
      </c>
      <c r="X80">
        <f t="shared" si="41"/>
        <v>0</v>
      </c>
      <c r="Z80" t="str">
        <f t="shared" si="63"/>
        <v>-0.400475408867723-0.244517302172491i</v>
      </c>
      <c r="AA80">
        <f t="shared" si="69"/>
        <v>-6.5724330903943216</v>
      </c>
      <c r="AB80">
        <f t="shared" si="64"/>
        <v>-148.59311414511541</v>
      </c>
      <c r="AD80" s="30" t="str">
        <f t="shared" si="65"/>
        <v>37.6991118i</v>
      </c>
      <c r="AE80" s="30" t="str">
        <f t="shared" si="70"/>
        <v>1+37.6991118i</v>
      </c>
      <c r="AF80" s="30" t="e">
        <f t="shared" si="66"/>
        <v>#VALUE!</v>
      </c>
      <c r="AG80" t="e">
        <f t="shared" si="67"/>
        <v>#VALUE!</v>
      </c>
      <c r="AH80" t="str">
        <f t="shared" si="71"/>
        <v>1+37.6991118i</v>
      </c>
      <c r="AI80" s="299" t="e">
        <f t="shared" si="72"/>
        <v>#VALUE!</v>
      </c>
      <c r="AK80" t="e">
        <f t="shared" si="73"/>
        <v>#VALUE!</v>
      </c>
      <c r="AM80" t="e">
        <f t="shared" si="74"/>
        <v>#VALUE!</v>
      </c>
      <c r="AN80" t="e">
        <f t="shared" si="68"/>
        <v>#VALUE!</v>
      </c>
    </row>
    <row r="81" spans="1:40" x14ac:dyDescent="0.25">
      <c r="A81" s="653">
        <v>400000</v>
      </c>
      <c r="B81" s="352">
        <f t="shared" si="17"/>
        <v>400</v>
      </c>
      <c r="C81" t="str">
        <f t="shared" si="54"/>
        <v>2513274.12i</v>
      </c>
      <c r="D81" s="30" t="str">
        <f t="shared" si="55"/>
        <v>-6316546802261.78</v>
      </c>
      <c r="E81" s="30" t="str">
        <f t="shared" si="56"/>
        <v>-15875213605893300000i</v>
      </c>
      <c r="G81" s="30" t="e">
        <f t="shared" si="33"/>
        <v>#VALUE!</v>
      </c>
      <c r="I81" s="30" t="e">
        <f t="shared" si="57"/>
        <v>#REF!</v>
      </c>
      <c r="J81" t="e">
        <f t="shared" si="18"/>
        <v>#REF!</v>
      </c>
      <c r="L81" s="30" t="e">
        <f t="shared" si="58"/>
        <v>#VALUE!</v>
      </c>
      <c r="M81" t="e">
        <f t="shared" si="59"/>
        <v>#VALUE!</v>
      </c>
      <c r="N81" t="e">
        <f t="shared" si="19"/>
        <v>#REF!</v>
      </c>
      <c r="O81" s="299" t="e">
        <f t="shared" si="20"/>
        <v>#VALUE!</v>
      </c>
      <c r="P81" s="651">
        <v>0</v>
      </c>
      <c r="Q81" s="397" t="str">
        <f t="shared" si="60"/>
        <v>1+0.879645942i</v>
      </c>
      <c r="R81" s="397" t="str">
        <f t="shared" si="61"/>
        <v>-1.77580139395522i</v>
      </c>
      <c r="S81" s="397" t="str">
        <f t="shared" si="62"/>
        <v>-6.31402018354088</v>
      </c>
      <c r="T81" s="397" t="str">
        <f t="shared" si="21"/>
        <v>-5.31402018354088-0.89615545195522i</v>
      </c>
      <c r="U81" s="652">
        <v>1</v>
      </c>
      <c r="V81">
        <f t="shared" si="40"/>
        <v>1</v>
      </c>
      <c r="W81">
        <f t="shared" si="23"/>
        <v>0</v>
      </c>
      <c r="X81">
        <f t="shared" si="41"/>
        <v>0</v>
      </c>
      <c r="Z81" t="str">
        <f t="shared" si="63"/>
        <v>-0.210121191022436-0.130098243366712i</v>
      </c>
      <c r="AA81">
        <f t="shared" si="69"/>
        <v>-12.141260868793136</v>
      </c>
      <c r="AB81">
        <f t="shared" si="64"/>
        <v>-148.23594278994108</v>
      </c>
      <c r="AD81" s="30" t="str">
        <f t="shared" si="65"/>
        <v>50.2654824i</v>
      </c>
      <c r="AE81" s="30" t="str">
        <f t="shared" si="70"/>
        <v>1+50.2654824i</v>
      </c>
      <c r="AF81" s="30" t="e">
        <f t="shared" si="66"/>
        <v>#VALUE!</v>
      </c>
      <c r="AG81" t="e">
        <f t="shared" si="67"/>
        <v>#VALUE!</v>
      </c>
      <c r="AH81" t="str">
        <f t="shared" si="71"/>
        <v>1+50.2654824i</v>
      </c>
      <c r="AI81" s="299" t="e">
        <f t="shared" si="72"/>
        <v>#VALUE!</v>
      </c>
      <c r="AK81" t="e">
        <f t="shared" si="73"/>
        <v>#VALUE!</v>
      </c>
      <c r="AM81" t="e">
        <f t="shared" si="74"/>
        <v>#VALUE!</v>
      </c>
      <c r="AN81" t="e">
        <f t="shared" si="68"/>
        <v>#VALUE!</v>
      </c>
    </row>
    <row r="82" spans="1:40" x14ac:dyDescent="0.25">
      <c r="A82" s="335">
        <v>500000</v>
      </c>
      <c r="B82" s="352">
        <f t="shared" si="17"/>
        <v>500</v>
      </c>
      <c r="C82" t="str">
        <f t="shared" si="54"/>
        <v>3141592.65i</v>
      </c>
      <c r="D82" s="30" t="str">
        <f t="shared" si="55"/>
        <v>-9869604378534.03</v>
      </c>
      <c r="E82" s="30" t="str">
        <f t="shared" si="56"/>
        <v>-31006276574010300000i</v>
      </c>
      <c r="G82" s="30" t="e">
        <f t="shared" si="33"/>
        <v>#VALUE!</v>
      </c>
      <c r="I82" s="30" t="e">
        <f t="shared" si="57"/>
        <v>#REF!</v>
      </c>
      <c r="J82" t="e">
        <f t="shared" si="18"/>
        <v>#REF!</v>
      </c>
      <c r="L82" s="30" t="e">
        <f t="shared" si="58"/>
        <v>#VALUE!</v>
      </c>
      <c r="M82" t="e">
        <f t="shared" si="59"/>
        <v>#VALUE!</v>
      </c>
      <c r="N82" t="e">
        <f t="shared" si="19"/>
        <v>#REF!</v>
      </c>
      <c r="O82" s="299" t="e">
        <f t="shared" si="20"/>
        <v>#VALUE!</v>
      </c>
      <c r="P82" s="651">
        <v>0</v>
      </c>
      <c r="Q82" s="397" t="str">
        <f t="shared" si="60"/>
        <v>1+1.0995574275i</v>
      </c>
      <c r="R82" s="397" t="str">
        <f t="shared" si="61"/>
        <v>-3.46836209756879i</v>
      </c>
      <c r="S82" s="397" t="str">
        <f t="shared" si="62"/>
        <v>-9.86565653678262</v>
      </c>
      <c r="T82" s="397" t="str">
        <f t="shared" si="21"/>
        <v>-8.86565653678262-2.36880467006879i</v>
      </c>
      <c r="U82" s="652">
        <v>1</v>
      </c>
      <c r="V82">
        <f t="shared" si="40"/>
        <v>1</v>
      </c>
      <c r="W82">
        <f t="shared" si="23"/>
        <v>0</v>
      </c>
      <c r="X82">
        <f t="shared" si="41"/>
        <v>0</v>
      </c>
      <c r="Z82" t="str">
        <f t="shared" si="63"/>
        <v>-0.136208802833546-0.0876308907321328i</v>
      </c>
      <c r="AA82">
        <f t="shared" si="69"/>
        <v>-15.811684145573038</v>
      </c>
      <c r="AB82">
        <f t="shared" si="64"/>
        <v>-147.2445124058745</v>
      </c>
      <c r="AD82" s="30" t="str">
        <f t="shared" si="65"/>
        <v>62.831853i</v>
      </c>
      <c r="AE82" s="30" t="str">
        <f t="shared" si="70"/>
        <v>1+62.831853i</v>
      </c>
      <c r="AF82" s="30" t="e">
        <f t="shared" si="66"/>
        <v>#VALUE!</v>
      </c>
      <c r="AG82" t="e">
        <f t="shared" si="67"/>
        <v>#VALUE!</v>
      </c>
      <c r="AH82" t="str">
        <f t="shared" si="71"/>
        <v>1+62.831853i</v>
      </c>
      <c r="AI82" s="299" t="e">
        <f t="shared" si="72"/>
        <v>#VALUE!</v>
      </c>
      <c r="AK82" t="e">
        <f t="shared" si="73"/>
        <v>#VALUE!</v>
      </c>
      <c r="AM82" t="e">
        <f t="shared" si="74"/>
        <v>#VALUE!</v>
      </c>
      <c r="AN82" t="e">
        <f t="shared" si="68"/>
        <v>#VALUE!</v>
      </c>
    </row>
    <row r="83" spans="1:40" x14ac:dyDescent="0.25">
      <c r="A83" s="653">
        <v>600000</v>
      </c>
      <c r="B83" s="352">
        <f t="shared" si="17"/>
        <v>600</v>
      </c>
      <c r="C83" t="str">
        <f t="shared" si="54"/>
        <v>3769911.18i</v>
      </c>
      <c r="D83" s="30" t="str">
        <f t="shared" si="55"/>
        <v>-14212230305089</v>
      </c>
      <c r="E83" s="30" t="str">
        <f t="shared" si="56"/>
        <v>-53578845919889800000i</v>
      </c>
      <c r="G83" s="30" t="e">
        <f t="shared" ref="G83:G97" si="75">IMSUM(IMPRODUCT(C83,Rcomp_AEF*Csen_AEF),Csen_AEF/Ccomp_AEF)</f>
        <v>#VALUE!</v>
      </c>
      <c r="I83" s="30" t="e">
        <f t="shared" si="57"/>
        <v>#REF!</v>
      </c>
      <c r="J83" t="e">
        <f t="shared" si="18"/>
        <v>#REF!</v>
      </c>
      <c r="L83" s="30" t="e">
        <f t="shared" si="58"/>
        <v>#VALUE!</v>
      </c>
      <c r="M83" t="e">
        <f t="shared" si="59"/>
        <v>#VALUE!</v>
      </c>
      <c r="N83" t="e">
        <f t="shared" si="19"/>
        <v>#REF!</v>
      </c>
      <c r="O83" s="299" t="e">
        <f t="shared" si="20"/>
        <v>#VALUE!</v>
      </c>
      <c r="P83" s="651">
        <v>0</v>
      </c>
      <c r="Q83" s="397" t="str">
        <f t="shared" si="60"/>
        <v>1+1.319468913i</v>
      </c>
      <c r="R83" s="397" t="str">
        <f t="shared" si="61"/>
        <v>-5.99332970459887i</v>
      </c>
      <c r="S83" s="397" t="str">
        <f t="shared" si="62"/>
        <v>-14.206545412967</v>
      </c>
      <c r="T83" s="397" t="str">
        <f t="shared" si="21"/>
        <v>-13.206545412967-4.67386079159887i</v>
      </c>
      <c r="U83" s="652">
        <v>1</v>
      </c>
      <c r="V83">
        <f t="shared" ref="V83:V97" si="76">CHOOSE(INFILTER_TYPE,U83,IMDIV(J83,O83),IMDIV(Q83,T83))</f>
        <v>1</v>
      </c>
      <c r="W83">
        <f t="shared" si="23"/>
        <v>0</v>
      </c>
      <c r="X83">
        <f t="shared" ref="X83:X97" si="77">IMARGUMENT(V83)*180/Pi</f>
        <v>0</v>
      </c>
      <c r="Z83" t="str">
        <f t="shared" si="63"/>
        <v>-0.0987148424567274-0.0649745603002369i</v>
      </c>
      <c r="AA83">
        <f t="shared" si="69"/>
        <v>-18.549182102928064</v>
      </c>
      <c r="AB83">
        <f t="shared" si="64"/>
        <v>-146.64690503853296</v>
      </c>
      <c r="AD83" s="30" t="str">
        <f t="shared" si="65"/>
        <v>75.3982236i</v>
      </c>
      <c r="AE83" s="30" t="str">
        <f t="shared" si="70"/>
        <v>1+75.3982236i</v>
      </c>
      <c r="AF83" s="30" t="e">
        <f t="shared" si="66"/>
        <v>#VALUE!</v>
      </c>
      <c r="AG83" t="e">
        <f t="shared" si="67"/>
        <v>#VALUE!</v>
      </c>
      <c r="AH83" t="str">
        <f t="shared" si="71"/>
        <v>1+75.3982236i</v>
      </c>
      <c r="AI83" s="299" t="e">
        <f t="shared" si="72"/>
        <v>#VALUE!</v>
      </c>
      <c r="AK83" t="e">
        <f t="shared" si="73"/>
        <v>#VALUE!</v>
      </c>
      <c r="AM83" t="e">
        <f t="shared" si="74"/>
        <v>#VALUE!</v>
      </c>
      <c r="AN83" t="e">
        <f t="shared" si="68"/>
        <v>#VALUE!</v>
      </c>
    </row>
    <row r="84" spans="1:40" x14ac:dyDescent="0.25">
      <c r="A84" s="335">
        <v>700000</v>
      </c>
      <c r="B84" s="352">
        <f t="shared" si="17"/>
        <v>700</v>
      </c>
      <c r="C84" t="str">
        <f t="shared" si="54"/>
        <v>4398229.71i</v>
      </c>
      <c r="D84" s="30" t="str">
        <f t="shared" si="55"/>
        <v>-19344424581926.7</v>
      </c>
      <c r="E84" s="30" t="str">
        <f t="shared" si="56"/>
        <v>-85081222919084300000i</v>
      </c>
      <c r="G84" s="30" t="e">
        <f t="shared" si="75"/>
        <v>#VALUE!</v>
      </c>
      <c r="I84" s="30" t="e">
        <f t="shared" si="57"/>
        <v>#REF!</v>
      </c>
      <c r="J84" t="e">
        <f t="shared" si="18"/>
        <v>#REF!</v>
      </c>
      <c r="L84" s="30" t="e">
        <f t="shared" si="58"/>
        <v>#VALUE!</v>
      </c>
      <c r="M84" t="e">
        <f t="shared" si="59"/>
        <v>#VALUE!</v>
      </c>
      <c r="N84" t="e">
        <f t="shared" si="19"/>
        <v>#REF!</v>
      </c>
      <c r="O84" s="299" t="e">
        <f t="shared" si="20"/>
        <v>#VALUE!</v>
      </c>
      <c r="P84" s="651">
        <v>0</v>
      </c>
      <c r="Q84" s="397" t="str">
        <f t="shared" si="60"/>
        <v>1+1.5393803985i</v>
      </c>
      <c r="R84" s="397" t="str">
        <f t="shared" si="61"/>
        <v>-9.51718559572877i</v>
      </c>
      <c r="S84" s="397" t="str">
        <f t="shared" si="62"/>
        <v>-19.3366868120939</v>
      </c>
      <c r="T84" s="397" t="str">
        <f t="shared" si="21"/>
        <v>-18.3366868120939-7.97780519722877i</v>
      </c>
      <c r="U84" s="652">
        <v>1</v>
      </c>
      <c r="V84">
        <f t="shared" si="76"/>
        <v>1</v>
      </c>
      <c r="W84">
        <f t="shared" si="23"/>
        <v>0</v>
      </c>
      <c r="X84">
        <f t="shared" si="77"/>
        <v>0</v>
      </c>
      <c r="Z84" t="str">
        <f t="shared" si="63"/>
        <v>-0.0765669830392885-0.050638587700621i</v>
      </c>
      <c r="AA84">
        <f t="shared" si="69"/>
        <v>-20.743388875708668</v>
      </c>
      <c r="AB84">
        <f t="shared" si="64"/>
        <v>-146.52081538204177</v>
      </c>
      <c r="AD84" s="30" t="str">
        <f t="shared" si="65"/>
        <v>87.9645942i</v>
      </c>
      <c r="AE84" s="30" t="str">
        <f t="shared" si="70"/>
        <v>1+87.9645942i</v>
      </c>
      <c r="AF84" s="30" t="e">
        <f t="shared" si="66"/>
        <v>#VALUE!</v>
      </c>
      <c r="AG84" t="e">
        <f t="shared" si="67"/>
        <v>#VALUE!</v>
      </c>
      <c r="AH84" t="str">
        <f t="shared" si="71"/>
        <v>1+87.9645942i</v>
      </c>
      <c r="AI84" s="299" t="e">
        <f t="shared" si="72"/>
        <v>#VALUE!</v>
      </c>
      <c r="AK84" t="e">
        <f t="shared" si="73"/>
        <v>#VALUE!</v>
      </c>
      <c r="AM84" t="e">
        <f t="shared" si="74"/>
        <v>#VALUE!</v>
      </c>
      <c r="AN84" t="e">
        <f t="shared" si="68"/>
        <v>#VALUE!</v>
      </c>
    </row>
    <row r="85" spans="1:40" x14ac:dyDescent="0.25">
      <c r="A85" s="653">
        <v>800000</v>
      </c>
      <c r="B85" s="352">
        <f t="shared" si="17"/>
        <v>800</v>
      </c>
      <c r="C85" t="str">
        <f t="shared" si="54"/>
        <v>5026548.24i</v>
      </c>
      <c r="D85" s="30" t="str">
        <f t="shared" si="55"/>
        <v>-25266187209047.1</v>
      </c>
      <c r="E85" s="30" t="str">
        <f t="shared" si="56"/>
        <v>-127001708847146000000i</v>
      </c>
      <c r="G85" s="30" t="e">
        <f t="shared" si="75"/>
        <v>#VALUE!</v>
      </c>
      <c r="I85" s="30" t="e">
        <f t="shared" si="57"/>
        <v>#REF!</v>
      </c>
      <c r="J85" t="e">
        <f t="shared" si="18"/>
        <v>#REF!</v>
      </c>
      <c r="L85" s="30" t="e">
        <f t="shared" si="58"/>
        <v>#VALUE!</v>
      </c>
      <c r="M85" t="e">
        <f t="shared" si="59"/>
        <v>#VALUE!</v>
      </c>
      <c r="N85" t="e">
        <f t="shared" si="19"/>
        <v>#REF!</v>
      </c>
      <c r="O85" s="299" t="e">
        <f t="shared" si="20"/>
        <v>#VALUE!</v>
      </c>
      <c r="P85" s="651">
        <v>0</v>
      </c>
      <c r="Q85" s="397" t="str">
        <f t="shared" si="60"/>
        <v>1+1.759291884i</v>
      </c>
      <c r="R85" s="397" t="str">
        <f t="shared" si="61"/>
        <v>-14.2064111516417i</v>
      </c>
      <c r="S85" s="397" t="str">
        <f t="shared" si="62"/>
        <v>-25.2560807341635</v>
      </c>
      <c r="T85" s="397" t="str">
        <f t="shared" si="21"/>
        <v>-24.2560807341635-12.4471192676417i</v>
      </c>
      <c r="U85" s="652">
        <v>1</v>
      </c>
      <c r="V85">
        <f t="shared" si="76"/>
        <v>1</v>
      </c>
      <c r="W85">
        <f t="shared" si="23"/>
        <v>0</v>
      </c>
      <c r="X85">
        <f t="shared" si="77"/>
        <v>0</v>
      </c>
      <c r="Z85" t="str">
        <f t="shared" si="63"/>
        <v>-0.0620946151681225-0.040665794855093i</v>
      </c>
      <c r="AA85">
        <f t="shared" si="69"/>
        <v>-22.588919033913939</v>
      </c>
      <c r="AB85">
        <f t="shared" si="64"/>
        <v>-146.77919071706401</v>
      </c>
      <c r="AD85" s="30" t="str">
        <f t="shared" si="65"/>
        <v>100.5309648i</v>
      </c>
      <c r="AE85" s="30" t="str">
        <f t="shared" si="70"/>
        <v>1+100.5309648i</v>
      </c>
      <c r="AF85" s="30" t="e">
        <f t="shared" si="66"/>
        <v>#VALUE!</v>
      </c>
      <c r="AG85" t="e">
        <f t="shared" si="67"/>
        <v>#VALUE!</v>
      </c>
      <c r="AH85" t="str">
        <f t="shared" si="71"/>
        <v>1+100.5309648i</v>
      </c>
      <c r="AI85" s="299" t="e">
        <f t="shared" si="72"/>
        <v>#VALUE!</v>
      </c>
      <c r="AK85" t="e">
        <f t="shared" si="73"/>
        <v>#VALUE!</v>
      </c>
      <c r="AM85" t="e">
        <f t="shared" si="74"/>
        <v>#VALUE!</v>
      </c>
      <c r="AN85" t="e">
        <f t="shared" si="68"/>
        <v>#VALUE!</v>
      </c>
    </row>
    <row r="86" spans="1:40" x14ac:dyDescent="0.25">
      <c r="A86" s="335">
        <v>900000</v>
      </c>
      <c r="B86" s="352">
        <f t="shared" si="17"/>
        <v>900</v>
      </c>
      <c r="C86" t="str">
        <f t="shared" si="54"/>
        <v>5654866.77i</v>
      </c>
      <c r="D86" s="30" t="str">
        <f t="shared" si="55"/>
        <v>-31977518186450.2</v>
      </c>
      <c r="E86" s="30" t="str">
        <f t="shared" si="56"/>
        <v>-180828604979628000000i</v>
      </c>
      <c r="G86" s="30" t="e">
        <f t="shared" si="75"/>
        <v>#VALUE!</v>
      </c>
      <c r="I86" s="30" t="e">
        <f t="shared" si="57"/>
        <v>#REF!</v>
      </c>
      <c r="J86" t="e">
        <f t="shared" si="18"/>
        <v>#REF!</v>
      </c>
      <c r="L86" s="30" t="e">
        <f t="shared" si="58"/>
        <v>#VALUE!</v>
      </c>
      <c r="M86" t="e">
        <f t="shared" si="59"/>
        <v>#VALUE!</v>
      </c>
      <c r="N86" t="e">
        <f t="shared" si="19"/>
        <v>#REF!</v>
      </c>
      <c r="O86" s="299" t="e">
        <f t="shared" si="20"/>
        <v>#VALUE!</v>
      </c>
      <c r="P86" s="651">
        <v>0</v>
      </c>
      <c r="Q86" s="397" t="str">
        <f t="shared" si="60"/>
        <v>1+1.9792033695i</v>
      </c>
      <c r="R86" s="397" t="str">
        <f t="shared" si="61"/>
        <v>-20.2274877530212i</v>
      </c>
      <c r="S86" s="397" t="str">
        <f t="shared" si="62"/>
        <v>-31.9647271791756</v>
      </c>
      <c r="T86" s="397" t="str">
        <f t="shared" si="21"/>
        <v>-30.9647271791756-18.2482843835212i</v>
      </c>
      <c r="U86" s="652">
        <v>1</v>
      </c>
      <c r="V86">
        <f t="shared" si="76"/>
        <v>1</v>
      </c>
      <c r="W86">
        <f t="shared" si="23"/>
        <v>0</v>
      </c>
      <c r="X86">
        <f t="shared" si="77"/>
        <v>0</v>
      </c>
      <c r="Z86" t="str">
        <f t="shared" si="63"/>
        <v>-0.0519283597315569-0.033315323192724i</v>
      </c>
      <c r="AA86">
        <f t="shared" si="69"/>
        <v>-24.194781244722876</v>
      </c>
      <c r="AB86">
        <f t="shared" si="64"/>
        <v>-147.31726418522518</v>
      </c>
      <c r="AD86" s="30" t="str">
        <f t="shared" si="65"/>
        <v>113.0973354i</v>
      </c>
      <c r="AE86" s="30" t="str">
        <f t="shared" si="70"/>
        <v>1+113.0973354i</v>
      </c>
      <c r="AF86" s="30" t="e">
        <f t="shared" si="66"/>
        <v>#VALUE!</v>
      </c>
      <c r="AG86" t="e">
        <f t="shared" si="67"/>
        <v>#VALUE!</v>
      </c>
      <c r="AH86" t="str">
        <f t="shared" si="71"/>
        <v>1+113.0973354i</v>
      </c>
      <c r="AI86" s="299" t="e">
        <f t="shared" si="72"/>
        <v>#VALUE!</v>
      </c>
      <c r="AK86" t="e">
        <f t="shared" si="73"/>
        <v>#VALUE!</v>
      </c>
      <c r="AM86" t="e">
        <f t="shared" si="74"/>
        <v>#VALUE!</v>
      </c>
      <c r="AN86" t="e">
        <f t="shared" si="68"/>
        <v>#VALUE!</v>
      </c>
    </row>
    <row r="87" spans="1:40" x14ac:dyDescent="0.25">
      <c r="A87" s="653">
        <v>1000000</v>
      </c>
      <c r="B87" s="352">
        <f t="shared" si="17"/>
        <v>1000</v>
      </c>
      <c r="C87" t="str">
        <f t="shared" si="54"/>
        <v>6283185.3i</v>
      </c>
      <c r="D87" s="30" t="str">
        <f t="shared" si="55"/>
        <v>-39478417514136.1</v>
      </c>
      <c r="E87" s="30" t="str">
        <f t="shared" si="56"/>
        <v>-248050212592083000000i</v>
      </c>
      <c r="G87" s="30" t="e">
        <f t="shared" si="75"/>
        <v>#VALUE!</v>
      </c>
      <c r="I87" s="30" t="e">
        <f t="shared" si="57"/>
        <v>#REF!</v>
      </c>
      <c r="J87" t="e">
        <f t="shared" si="18"/>
        <v>#REF!</v>
      </c>
      <c r="L87" s="30" t="e">
        <f t="shared" si="58"/>
        <v>#VALUE!</v>
      </c>
      <c r="M87" t="e">
        <f t="shared" si="59"/>
        <v>#VALUE!</v>
      </c>
      <c r="N87" t="e">
        <f t="shared" si="19"/>
        <v>#REF!</v>
      </c>
      <c r="O87" s="299" t="e">
        <f t="shared" si="20"/>
        <v>#VALUE!</v>
      </c>
      <c r="P87" s="651">
        <v>0</v>
      </c>
      <c r="Q87" s="397" t="str">
        <f t="shared" si="60"/>
        <v>1+2.199114855i</v>
      </c>
      <c r="R87" s="397" t="str">
        <f t="shared" si="61"/>
        <v>-27.7468967805504i</v>
      </c>
      <c r="S87" s="397" t="str">
        <f t="shared" si="62"/>
        <v>-39.4626261471305</v>
      </c>
      <c r="T87" s="397" t="str">
        <f t="shared" si="21"/>
        <v>-38.4626261471305-25.5477819255504i</v>
      </c>
      <c r="U87" s="652">
        <v>1</v>
      </c>
      <c r="V87">
        <f t="shared" si="76"/>
        <v>1</v>
      </c>
      <c r="W87">
        <f t="shared" si="23"/>
        <v>0</v>
      </c>
      <c r="X87">
        <f t="shared" si="77"/>
        <v>0</v>
      </c>
      <c r="Z87" t="str">
        <f t="shared" si="63"/>
        <v>-0.044391344457259-0.0276895930961649i</v>
      </c>
      <c r="AA87">
        <f t="shared" si="69"/>
        <v>-25.626768047686518</v>
      </c>
      <c r="AB87">
        <f t="shared" si="64"/>
        <v>-148.04569057314714</v>
      </c>
      <c r="AD87" s="30" t="str">
        <f t="shared" si="65"/>
        <v>125.663706i</v>
      </c>
      <c r="AE87" s="30" t="str">
        <f t="shared" si="70"/>
        <v>1+125.663706i</v>
      </c>
      <c r="AF87" s="30" t="e">
        <f t="shared" si="66"/>
        <v>#VALUE!</v>
      </c>
      <c r="AG87" t="e">
        <f t="shared" si="67"/>
        <v>#VALUE!</v>
      </c>
      <c r="AH87" t="str">
        <f t="shared" si="71"/>
        <v>1+125.663706i</v>
      </c>
      <c r="AI87" s="299" t="e">
        <f t="shared" si="72"/>
        <v>#VALUE!</v>
      </c>
      <c r="AK87" t="e">
        <f t="shared" si="73"/>
        <v>#VALUE!</v>
      </c>
      <c r="AM87" t="e">
        <f t="shared" si="74"/>
        <v>#VALUE!</v>
      </c>
      <c r="AN87" t="e">
        <f t="shared" si="68"/>
        <v>#VALUE!</v>
      </c>
    </row>
    <row r="88" spans="1:40" x14ac:dyDescent="0.25">
      <c r="A88" s="653">
        <v>2000000</v>
      </c>
      <c r="B88" s="352">
        <f t="shared" si="17"/>
        <v>2000</v>
      </c>
      <c r="C88" t="str">
        <f t="shared" si="54"/>
        <v>12566370.6i</v>
      </c>
      <c r="D88" s="30" t="str">
        <f t="shared" si="55"/>
        <v>-157913670056544</v>
      </c>
      <c r="E88" s="30" t="str">
        <f t="shared" si="56"/>
        <v>-1.98440170073666E+21i</v>
      </c>
      <c r="G88" s="30" t="e">
        <f t="shared" si="75"/>
        <v>#VALUE!</v>
      </c>
      <c r="I88" s="30" t="e">
        <f t="shared" si="57"/>
        <v>#REF!</v>
      </c>
      <c r="J88" t="e">
        <f t="shared" si="18"/>
        <v>#REF!</v>
      </c>
      <c r="L88" s="30" t="e">
        <f t="shared" si="58"/>
        <v>#VALUE!</v>
      </c>
      <c r="M88" t="e">
        <f t="shared" si="59"/>
        <v>#VALUE!</v>
      </c>
      <c r="N88" t="e">
        <f t="shared" si="19"/>
        <v>#REF!</v>
      </c>
      <c r="O88" s="299" t="e">
        <f t="shared" si="20"/>
        <v>#VALUE!</v>
      </c>
      <c r="P88" s="651">
        <v>0</v>
      </c>
      <c r="Q88" s="397" t="str">
        <f t="shared" si="60"/>
        <v>1+4.39822971i</v>
      </c>
      <c r="R88" s="397" t="str">
        <f t="shared" si="61"/>
        <v>-221.975174244403i</v>
      </c>
      <c r="S88" s="397" t="str">
        <f t="shared" si="62"/>
        <v>-157.850504588521</v>
      </c>
      <c r="T88" s="397" t="str">
        <f t="shared" si="21"/>
        <v>-156.850504588521-217.576944534403i</v>
      </c>
      <c r="U88" s="652">
        <v>1</v>
      </c>
      <c r="V88">
        <f t="shared" si="76"/>
        <v>1</v>
      </c>
      <c r="W88">
        <f t="shared" si="23"/>
        <v>0</v>
      </c>
      <c r="X88">
        <f t="shared" si="77"/>
        <v>0</v>
      </c>
      <c r="Z88" t="str">
        <f t="shared" si="63"/>
        <v>-0.0154820114155727-0.00656485596685991i</v>
      </c>
      <c r="AA88">
        <f t="shared" si="69"/>
        <v>-35.485359346827785</v>
      </c>
      <c r="AB88">
        <f t="shared" si="64"/>
        <v>-157.02154019060663</v>
      </c>
      <c r="AD88" s="30" t="str">
        <f t="shared" si="65"/>
        <v>251.327412i</v>
      </c>
      <c r="AE88" s="30" t="str">
        <f t="shared" si="70"/>
        <v>1+251.327412i</v>
      </c>
      <c r="AF88" s="30" t="e">
        <f t="shared" si="66"/>
        <v>#VALUE!</v>
      </c>
      <c r="AG88" t="e">
        <f t="shared" si="67"/>
        <v>#VALUE!</v>
      </c>
      <c r="AH88" t="str">
        <f t="shared" si="71"/>
        <v>1+251.327412i</v>
      </c>
      <c r="AI88" s="299" t="e">
        <f t="shared" si="72"/>
        <v>#VALUE!</v>
      </c>
      <c r="AK88" t="e">
        <f t="shared" si="73"/>
        <v>#VALUE!</v>
      </c>
      <c r="AM88" t="e">
        <f t="shared" si="74"/>
        <v>#VALUE!</v>
      </c>
      <c r="AN88" t="e">
        <f t="shared" si="68"/>
        <v>#VALUE!</v>
      </c>
    </row>
    <row r="89" spans="1:40" x14ac:dyDescent="0.25">
      <c r="A89" s="653">
        <v>3000000</v>
      </c>
      <c r="B89" s="352">
        <f t="shared" si="17"/>
        <v>3000</v>
      </c>
      <c r="C89" t="str">
        <f t="shared" si="54"/>
        <v>18849555.9i</v>
      </c>
      <c r="D89" s="30" t="str">
        <f t="shared" si="55"/>
        <v>-355305757627225</v>
      </c>
      <c r="E89" s="30" t="str">
        <f t="shared" si="56"/>
        <v>-6.69735573998623E+21i</v>
      </c>
      <c r="G89" s="30" t="e">
        <f t="shared" si="75"/>
        <v>#VALUE!</v>
      </c>
      <c r="I89" s="30" t="e">
        <f t="shared" si="57"/>
        <v>#REF!</v>
      </c>
      <c r="J89" t="e">
        <f t="shared" si="18"/>
        <v>#REF!</v>
      </c>
      <c r="L89" s="30" t="e">
        <f t="shared" si="58"/>
        <v>#VALUE!</v>
      </c>
      <c r="M89" t="e">
        <f t="shared" si="59"/>
        <v>#VALUE!</v>
      </c>
      <c r="N89" t="e">
        <f t="shared" si="19"/>
        <v>#REF!</v>
      </c>
      <c r="O89" s="299" t="e">
        <f t="shared" si="20"/>
        <v>#VALUE!</v>
      </c>
      <c r="P89" s="651">
        <v>0</v>
      </c>
      <c r="Q89" s="397" t="str">
        <f t="shared" si="60"/>
        <v>1+6.597344565i</v>
      </c>
      <c r="R89" s="397" t="str">
        <f t="shared" si="61"/>
        <v>-749.16621307486i</v>
      </c>
      <c r="S89" s="397" t="str">
        <f t="shared" si="62"/>
        <v>-355.163635324174</v>
      </c>
      <c r="T89" s="397" t="str">
        <f t="shared" si="21"/>
        <v>-354.163635324174-742.56886850986i</v>
      </c>
      <c r="U89" s="652">
        <v>1</v>
      </c>
      <c r="V89">
        <f t="shared" si="76"/>
        <v>1</v>
      </c>
      <c r="W89">
        <f t="shared" si="23"/>
        <v>0</v>
      </c>
      <c r="X89">
        <f t="shared" si="77"/>
        <v>0</v>
      </c>
      <c r="Z89" t="str">
        <f t="shared" si="63"/>
        <v>-0.00776127767315144-0.00235501700871593i</v>
      </c>
      <c r="AA89">
        <f t="shared" si="69"/>
        <v>-41.818827844809874</v>
      </c>
      <c r="AB89">
        <f t="shared" si="64"/>
        <v>-163.12054420169724</v>
      </c>
      <c r="AD89" s="30" t="str">
        <f t="shared" si="65"/>
        <v>376.991118i</v>
      </c>
      <c r="AE89" s="30" t="str">
        <f t="shared" si="70"/>
        <v>1+376.991118i</v>
      </c>
      <c r="AF89" s="30" t="e">
        <f t="shared" si="66"/>
        <v>#VALUE!</v>
      </c>
      <c r="AG89" t="e">
        <f t="shared" si="67"/>
        <v>#VALUE!</v>
      </c>
      <c r="AH89" t="str">
        <f t="shared" si="71"/>
        <v>1+376.991118i</v>
      </c>
      <c r="AI89" s="299" t="e">
        <f t="shared" si="72"/>
        <v>#VALUE!</v>
      </c>
      <c r="AK89" t="e">
        <f t="shared" si="73"/>
        <v>#VALUE!</v>
      </c>
      <c r="AM89" t="e">
        <f t="shared" si="74"/>
        <v>#VALUE!</v>
      </c>
      <c r="AN89" t="e">
        <f t="shared" si="68"/>
        <v>#VALUE!</v>
      </c>
    </row>
    <row r="90" spans="1:40" x14ac:dyDescent="0.25">
      <c r="A90" s="653">
        <v>4000000</v>
      </c>
      <c r="B90" s="352">
        <f t="shared" si="17"/>
        <v>4000</v>
      </c>
      <c r="C90" t="str">
        <f t="shared" si="54"/>
        <v>25132741.2i</v>
      </c>
      <c r="D90" s="30" t="str">
        <f t="shared" si="55"/>
        <v>-631654680226178</v>
      </c>
      <c r="E90" s="30" t="str">
        <f t="shared" si="56"/>
        <v>-1.58752136058933E+22i</v>
      </c>
      <c r="G90" s="30" t="e">
        <f t="shared" si="75"/>
        <v>#VALUE!</v>
      </c>
      <c r="I90" s="30" t="e">
        <f t="shared" si="57"/>
        <v>#REF!</v>
      </c>
      <c r="J90" t="e">
        <f t="shared" si="18"/>
        <v>#REF!</v>
      </c>
      <c r="L90" s="30" t="e">
        <f t="shared" si="58"/>
        <v>#VALUE!</v>
      </c>
      <c r="M90" t="e">
        <f t="shared" si="59"/>
        <v>#VALUE!</v>
      </c>
      <c r="N90" t="e">
        <f t="shared" si="19"/>
        <v>#REF!</v>
      </c>
      <c r="O90" s="299" t="e">
        <f t="shared" si="20"/>
        <v>#VALUE!</v>
      </c>
      <c r="P90" s="651">
        <v>0</v>
      </c>
      <c r="Q90" s="397" t="str">
        <f t="shared" si="60"/>
        <v>1+8.79645942i</v>
      </c>
      <c r="R90" s="397" t="str">
        <f t="shared" si="61"/>
        <v>-1775.80139395522i</v>
      </c>
      <c r="S90" s="397" t="str">
        <f t="shared" si="62"/>
        <v>-631.402018354088</v>
      </c>
      <c r="T90" s="397" t="str">
        <f t="shared" si="21"/>
        <v>-630.402018354088-1767.00493453522i</v>
      </c>
      <c r="U90" s="652">
        <v>1</v>
      </c>
      <c r="V90">
        <f t="shared" si="76"/>
        <v>1</v>
      </c>
      <c r="W90">
        <f t="shared" si="23"/>
        <v>0</v>
      </c>
      <c r="X90">
        <f t="shared" si="77"/>
        <v>0</v>
      </c>
      <c r="Z90" t="str">
        <f t="shared" si="63"/>
        <v>-0.00459520096124435-0.00107346840047734i</v>
      </c>
      <c r="AA90">
        <f t="shared" si="69"/>
        <v>-46.523147642689807</v>
      </c>
      <c r="AB90">
        <f t="shared" si="64"/>
        <v>-166.85114049434898</v>
      </c>
      <c r="AD90" s="30" t="str">
        <f t="shared" si="65"/>
        <v>502.654824i</v>
      </c>
      <c r="AE90" s="30" t="str">
        <f t="shared" si="70"/>
        <v>1+502.654824i</v>
      </c>
      <c r="AF90" s="30" t="e">
        <f t="shared" si="66"/>
        <v>#VALUE!</v>
      </c>
      <c r="AG90" t="e">
        <f t="shared" si="67"/>
        <v>#VALUE!</v>
      </c>
      <c r="AH90" t="str">
        <f t="shared" si="71"/>
        <v>1+502.654824i</v>
      </c>
      <c r="AI90" s="299" t="e">
        <f t="shared" si="72"/>
        <v>#VALUE!</v>
      </c>
      <c r="AK90" t="e">
        <f t="shared" si="73"/>
        <v>#VALUE!</v>
      </c>
      <c r="AM90" t="e">
        <f t="shared" si="74"/>
        <v>#VALUE!</v>
      </c>
      <c r="AN90" t="e">
        <f t="shared" si="68"/>
        <v>#VALUE!</v>
      </c>
    </row>
    <row r="91" spans="1:40" x14ac:dyDescent="0.25">
      <c r="A91" s="653">
        <v>5000000</v>
      </c>
      <c r="B91" s="352">
        <f t="shared" si="17"/>
        <v>5000</v>
      </c>
      <c r="C91" t="str">
        <f t="shared" si="54"/>
        <v>31415926.5i</v>
      </c>
      <c r="D91" s="30" t="str">
        <f t="shared" si="55"/>
        <v>-986960437853403</v>
      </c>
      <c r="E91" s="30" t="str">
        <f t="shared" si="56"/>
        <v>-3.10062765740103E+22i</v>
      </c>
      <c r="G91" s="30" t="e">
        <f t="shared" si="75"/>
        <v>#VALUE!</v>
      </c>
      <c r="I91" s="30" t="e">
        <f t="shared" si="57"/>
        <v>#REF!</v>
      </c>
      <c r="J91" t="e">
        <f t="shared" si="18"/>
        <v>#REF!</v>
      </c>
      <c r="L91" s="30" t="e">
        <f t="shared" si="58"/>
        <v>#VALUE!</v>
      </c>
      <c r="M91" t="e">
        <f t="shared" si="59"/>
        <v>#VALUE!</v>
      </c>
      <c r="N91" t="e">
        <f t="shared" si="19"/>
        <v>#REF!</v>
      </c>
      <c r="O91" s="299" t="e">
        <f t="shared" si="20"/>
        <v>#VALUE!</v>
      </c>
      <c r="P91" s="651">
        <v>0</v>
      </c>
      <c r="Q91" s="397" t="str">
        <f t="shared" si="60"/>
        <v>1+10.995574275i</v>
      </c>
      <c r="R91" s="397" t="str">
        <f t="shared" si="61"/>
        <v>-3468.36209756879i</v>
      </c>
      <c r="S91" s="397" t="str">
        <f t="shared" si="62"/>
        <v>-986.565653678262</v>
      </c>
      <c r="T91" s="397" t="str">
        <f t="shared" si="21"/>
        <v>-985.565653678262-3457.36652329379i</v>
      </c>
      <c r="U91" s="652">
        <v>1</v>
      </c>
      <c r="V91">
        <f t="shared" si="76"/>
        <v>1</v>
      </c>
      <c r="W91">
        <f t="shared" si="23"/>
        <v>0</v>
      </c>
      <c r="X91">
        <f t="shared" si="77"/>
        <v>0</v>
      </c>
      <c r="Z91" t="str">
        <f t="shared" si="63"/>
        <v>-0.00301757308495533-0.000570959537178404i</v>
      </c>
      <c r="AA91">
        <f t="shared" si="69"/>
        <v>-50.254080822840123</v>
      </c>
      <c r="AB91">
        <f t="shared" si="64"/>
        <v>-169.28564289756036</v>
      </c>
      <c r="AD91" s="30" t="str">
        <f t="shared" si="65"/>
        <v>628.31853i</v>
      </c>
      <c r="AE91" s="30" t="str">
        <f t="shared" si="70"/>
        <v>1+628.31853i</v>
      </c>
      <c r="AF91" s="30" t="e">
        <f t="shared" si="66"/>
        <v>#VALUE!</v>
      </c>
      <c r="AG91" t="e">
        <f t="shared" si="67"/>
        <v>#VALUE!</v>
      </c>
      <c r="AH91" t="str">
        <f t="shared" si="71"/>
        <v>1+628.31853i</v>
      </c>
      <c r="AI91" s="299" t="e">
        <f t="shared" si="72"/>
        <v>#VALUE!</v>
      </c>
      <c r="AK91" t="e">
        <f t="shared" si="73"/>
        <v>#VALUE!</v>
      </c>
      <c r="AM91" t="e">
        <f t="shared" si="74"/>
        <v>#VALUE!</v>
      </c>
      <c r="AN91" t="e">
        <f t="shared" si="68"/>
        <v>#VALUE!</v>
      </c>
    </row>
    <row r="92" spans="1:40" x14ac:dyDescent="0.25">
      <c r="A92" s="653">
        <v>6000000</v>
      </c>
      <c r="B92" s="352">
        <f t="shared" si="17"/>
        <v>6000</v>
      </c>
      <c r="C92" t="str">
        <f t="shared" si="54"/>
        <v>37699111.8i</v>
      </c>
      <c r="D92" s="30" t="str">
        <f t="shared" si="55"/>
        <v>-1421223030508900</v>
      </c>
      <c r="E92" s="30" t="str">
        <f t="shared" si="56"/>
        <v>-5.35788459198898E+22i</v>
      </c>
      <c r="G92" s="30" t="e">
        <f t="shared" si="75"/>
        <v>#VALUE!</v>
      </c>
      <c r="I92" s="30" t="e">
        <f t="shared" si="57"/>
        <v>#REF!</v>
      </c>
      <c r="J92" t="e">
        <f t="shared" si="18"/>
        <v>#REF!</v>
      </c>
      <c r="L92" s="30" t="e">
        <f t="shared" si="58"/>
        <v>#VALUE!</v>
      </c>
      <c r="M92" t="e">
        <f t="shared" si="59"/>
        <v>#VALUE!</v>
      </c>
      <c r="N92" t="e">
        <f t="shared" si="19"/>
        <v>#REF!</v>
      </c>
      <c r="O92" s="299" t="e">
        <f t="shared" si="20"/>
        <v>#VALUE!</v>
      </c>
      <c r="P92" s="651">
        <v>0</v>
      </c>
      <c r="Q92" s="397" t="str">
        <f t="shared" si="60"/>
        <v>1+13.19468913i</v>
      </c>
      <c r="R92" s="397" t="str">
        <f t="shared" si="61"/>
        <v>-5993.32970459887i</v>
      </c>
      <c r="S92" s="397" t="str">
        <f t="shared" si="62"/>
        <v>-1420.6545412967</v>
      </c>
      <c r="T92" s="397" t="str">
        <f t="shared" si="21"/>
        <v>-1419.6545412967-5980.13501546887i</v>
      </c>
      <c r="U92" s="652">
        <v>1</v>
      </c>
      <c r="V92">
        <f t="shared" si="76"/>
        <v>1</v>
      </c>
      <c r="W92">
        <f t="shared" si="23"/>
        <v>0</v>
      </c>
      <c r="X92">
        <f t="shared" si="77"/>
        <v>0</v>
      </c>
      <c r="Z92" t="str">
        <f t="shared" si="63"/>
        <v>-0.00212628728062533-0.000337549802608077i</v>
      </c>
      <c r="AA92">
        <f t="shared" si="69"/>
        <v>-53.339467507298949</v>
      </c>
      <c r="AB92">
        <f t="shared" si="64"/>
        <v>-170.979524286046</v>
      </c>
      <c r="AD92" s="30" t="str">
        <f t="shared" si="65"/>
        <v>753.982236i</v>
      </c>
      <c r="AE92" s="30" t="str">
        <f t="shared" si="70"/>
        <v>1+753.982236i</v>
      </c>
      <c r="AF92" s="30" t="e">
        <f t="shared" si="66"/>
        <v>#VALUE!</v>
      </c>
      <c r="AG92" t="e">
        <f t="shared" si="67"/>
        <v>#VALUE!</v>
      </c>
      <c r="AH92" t="str">
        <f t="shared" si="71"/>
        <v>1+753.982236i</v>
      </c>
      <c r="AI92" s="299" t="e">
        <f t="shared" si="72"/>
        <v>#VALUE!</v>
      </c>
      <c r="AK92" t="e">
        <f t="shared" si="73"/>
        <v>#VALUE!</v>
      </c>
      <c r="AM92" t="e">
        <f t="shared" si="74"/>
        <v>#VALUE!</v>
      </c>
      <c r="AN92" t="e">
        <f t="shared" si="68"/>
        <v>#VALUE!</v>
      </c>
    </row>
    <row r="93" spans="1:40" x14ac:dyDescent="0.25">
      <c r="A93" s="653">
        <v>7000000</v>
      </c>
      <c r="B93" s="352">
        <f t="shared" si="17"/>
        <v>7000</v>
      </c>
      <c r="C93" t="str">
        <f t="shared" si="54"/>
        <v>43982297.1i</v>
      </c>
      <c r="D93" s="30" t="str">
        <f t="shared" si="55"/>
        <v>-1934442458192670</v>
      </c>
      <c r="E93" s="30" t="str">
        <f t="shared" si="56"/>
        <v>-8.50812229190843E+22i</v>
      </c>
      <c r="G93" s="30" t="e">
        <f t="shared" si="75"/>
        <v>#VALUE!</v>
      </c>
      <c r="I93" s="30" t="e">
        <f t="shared" si="57"/>
        <v>#REF!</v>
      </c>
      <c r="J93" t="e">
        <f t="shared" si="18"/>
        <v>#REF!</v>
      </c>
      <c r="L93" s="30" t="e">
        <f t="shared" si="58"/>
        <v>#VALUE!</v>
      </c>
      <c r="M93" t="e">
        <f t="shared" si="59"/>
        <v>#VALUE!</v>
      </c>
      <c r="N93" t="e">
        <f t="shared" si="19"/>
        <v>#REF!</v>
      </c>
      <c r="O93" s="299" t="e">
        <f t="shared" si="20"/>
        <v>#VALUE!</v>
      </c>
      <c r="P93" s="651">
        <v>0</v>
      </c>
      <c r="Q93" s="397" t="str">
        <f t="shared" si="60"/>
        <v>1+15.393803985i</v>
      </c>
      <c r="R93" s="397" t="str">
        <f t="shared" si="61"/>
        <v>-9517.18559572877i</v>
      </c>
      <c r="S93" s="397" t="str">
        <f t="shared" si="62"/>
        <v>-1933.66868120939</v>
      </c>
      <c r="T93" s="397" t="str">
        <f t="shared" si="21"/>
        <v>-1932.66868120939-9501.79179174377i</v>
      </c>
      <c r="U93" s="652">
        <v>1</v>
      </c>
      <c r="V93">
        <f t="shared" si="76"/>
        <v>1</v>
      </c>
      <c r="W93">
        <f t="shared" si="23"/>
        <v>0</v>
      </c>
      <c r="X93">
        <f t="shared" si="77"/>
        <v>0</v>
      </c>
      <c r="Z93" t="str">
        <f t="shared" si="63"/>
        <v>-0.00157628762603077-0.000215374297002146i</v>
      </c>
      <c r="AA93">
        <f t="shared" si="69"/>
        <v>-55.966960551322785</v>
      </c>
      <c r="AB93">
        <f t="shared" si="64"/>
        <v>-172.21963347996476</v>
      </c>
      <c r="AD93" s="30" t="str">
        <f t="shared" si="65"/>
        <v>879.645942i</v>
      </c>
      <c r="AE93" s="30" t="str">
        <f t="shared" si="70"/>
        <v>1+879.645942i</v>
      </c>
      <c r="AF93" s="30" t="e">
        <f t="shared" si="66"/>
        <v>#VALUE!</v>
      </c>
      <c r="AG93" t="e">
        <f t="shared" si="67"/>
        <v>#VALUE!</v>
      </c>
      <c r="AH93" t="str">
        <f t="shared" si="71"/>
        <v>1+879.645942i</v>
      </c>
      <c r="AI93" s="299" t="e">
        <f t="shared" si="72"/>
        <v>#VALUE!</v>
      </c>
      <c r="AK93" t="e">
        <f t="shared" si="73"/>
        <v>#VALUE!</v>
      </c>
      <c r="AM93" t="e">
        <f t="shared" si="74"/>
        <v>#VALUE!</v>
      </c>
      <c r="AN93" t="e">
        <f t="shared" si="68"/>
        <v>#VALUE!</v>
      </c>
    </row>
    <row r="94" spans="1:40" x14ac:dyDescent="0.25">
      <c r="A94" s="653">
        <v>8000000</v>
      </c>
      <c r="B94" s="352">
        <f t="shared" si="17"/>
        <v>8000</v>
      </c>
      <c r="C94" t="str">
        <f t="shared" si="54"/>
        <v>50265482.4i</v>
      </c>
      <c r="D94" s="30" t="str">
        <f t="shared" si="55"/>
        <v>-2526618720904710</v>
      </c>
      <c r="E94" s="30" t="str">
        <f t="shared" si="56"/>
        <v>-1.27001708847146E+23i</v>
      </c>
      <c r="G94" s="30" t="e">
        <f t="shared" si="75"/>
        <v>#VALUE!</v>
      </c>
      <c r="I94" s="30" t="e">
        <f t="shared" si="57"/>
        <v>#REF!</v>
      </c>
      <c r="J94" t="e">
        <f t="shared" si="18"/>
        <v>#REF!</v>
      </c>
      <c r="L94" s="30" t="e">
        <f t="shared" si="58"/>
        <v>#VALUE!</v>
      </c>
      <c r="M94" t="e">
        <f t="shared" si="59"/>
        <v>#VALUE!</v>
      </c>
      <c r="N94" t="e">
        <f t="shared" si="19"/>
        <v>#REF!</v>
      </c>
      <c r="O94" s="299" t="e">
        <f t="shared" si="20"/>
        <v>#VALUE!</v>
      </c>
      <c r="P94" s="651">
        <v>0</v>
      </c>
      <c r="Q94" s="397" t="str">
        <f t="shared" si="60"/>
        <v>1+17.59291884i</v>
      </c>
      <c r="R94" s="397" t="str">
        <f t="shared" si="61"/>
        <v>-14206.4111516417i</v>
      </c>
      <c r="S94" s="397" t="str">
        <f t="shared" si="62"/>
        <v>-2525.60807341635</v>
      </c>
      <c r="T94" s="397" t="str">
        <f t="shared" si="21"/>
        <v>-2524.60807341635-14188.8182328017i</v>
      </c>
      <c r="U94" s="652">
        <v>1</v>
      </c>
      <c r="V94">
        <f t="shared" si="76"/>
        <v>1</v>
      </c>
      <c r="W94">
        <f t="shared" si="23"/>
        <v>0</v>
      </c>
      <c r="X94">
        <f t="shared" si="77"/>
        <v>0</v>
      </c>
      <c r="Z94" t="str">
        <f t="shared" si="63"/>
        <v>-0.00121401992445827-0.000145531817287078i</v>
      </c>
      <c r="AA94">
        <f t="shared" si="69"/>
        <v>-58.253518683206799</v>
      </c>
      <c r="AB94">
        <f t="shared" si="64"/>
        <v>-173.1642323462458</v>
      </c>
      <c r="AD94" s="30" t="str">
        <f t="shared" si="65"/>
        <v>1005.309648i</v>
      </c>
      <c r="AE94" s="30" t="str">
        <f t="shared" si="70"/>
        <v>1+1005.309648i</v>
      </c>
      <c r="AF94" s="30" t="e">
        <f t="shared" si="66"/>
        <v>#VALUE!</v>
      </c>
      <c r="AG94" t="e">
        <f t="shared" si="67"/>
        <v>#VALUE!</v>
      </c>
      <c r="AH94" t="str">
        <f t="shared" si="71"/>
        <v>1+1005.309648i</v>
      </c>
      <c r="AI94" s="299" t="e">
        <f t="shared" si="72"/>
        <v>#VALUE!</v>
      </c>
      <c r="AK94" t="e">
        <f t="shared" si="73"/>
        <v>#VALUE!</v>
      </c>
      <c r="AM94" t="e">
        <f t="shared" si="74"/>
        <v>#VALUE!</v>
      </c>
      <c r="AN94" t="e">
        <f t="shared" si="68"/>
        <v>#VALUE!</v>
      </c>
    </row>
    <row r="95" spans="1:40" x14ac:dyDescent="0.25">
      <c r="A95" s="653">
        <v>9000000</v>
      </c>
      <c r="B95" s="352">
        <f t="shared" si="17"/>
        <v>9000</v>
      </c>
      <c r="C95" t="str">
        <f t="shared" si="54"/>
        <v>56548667.7i</v>
      </c>
      <c r="D95" s="30" t="str">
        <f t="shared" si="55"/>
        <v>-3197751818645020</v>
      </c>
      <c r="E95" s="30" t="str">
        <f t="shared" si="56"/>
        <v>-1.80828604979628E+23i</v>
      </c>
      <c r="G95" s="30" t="e">
        <f t="shared" si="75"/>
        <v>#VALUE!</v>
      </c>
      <c r="I95" s="30" t="e">
        <f t="shared" si="57"/>
        <v>#REF!</v>
      </c>
      <c r="J95" t="e">
        <f t="shared" si="18"/>
        <v>#REF!</v>
      </c>
      <c r="L95" s="30" t="e">
        <f t="shared" si="58"/>
        <v>#VALUE!</v>
      </c>
      <c r="M95" t="e">
        <f t="shared" si="59"/>
        <v>#VALUE!</v>
      </c>
      <c r="N95" t="e">
        <f t="shared" si="19"/>
        <v>#REF!</v>
      </c>
      <c r="O95" s="299" t="e">
        <f t="shared" si="20"/>
        <v>#VALUE!</v>
      </c>
      <c r="P95" s="651">
        <v>0</v>
      </c>
      <c r="Q95" s="397" t="str">
        <f t="shared" si="60"/>
        <v>1+19.792033695i</v>
      </c>
      <c r="R95" s="397" t="str">
        <f t="shared" si="61"/>
        <v>-20227.4877530212i</v>
      </c>
      <c r="S95" s="397" t="str">
        <f t="shared" si="62"/>
        <v>-3196.47271791756</v>
      </c>
      <c r="T95" s="397" t="str">
        <f t="shared" si="21"/>
        <v>-3195.47271791756-20207.6957193262i</v>
      </c>
      <c r="U95" s="652">
        <v>1</v>
      </c>
      <c r="V95">
        <f t="shared" si="76"/>
        <v>1</v>
      </c>
      <c r="W95">
        <f t="shared" si="23"/>
        <v>0</v>
      </c>
      <c r="X95">
        <f t="shared" si="77"/>
        <v>0</v>
      </c>
      <c r="Z95" t="str">
        <f t="shared" si="63"/>
        <v>-0.000963171180292813-0.000102821581350465i</v>
      </c>
      <c r="AA95">
        <f t="shared" si="69"/>
        <v>-60.27671706539698</v>
      </c>
      <c r="AB95">
        <f t="shared" si="64"/>
        <v>-173.90657129969617</v>
      </c>
      <c r="AD95" s="30" t="str">
        <f t="shared" si="65"/>
        <v>1130.973354i</v>
      </c>
      <c r="AE95" s="30" t="str">
        <f t="shared" si="70"/>
        <v>1+1130.973354i</v>
      </c>
      <c r="AF95" s="30" t="e">
        <f t="shared" si="66"/>
        <v>#VALUE!</v>
      </c>
      <c r="AG95" t="e">
        <f t="shared" si="67"/>
        <v>#VALUE!</v>
      </c>
      <c r="AH95" t="str">
        <f t="shared" si="71"/>
        <v>1+1130.973354i</v>
      </c>
      <c r="AI95" s="299" t="e">
        <f t="shared" si="72"/>
        <v>#VALUE!</v>
      </c>
      <c r="AK95" t="e">
        <f t="shared" si="73"/>
        <v>#VALUE!</v>
      </c>
      <c r="AM95" t="e">
        <f t="shared" si="74"/>
        <v>#VALUE!</v>
      </c>
      <c r="AN95" t="e">
        <f t="shared" si="68"/>
        <v>#VALUE!</v>
      </c>
    </row>
    <row r="96" spans="1:40" x14ac:dyDescent="0.25">
      <c r="A96" s="653">
        <v>10000000</v>
      </c>
      <c r="B96" s="352">
        <f t="shared" si="17"/>
        <v>10000</v>
      </c>
      <c r="C96" t="str">
        <f t="shared" si="54"/>
        <v>62831853i</v>
      </c>
      <c r="D96" s="30" t="str">
        <f t="shared" si="55"/>
        <v>-3947841751413610</v>
      </c>
      <c r="E96" s="30" t="str">
        <f t="shared" si="56"/>
        <v>-2.48050212592082E+23i</v>
      </c>
      <c r="G96" s="30" t="e">
        <f t="shared" si="75"/>
        <v>#VALUE!</v>
      </c>
      <c r="I96" s="30" t="e">
        <f t="shared" si="57"/>
        <v>#REF!</v>
      </c>
      <c r="J96" t="e">
        <f t="shared" si="18"/>
        <v>#REF!</v>
      </c>
      <c r="L96" s="30" t="e">
        <f t="shared" si="58"/>
        <v>#VALUE!</v>
      </c>
      <c r="M96" t="e">
        <f t="shared" si="59"/>
        <v>#VALUE!</v>
      </c>
      <c r="N96" t="e">
        <f t="shared" si="19"/>
        <v>#REF!</v>
      </c>
      <c r="O96" s="299" t="e">
        <f t="shared" si="20"/>
        <v>#VALUE!</v>
      </c>
      <c r="P96" s="651">
        <v>0</v>
      </c>
      <c r="Q96" s="397" t="str">
        <f t="shared" si="60"/>
        <v>1+21.99114855i</v>
      </c>
      <c r="R96" s="397" t="str">
        <f t="shared" si="61"/>
        <v>-27746.8967805503i</v>
      </c>
      <c r="S96" s="397" t="str">
        <f t="shared" si="62"/>
        <v>-3946.26261471304</v>
      </c>
      <c r="T96" s="397" t="str">
        <f t="shared" si="21"/>
        <v>-3945.26261471304-27724.9056320003i</v>
      </c>
      <c r="U96" s="652">
        <v>1</v>
      </c>
      <c r="V96">
        <f t="shared" si="76"/>
        <v>1</v>
      </c>
      <c r="W96">
        <f t="shared" si="23"/>
        <v>0</v>
      </c>
      <c r="X96">
        <f t="shared" si="77"/>
        <v>0</v>
      </c>
      <c r="Z96" t="str">
        <f t="shared" si="63"/>
        <v>-0.000782478973720499-0.0000752783461022707i</v>
      </c>
      <c r="AA96">
        <f t="shared" si="69"/>
        <v>-62.09053569388221</v>
      </c>
      <c r="AB96">
        <f t="shared" si="64"/>
        <v>-174.50477476720093</v>
      </c>
      <c r="AD96" s="30" t="str">
        <f t="shared" si="65"/>
        <v>1256.63706i</v>
      </c>
      <c r="AE96" s="30" t="str">
        <f t="shared" si="70"/>
        <v>1+1256.63706i</v>
      </c>
      <c r="AF96" s="30" t="e">
        <f t="shared" si="66"/>
        <v>#VALUE!</v>
      </c>
      <c r="AG96" t="e">
        <f t="shared" si="67"/>
        <v>#VALUE!</v>
      </c>
      <c r="AH96" t="str">
        <f t="shared" si="71"/>
        <v>1+1256.63706i</v>
      </c>
      <c r="AI96" s="299" t="e">
        <f t="shared" si="72"/>
        <v>#VALUE!</v>
      </c>
      <c r="AK96" t="e">
        <f t="shared" si="73"/>
        <v>#VALUE!</v>
      </c>
      <c r="AM96" t="e">
        <f t="shared" si="74"/>
        <v>#VALUE!</v>
      </c>
      <c r="AN96" t="e">
        <f t="shared" si="68"/>
        <v>#VALUE!</v>
      </c>
    </row>
    <row r="97" spans="1:40" x14ac:dyDescent="0.25">
      <c r="A97" s="307">
        <f>Fsw</f>
        <v>405680</v>
      </c>
      <c r="B97" s="352">
        <f>A97/1000</f>
        <v>405.68</v>
      </c>
      <c r="C97" t="str">
        <f t="shared" si="54"/>
        <v>2548962.612504i</v>
      </c>
      <c r="D97" s="30" t="str">
        <f t="shared" si="55"/>
        <v>-6497210399943.22</v>
      </c>
      <c r="E97" s="30" t="str">
        <f t="shared" si="56"/>
        <v>-16561146395027400000i</v>
      </c>
      <c r="G97" s="30" t="e">
        <f t="shared" si="75"/>
        <v>#VALUE!</v>
      </c>
      <c r="I97" s="30" t="e">
        <f t="shared" si="57"/>
        <v>#REF!</v>
      </c>
      <c r="J97" t="e">
        <f>IMSUM(1,I97)</f>
        <v>#REF!</v>
      </c>
      <c r="L97" s="30" t="e">
        <f t="shared" si="58"/>
        <v>#VALUE!</v>
      </c>
      <c r="M97" t="e">
        <f t="shared" si="59"/>
        <v>#VALUE!</v>
      </c>
      <c r="N97" t="e">
        <f>J97</f>
        <v>#REF!</v>
      </c>
      <c r="O97" s="299" t="e">
        <f>IMSUM(L97:N97)</f>
        <v>#VALUE!</v>
      </c>
      <c r="P97" s="651">
        <v>2</v>
      </c>
      <c r="Q97" s="397" t="str">
        <f t="shared" si="60"/>
        <v>1+0.8921369143764i</v>
      </c>
      <c r="R97" s="397" t="str">
        <f t="shared" si="61"/>
        <v>-1.85252983574776i</v>
      </c>
      <c r="S97" s="397" t="str">
        <f t="shared" si="62"/>
        <v>-6.49461151578324</v>
      </c>
      <c r="T97" s="397" t="str">
        <f>IMSUM(S97,R97,Q97)</f>
        <v>-5.49461151578324-0.96039292137136i</v>
      </c>
      <c r="U97" s="652">
        <v>1</v>
      </c>
      <c r="V97">
        <f t="shared" si="76"/>
        <v>1</v>
      </c>
      <c r="W97">
        <f>20*LOG10(IMABS(V97))</f>
        <v>0</v>
      </c>
      <c r="X97">
        <f t="shared" si="77"/>
        <v>0</v>
      </c>
      <c r="Z97" t="str">
        <f t="shared" si="63"/>
        <v>-0.204139458818343-0.126684629323691i</v>
      </c>
      <c r="AA97">
        <f t="shared" si="69"/>
        <v>-12.386592769258344</v>
      </c>
      <c r="AB97">
        <f t="shared" si="64"/>
        <v>-148.17713710779674</v>
      </c>
      <c r="AD97" s="30" t="str">
        <f t="shared" si="65"/>
        <v>50.97925225008i</v>
      </c>
      <c r="AE97" s="30" t="str">
        <f t="shared" si="70"/>
        <v>1+50.97925225008i</v>
      </c>
      <c r="AF97" s="30" t="e">
        <f t="shared" si="66"/>
        <v>#VALUE!</v>
      </c>
      <c r="AG97" t="e">
        <f t="shared" si="67"/>
        <v>#VALUE!</v>
      </c>
      <c r="AH97" t="str">
        <f t="shared" si="71"/>
        <v>1+50.97925225008i</v>
      </c>
      <c r="AI97" s="299" t="e">
        <f t="shared" si="72"/>
        <v>#VALUE!</v>
      </c>
      <c r="AK97" t="e">
        <f t="shared" si="73"/>
        <v>#VALUE!</v>
      </c>
      <c r="AM97" t="e">
        <f t="shared" si="74"/>
        <v>#VALUE!</v>
      </c>
      <c r="AN97" t="e">
        <f t="shared" si="68"/>
        <v>#VALUE!</v>
      </c>
    </row>
    <row r="98" spans="1:40" x14ac:dyDescent="0.25">
      <c r="A98" s="416"/>
      <c r="B98" s="342"/>
    </row>
    <row r="99" spans="1:40" x14ac:dyDescent="0.25">
      <c r="A99" s="416"/>
      <c r="B99" s="342"/>
    </row>
    <row r="100" spans="1:40" x14ac:dyDescent="0.25">
      <c r="A100" s="393"/>
    </row>
    <row r="101" spans="1:40" x14ac:dyDescent="0.25">
      <c r="A101" s="393"/>
    </row>
    <row r="102" spans="1:40" x14ac:dyDescent="0.25">
      <c r="A102" s="393"/>
    </row>
    <row r="112" spans="1:40" x14ac:dyDescent="0.25">
      <c r="A112" s="347"/>
    </row>
    <row r="113" spans="1:1" x14ac:dyDescent="0.25">
      <c r="A113" s="347"/>
    </row>
  </sheetData>
  <mergeCells count="8">
    <mergeCell ref="AD11:AE11"/>
    <mergeCell ref="AF11:AI11"/>
    <mergeCell ref="A10:A12"/>
    <mergeCell ref="B10:B11"/>
    <mergeCell ref="I11:J11"/>
    <mergeCell ref="L11:O11"/>
    <mergeCell ref="Q11:T11"/>
    <mergeCell ref="R12:T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T159"/>
  <sheetViews>
    <sheetView topLeftCell="H1" zoomScale="115" zoomScaleNormal="115" workbookViewId="0">
      <selection activeCell="R12" sqref="R12"/>
    </sheetView>
  </sheetViews>
  <sheetFormatPr defaultRowHeight="12.5" x14ac:dyDescent="0.25"/>
  <cols>
    <col min="1" max="1" width="17.36328125" customWidth="1"/>
    <col min="2" max="2" width="12" bestFit="1" customWidth="1"/>
    <col min="3" max="4" width="12.453125" bestFit="1" customWidth="1"/>
    <col min="7" max="9" width="12.453125" bestFit="1" customWidth="1"/>
    <col min="10" max="10" width="11.453125" bestFit="1" customWidth="1"/>
    <col min="11" max="12" width="11.453125" customWidth="1"/>
    <col min="13" max="13" width="10.453125" customWidth="1"/>
    <col min="14" max="15" width="10" customWidth="1"/>
    <col min="17" max="17" width="12.08984375" customWidth="1"/>
    <col min="18" max="18" width="12.453125" bestFit="1" customWidth="1"/>
    <col min="19" max="19" width="15.453125" customWidth="1"/>
  </cols>
  <sheetData>
    <row r="2" spans="1:20" x14ac:dyDescent="0.25">
      <c r="A2" t="s">
        <v>157</v>
      </c>
      <c r="B2" t="s">
        <v>150</v>
      </c>
      <c r="C2" t="s">
        <v>31</v>
      </c>
      <c r="D2" t="s">
        <v>32</v>
      </c>
      <c r="E2" t="s">
        <v>25</v>
      </c>
      <c r="F2" t="s">
        <v>57</v>
      </c>
      <c r="G2" s="113" t="s">
        <v>630</v>
      </c>
      <c r="H2" s="113" t="s">
        <v>310</v>
      </c>
      <c r="I2" s="113" t="s">
        <v>661</v>
      </c>
      <c r="J2" s="113" t="s">
        <v>662</v>
      </c>
      <c r="K2" s="113" t="s">
        <v>798</v>
      </c>
      <c r="L2" s="113" t="s">
        <v>800</v>
      </c>
      <c r="M2" s="113" t="s">
        <v>765</v>
      </c>
      <c r="N2" s="113" t="s">
        <v>769</v>
      </c>
      <c r="O2" s="113"/>
    </row>
    <row r="3" spans="1:20" ht="13" x14ac:dyDescent="0.3">
      <c r="A3" t="s">
        <v>160</v>
      </c>
      <c r="B3">
        <f>Css</f>
        <v>0</v>
      </c>
      <c r="C3">
        <f>Cc1ea</f>
        <v>2.2480452372867303E-8</v>
      </c>
      <c r="D3">
        <f>Cc2ea</f>
        <v>1.2332890743090356E-10</v>
      </c>
      <c r="E3">
        <f>Cout</f>
        <v>6.6000000000000005E-5</v>
      </c>
      <c r="F3">
        <f>Cin</f>
        <v>4.6999999999999999E-6</v>
      </c>
      <c r="G3">
        <f>Cres</f>
        <v>3.3333333333333335E-7</v>
      </c>
      <c r="H3">
        <f>Cdither_init</f>
        <v>2.0226537216828479E-9</v>
      </c>
      <c r="I3">
        <f>Cc3ea</f>
        <v>0</v>
      </c>
      <c r="J3">
        <f>Cc4ea</f>
        <v>0</v>
      </c>
      <c r="K3" s="30" t="e">
        <f>'Variable Management'!B292*0.000001</f>
        <v>#VALUE!</v>
      </c>
      <c r="L3" s="30" t="e">
        <f>K3*4</f>
        <v>#VALUE!</v>
      </c>
      <c r="M3" t="e">
        <f>Cinj_AEF*0.000001</f>
        <v>#VALUE!</v>
      </c>
      <c r="N3" t="e">
        <f>'Variable Management'!B295*0.000001</f>
        <v>#VALUE!</v>
      </c>
      <c r="Q3" t="s">
        <v>162</v>
      </c>
      <c r="R3" t="s">
        <v>163</v>
      </c>
      <c r="S3" s="2" t="s">
        <v>159</v>
      </c>
    </row>
    <row r="4" spans="1:20" ht="13" x14ac:dyDescent="0.3">
      <c r="A4" s="7" t="s">
        <v>159</v>
      </c>
      <c r="B4" s="7">
        <f>SUM(B6:B158)/1000000000000</f>
        <v>0</v>
      </c>
      <c r="C4" s="7">
        <f>IF(C3="OPEN","OPEN",SUM(C6:C158)/1000000000000)</f>
        <v>2.1999999999999998E-8</v>
      </c>
      <c r="D4" s="7">
        <f>SUM(D6:D158)/1000000000000</f>
        <v>1.2E-10</v>
      </c>
      <c r="E4" s="7">
        <f>SUM(E6:E158)/1000000000000</f>
        <v>6.7999999999999999E-5</v>
      </c>
      <c r="F4" s="7">
        <f>SUM(F6:F158)/1000000000000</f>
        <v>4.6999999999999999E-6</v>
      </c>
      <c r="G4" s="7">
        <f>SUM(G6:G158)/1000000000000</f>
        <v>3.3000000000000002E-7</v>
      </c>
      <c r="H4" s="7">
        <f t="shared" ref="H4:N4" si="0">IF(H3="OPEN","OPEN",SUM(H6:H158)/1000000000000)</f>
        <v>2.1999999999999998E-9</v>
      </c>
      <c r="I4" s="7">
        <f t="shared" si="0"/>
        <v>0</v>
      </c>
      <c r="J4" s="7">
        <f t="shared" si="0"/>
        <v>0</v>
      </c>
      <c r="K4" s="7" t="e">
        <f t="shared" si="0"/>
        <v>#VALUE!</v>
      </c>
      <c r="L4" s="7" t="e">
        <f t="shared" si="0"/>
        <v>#VALUE!</v>
      </c>
      <c r="M4" s="7" t="e">
        <f t="shared" si="0"/>
        <v>#VALUE!</v>
      </c>
      <c r="N4" s="7" t="e">
        <f t="shared" si="0"/>
        <v>#VALUE!</v>
      </c>
      <c r="O4" s="7"/>
      <c r="Q4" s="113" t="s">
        <v>272</v>
      </c>
      <c r="R4">
        <f>Rfadj</f>
        <v>53.6</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53.6</v>
      </c>
      <c r="T4" s="45" t="s">
        <v>260</v>
      </c>
    </row>
    <row r="5" spans="1:20" ht="13" x14ac:dyDescent="0.3">
      <c r="A5" t="s">
        <v>158</v>
      </c>
      <c r="S5" s="2"/>
      <c r="T5" s="45"/>
    </row>
    <row r="6" spans="1:20" ht="13" x14ac:dyDescent="0.3">
      <c r="A6">
        <v>0.47</v>
      </c>
      <c r="B6">
        <f t="shared" ref="B6:N6" si="1">IF(IF((B$3*10^12-$A7)*(B$3*10^12-$A6)*-1&lt;0,0,1)*IF(ABS(B$3*10^12-$A7)&gt;(B$3*10^12-$A6),$A6,$A7)=B7,0,IF((B$3*10^12-$A7)*(B$3*10^12-$A6)*-1&lt;0,0,1)*IF(ABS(B$3*10^12-$A7)&gt;(B$3*10^12-$A6),$A6,$A7))</f>
        <v>0</v>
      </c>
      <c r="C6">
        <f t="shared" si="1"/>
        <v>0</v>
      </c>
      <c r="D6">
        <f t="shared" si="1"/>
        <v>0</v>
      </c>
      <c r="E6">
        <f t="shared" si="1"/>
        <v>0</v>
      </c>
      <c r="F6">
        <f t="shared" si="1"/>
        <v>0</v>
      </c>
      <c r="G6">
        <f t="shared" si="1"/>
        <v>0</v>
      </c>
      <c r="H6">
        <f t="shared" si="1"/>
        <v>0</v>
      </c>
      <c r="I6">
        <f t="shared" si="1"/>
        <v>0</v>
      </c>
      <c r="J6">
        <f t="shared" si="1"/>
        <v>0</v>
      </c>
      <c r="K6" t="e">
        <f t="shared" si="1"/>
        <v>#VALUE!</v>
      </c>
      <c r="L6" t="e">
        <f t="shared" si="1"/>
        <v>#VALUE!</v>
      </c>
      <c r="M6" t="e">
        <f t="shared" si="1"/>
        <v>#VALUE!</v>
      </c>
      <c r="N6" t="e">
        <f t="shared" si="1"/>
        <v>#VALUE!</v>
      </c>
      <c r="Q6" s="113"/>
      <c r="R6" s="53"/>
      <c r="S6" s="2"/>
      <c r="T6" s="45"/>
    </row>
    <row r="7" spans="1:20" ht="13" x14ac:dyDescent="0.3">
      <c r="A7">
        <v>0.56000000000000005</v>
      </c>
      <c r="B7">
        <f t="shared" ref="B7:B70" si="2">IF(IF((B$3*10^12-$A8)*(B$3*10^12-$A7)*-1&lt;0,0,1)*IF(ABS(B$3*10^12-$A8)&gt;(B$3*10^12-$A7),$A7,$A8)=B8,0,IF((B$3*10^12-$A8)*(B$3*10^12-$A7)*-1&lt;0,0,1)*IF(ABS(B$3*10^12-$A8)&gt;(B$3*10^12-$A7),$A7,$A8))</f>
        <v>0</v>
      </c>
      <c r="C7">
        <f t="shared" ref="C7:C38" si="3">IF(IF((C$3*10^12-$A8)*(C$3*10^12-$A7)*-1&lt;0,0,1)*IF(ABS(C$3*10^12-$A8)&gt;(C$3*10^12-$A7),$A7,$A8)=C8,0,IF((C$3*10^12-$A8)*(C$3*10^12-$A7)*-1&lt;0,0,1)*IF(ABS(C$3*10^12-$A8)&gt;(C$3*10^12-$A7),$A7,$A8))</f>
        <v>0</v>
      </c>
      <c r="D7">
        <f t="shared" ref="D7:D69" si="4">IF(IF((D$3*10^12-$A8)*(D$3*10^12-$A7)*-1&lt;0,0,1)*IF(ABS(D$3*10^12-$A8)&gt;(D$3*10^12-$A7),$A7,$A8)=D8,0,IF((D$3*10^12-$A8)*(D$3*10^12-$A7)*-1&lt;0,0,1)*IF(ABS(D$3*10^12-$A8)&gt;(D$3*10^12-$A7),$A7,$A8))</f>
        <v>0</v>
      </c>
      <c r="E7">
        <f t="shared" ref="E7:E69" si="5">IF(IF((E$3*10^12-$A8)*(E$3*10^12-$A7)*-1&lt;0,0,1)*IF(ABS(E$3*10^12-$A8)&gt;(E$3*10^12-$A7),$A7,$A8)=E8,0,IF((E$3*10^12-$A8)*(E$3*10^12-$A7)*-1&lt;0,0,1)*IF(ABS(E$3*10^12-$A8)&gt;(E$3*10^12-$A7),$A7,$A8))</f>
        <v>0</v>
      </c>
      <c r="F7">
        <f t="shared" ref="F7:F69" si="6">IF(IF((F$3*10^12-$A8)*(F$3*10^12-$A7)*-1&lt;0,0,1)*IF(ABS(F$3*10^12-$A8)&gt;(F$3*10^12-$A7),$A7,$A8)=F8,0,IF((F$3*10^12-$A8)*(F$3*10^12-$A7)*-1&lt;0,0,1)*IF(ABS(F$3*10^12-$A8)&gt;(F$3*10^12-$A7),$A7,$A8))</f>
        <v>0</v>
      </c>
      <c r="G7">
        <f t="shared" ref="G7:N69" si="7">IF(IF((G$3*10^12-$A8)*(G$3*10^12-$A7)*-1&lt;0,0,1)*IF(ABS(G$3*10^12-$A8)&gt;(G$3*10^12-$A7),$A7,$A8)=G8,0,IF((G$3*10^12-$A8)*(G$3*10^12-$A7)*-1&lt;0,0,1)*IF(ABS(G$3*10^12-$A8)&gt;(G$3*10^12-$A7),$A7,$A8))</f>
        <v>0</v>
      </c>
      <c r="H7">
        <f t="shared" si="7"/>
        <v>0</v>
      </c>
      <c r="I7">
        <f t="shared" si="7"/>
        <v>0</v>
      </c>
      <c r="J7">
        <f t="shared" si="7"/>
        <v>0</v>
      </c>
      <c r="K7" t="e">
        <f t="shared" ref="K7:L13" si="8">IF(IF((K$3*10^12-$A8)*(K$3*10^12-$A7)*-1&lt;0,0,1)*IF(ABS(K$3*10^12-$A8)&gt;(K$3*10^12-$A7),$A7,$A8)=K8,0,IF((K$3*10^12-$A8)*(K$3*10^12-$A7)*-1&lt;0,0,1)*IF(ABS(K$3*10^12-$A8)&gt;(K$3*10^12-$A7),$A7,$A8))</f>
        <v>#VALUE!</v>
      </c>
      <c r="L7" t="e">
        <f t="shared" si="8"/>
        <v>#VALUE!</v>
      </c>
      <c r="M7" t="e">
        <f t="shared" si="7"/>
        <v>#VALUE!</v>
      </c>
      <c r="N7" t="e">
        <f t="shared" si="7"/>
        <v>#VALUE!</v>
      </c>
      <c r="Q7" t="s">
        <v>176</v>
      </c>
      <c r="R7">
        <f>Rcea1</f>
        <v>5056.9312597821918</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5110</v>
      </c>
      <c r="T7" s="45" t="s">
        <v>260</v>
      </c>
    </row>
    <row r="8" spans="1:20" ht="13" x14ac:dyDescent="0.3">
      <c r="A8">
        <v>0.68</v>
      </c>
      <c r="B8">
        <f t="shared" si="2"/>
        <v>0</v>
      </c>
      <c r="C8">
        <f t="shared" si="3"/>
        <v>0</v>
      </c>
      <c r="D8">
        <f t="shared" si="4"/>
        <v>0</v>
      </c>
      <c r="E8">
        <f t="shared" si="5"/>
        <v>0</v>
      </c>
      <c r="F8">
        <f t="shared" si="6"/>
        <v>0</v>
      </c>
      <c r="G8">
        <f t="shared" si="7"/>
        <v>0</v>
      </c>
      <c r="H8">
        <f t="shared" si="7"/>
        <v>0</v>
      </c>
      <c r="I8">
        <f t="shared" si="7"/>
        <v>0</v>
      </c>
      <c r="J8">
        <f t="shared" si="7"/>
        <v>0</v>
      </c>
      <c r="K8" t="e">
        <f t="shared" si="8"/>
        <v>#VALUE!</v>
      </c>
      <c r="L8" t="e">
        <f t="shared" si="8"/>
        <v>#VALUE!</v>
      </c>
      <c r="M8" t="e">
        <f t="shared" si="7"/>
        <v>#VALUE!</v>
      </c>
      <c r="N8" t="e">
        <f t="shared" si="7"/>
        <v>#VALUE!</v>
      </c>
      <c r="Q8" t="s">
        <v>176</v>
      </c>
      <c r="R8">
        <f>Rcea2</f>
        <v>0</v>
      </c>
      <c r="S8" s="2" t="e">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#NUM!</v>
      </c>
      <c r="T8" s="45" t="s">
        <v>260</v>
      </c>
    </row>
    <row r="9" spans="1:20" x14ac:dyDescent="0.25">
      <c r="A9">
        <v>0.82</v>
      </c>
      <c r="B9">
        <f t="shared" si="2"/>
        <v>0</v>
      </c>
      <c r="C9">
        <f t="shared" si="3"/>
        <v>0</v>
      </c>
      <c r="D9">
        <f t="shared" si="4"/>
        <v>0</v>
      </c>
      <c r="E9">
        <f t="shared" si="5"/>
        <v>0</v>
      </c>
      <c r="F9">
        <f t="shared" si="6"/>
        <v>0</v>
      </c>
      <c r="G9">
        <f t="shared" si="7"/>
        <v>0</v>
      </c>
      <c r="H9">
        <f t="shared" si="7"/>
        <v>0</v>
      </c>
      <c r="I9">
        <f t="shared" si="7"/>
        <v>0</v>
      </c>
      <c r="J9">
        <f t="shared" si="7"/>
        <v>0</v>
      </c>
      <c r="K9" t="e">
        <f t="shared" si="8"/>
        <v>#VALUE!</v>
      </c>
      <c r="L9" t="e">
        <f t="shared" si="8"/>
        <v>#VALUE!</v>
      </c>
      <c r="M9" t="e">
        <f t="shared" si="7"/>
        <v>#VALUE!</v>
      </c>
      <c r="N9" t="e">
        <f t="shared" si="7"/>
        <v>#VALUE!</v>
      </c>
    </row>
    <row r="10" spans="1:20" ht="13" x14ac:dyDescent="0.3">
      <c r="A10">
        <v>1</v>
      </c>
      <c r="B10">
        <f t="shared" si="2"/>
        <v>0</v>
      </c>
      <c r="C10">
        <f t="shared" si="3"/>
        <v>0</v>
      </c>
      <c r="D10">
        <f t="shared" si="4"/>
        <v>0</v>
      </c>
      <c r="E10">
        <f t="shared" si="5"/>
        <v>0</v>
      </c>
      <c r="F10">
        <f t="shared" si="6"/>
        <v>0</v>
      </c>
      <c r="G10">
        <f t="shared" si="7"/>
        <v>0</v>
      </c>
      <c r="H10">
        <f t="shared" si="7"/>
        <v>0</v>
      </c>
      <c r="I10">
        <f t="shared" si="7"/>
        <v>0</v>
      </c>
      <c r="J10">
        <f t="shared" si="7"/>
        <v>0</v>
      </c>
      <c r="K10" t="e">
        <f t="shared" si="8"/>
        <v>#VALUE!</v>
      </c>
      <c r="L10" t="e">
        <f t="shared" si="8"/>
        <v>#VALUE!</v>
      </c>
      <c r="M10" t="e">
        <f t="shared" si="7"/>
        <v>#VALUE!</v>
      </c>
      <c r="N10" t="e">
        <f t="shared" si="7"/>
        <v>#VALUE!</v>
      </c>
      <c r="Q10" t="s">
        <v>29</v>
      </c>
      <c r="R10">
        <f>Rfb1_</f>
        <v>2500000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2490000</v>
      </c>
      <c r="T10" s="45" t="s">
        <v>260</v>
      </c>
    </row>
    <row r="11" spans="1:20" ht="13" x14ac:dyDescent="0.3">
      <c r="A11">
        <v>1.2</v>
      </c>
      <c r="B11">
        <f t="shared" si="2"/>
        <v>0</v>
      </c>
      <c r="C11">
        <f t="shared" si="3"/>
        <v>0</v>
      </c>
      <c r="D11">
        <f t="shared" si="4"/>
        <v>0</v>
      </c>
      <c r="E11">
        <f t="shared" si="5"/>
        <v>0</v>
      </c>
      <c r="F11">
        <f t="shared" si="6"/>
        <v>0</v>
      </c>
      <c r="G11">
        <f t="shared" si="7"/>
        <v>0</v>
      </c>
      <c r="H11">
        <f t="shared" si="7"/>
        <v>0</v>
      </c>
      <c r="I11">
        <f t="shared" si="7"/>
        <v>0</v>
      </c>
      <c r="J11">
        <f t="shared" si="7"/>
        <v>0</v>
      </c>
      <c r="K11" t="e">
        <f t="shared" si="8"/>
        <v>#VALUE!</v>
      </c>
      <c r="L11" t="e">
        <f t="shared" si="8"/>
        <v>#VALUE!</v>
      </c>
      <c r="M11" t="e">
        <f t="shared" ref="M11:N26" si="9">IF(IF((M$3*10^12-$A12)*(M$3*10^12-$A11)*-1&lt;0,0,1)*IF(ABS(M$3*10^12-$A12)&gt;(M$3*10^12-$A11),$A11,$A12)=M12,0,IF((M$3*10^12-$A12)*(M$3*10^12-$A11)*-1&lt;0,0,1)*IF(ABS(M$3*10^12-$A12)&gt;(M$3*10^12-$A11),$A11,$A12))</f>
        <v>#VALUE!</v>
      </c>
      <c r="N11" t="e">
        <f t="shared" si="9"/>
        <v>#VALUE!</v>
      </c>
      <c r="Q11" t="s">
        <v>40</v>
      </c>
      <c r="R11" s="48">
        <f>Rfb2_</f>
        <v>800000</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806000</v>
      </c>
      <c r="T11" s="45" t="s">
        <v>260</v>
      </c>
    </row>
    <row r="12" spans="1:20" ht="13" x14ac:dyDescent="0.3">
      <c r="A12">
        <v>1.5</v>
      </c>
      <c r="B12">
        <f t="shared" si="2"/>
        <v>0</v>
      </c>
      <c r="C12">
        <f t="shared" si="3"/>
        <v>0</v>
      </c>
      <c r="D12">
        <f t="shared" si="4"/>
        <v>0</v>
      </c>
      <c r="E12">
        <f t="shared" si="5"/>
        <v>0</v>
      </c>
      <c r="F12">
        <f t="shared" si="6"/>
        <v>0</v>
      </c>
      <c r="G12">
        <f t="shared" si="7"/>
        <v>0</v>
      </c>
      <c r="H12">
        <f t="shared" si="7"/>
        <v>0</v>
      </c>
      <c r="I12">
        <f t="shared" si="7"/>
        <v>0</v>
      </c>
      <c r="J12">
        <f t="shared" si="7"/>
        <v>0</v>
      </c>
      <c r="K12" t="e">
        <f t="shared" si="8"/>
        <v>#VALUE!</v>
      </c>
      <c r="L12" t="e">
        <f t="shared" si="8"/>
        <v>#VALUE!</v>
      </c>
      <c r="M12" t="e">
        <f t="shared" si="9"/>
        <v>#VALUE!</v>
      </c>
      <c r="N12" t="e">
        <f t="shared" si="9"/>
        <v>#VALUE!</v>
      </c>
      <c r="Q12" s="113" t="s">
        <v>750</v>
      </c>
      <c r="R12" s="299">
        <f>'Variable Management'!B27*1000</f>
        <v>53699.934266745549</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53600</v>
      </c>
      <c r="T12" s="45" t="s">
        <v>260</v>
      </c>
    </row>
    <row r="13" spans="1:20" ht="13" x14ac:dyDescent="0.3">
      <c r="A13">
        <v>1.8</v>
      </c>
      <c r="B13">
        <f t="shared" si="2"/>
        <v>0</v>
      </c>
      <c r="C13">
        <f t="shared" si="3"/>
        <v>0</v>
      </c>
      <c r="D13">
        <f t="shared" si="4"/>
        <v>0</v>
      </c>
      <c r="E13">
        <f t="shared" si="5"/>
        <v>0</v>
      </c>
      <c r="F13">
        <f t="shared" si="6"/>
        <v>0</v>
      </c>
      <c r="G13">
        <f t="shared" si="7"/>
        <v>0</v>
      </c>
      <c r="H13">
        <f t="shared" si="7"/>
        <v>0</v>
      </c>
      <c r="I13">
        <f t="shared" si="7"/>
        <v>0</v>
      </c>
      <c r="J13">
        <f t="shared" si="7"/>
        <v>0</v>
      </c>
      <c r="K13" t="e">
        <f t="shared" si="8"/>
        <v>#VALUE!</v>
      </c>
      <c r="L13" t="e">
        <f t="shared" si="8"/>
        <v>#VALUE!</v>
      </c>
      <c r="M13" t="e">
        <f t="shared" si="9"/>
        <v>#VALUE!</v>
      </c>
      <c r="N13" t="e">
        <f t="shared" si="9"/>
        <v>#VALUE!</v>
      </c>
      <c r="Q13" s="113" t="s">
        <v>832</v>
      </c>
      <c r="R13" s="48">
        <f>'Variable Management'!B28*1000</f>
        <v>0</v>
      </c>
      <c r="S13" s="2" t="e">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#NUM!</v>
      </c>
      <c r="T13" s="45" t="s">
        <v>260</v>
      </c>
    </row>
    <row r="14" spans="1:20" ht="13" x14ac:dyDescent="0.3">
      <c r="A14">
        <v>2.2000000000000002</v>
      </c>
      <c r="B14">
        <f t="shared" ref="B14:N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c r="K14" t="e">
        <f t="shared" si="10"/>
        <v>#VALUE!</v>
      </c>
      <c r="L14" t="e">
        <f t="shared" si="10"/>
        <v>#VALUE!</v>
      </c>
      <c r="M14" t="e">
        <f t="shared" si="10"/>
        <v>#VALUE!</v>
      </c>
      <c r="N14" t="e">
        <f t="shared" si="10"/>
        <v>#VALUE!</v>
      </c>
      <c r="Q14" s="113" t="s">
        <v>908</v>
      </c>
      <c r="R14">
        <f>'Variable Management'!B301</f>
        <v>0.38036936136317523</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0.38300000000000001</v>
      </c>
      <c r="T14" s="45" t="s">
        <v>138</v>
      </c>
    </row>
    <row r="15" spans="1:20" x14ac:dyDescent="0.25">
      <c r="A15">
        <v>2.7</v>
      </c>
      <c r="B15">
        <f t="shared" si="2"/>
        <v>0</v>
      </c>
      <c r="C15">
        <f t="shared" si="3"/>
        <v>0</v>
      </c>
      <c r="D15">
        <f t="shared" si="4"/>
        <v>0</v>
      </c>
      <c r="E15">
        <f t="shared" si="5"/>
        <v>0</v>
      </c>
      <c r="F15">
        <f t="shared" si="6"/>
        <v>0</v>
      </c>
      <c r="G15">
        <f t="shared" si="7"/>
        <v>0</v>
      </c>
      <c r="H15">
        <f t="shared" si="7"/>
        <v>0</v>
      </c>
      <c r="I15">
        <f t="shared" si="7"/>
        <v>0</v>
      </c>
      <c r="J15">
        <f t="shared" si="7"/>
        <v>0</v>
      </c>
      <c r="K15" t="e">
        <f t="shared" ref="K15:L21" si="11">IF(IF((K$3*10^12-$A16)*(K$3*10^12-$A15)*-1&lt;0,0,1)*IF(ABS(K$3*10^12-$A16)&gt;(K$3*10^12-$A15),$A15,$A16)=K16,0,IF((K$3*10^12-$A16)*(K$3*10^12-$A15)*-1&lt;0,0,1)*IF(ABS(K$3*10^12-$A16)&gt;(K$3*10^12-$A15),$A15,$A16))</f>
        <v>#VALUE!</v>
      </c>
      <c r="L15" t="e">
        <f t="shared" si="11"/>
        <v>#VALUE!</v>
      </c>
      <c r="M15" t="e">
        <f t="shared" si="9"/>
        <v>#VALUE!</v>
      </c>
      <c r="N15" t="e">
        <f t="shared" si="9"/>
        <v>#VALUE!</v>
      </c>
    </row>
    <row r="16" spans="1:20" ht="13" x14ac:dyDescent="0.3">
      <c r="A16">
        <v>3.3</v>
      </c>
      <c r="B16">
        <f t="shared" si="2"/>
        <v>0</v>
      </c>
      <c r="C16">
        <f t="shared" si="3"/>
        <v>0</v>
      </c>
      <c r="D16">
        <f t="shared" si="4"/>
        <v>0</v>
      </c>
      <c r="E16">
        <f t="shared" si="5"/>
        <v>0</v>
      </c>
      <c r="F16">
        <f t="shared" si="6"/>
        <v>0</v>
      </c>
      <c r="G16">
        <f t="shared" si="7"/>
        <v>0</v>
      </c>
      <c r="H16">
        <f t="shared" si="7"/>
        <v>0</v>
      </c>
      <c r="I16">
        <f t="shared" si="7"/>
        <v>0</v>
      </c>
      <c r="J16">
        <f t="shared" si="7"/>
        <v>0</v>
      </c>
      <c r="K16" t="e">
        <f t="shared" si="11"/>
        <v>#VALUE!</v>
      </c>
      <c r="L16" t="e">
        <f t="shared" si="11"/>
        <v>#VALUE!</v>
      </c>
      <c r="M16" t="e">
        <f t="shared" si="9"/>
        <v>#VALUE!</v>
      </c>
      <c r="N16" t="e">
        <f t="shared" si="9"/>
        <v>#VALUE!</v>
      </c>
      <c r="Q16" s="113" t="s">
        <v>164</v>
      </c>
      <c r="R16" s="348">
        <f>Rs_ideal*1000</f>
        <v>29.244362836285781</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29.400000000000002</v>
      </c>
      <c r="T16" s="45" t="s">
        <v>305</v>
      </c>
    </row>
    <row r="17" spans="1:20" x14ac:dyDescent="0.25">
      <c r="A17">
        <v>3.9</v>
      </c>
      <c r="B17">
        <f t="shared" si="2"/>
        <v>0</v>
      </c>
      <c r="C17">
        <f t="shared" si="3"/>
        <v>0</v>
      </c>
      <c r="D17">
        <f t="shared" si="4"/>
        <v>0</v>
      </c>
      <c r="E17">
        <f t="shared" si="5"/>
        <v>0</v>
      </c>
      <c r="F17">
        <f t="shared" si="6"/>
        <v>0</v>
      </c>
      <c r="G17">
        <f t="shared" si="7"/>
        <v>0</v>
      </c>
      <c r="H17">
        <f t="shared" si="7"/>
        <v>0</v>
      </c>
      <c r="I17">
        <f t="shared" si="7"/>
        <v>0</v>
      </c>
      <c r="J17">
        <f t="shared" si="7"/>
        <v>0</v>
      </c>
      <c r="K17" t="e">
        <f t="shared" si="11"/>
        <v>#VALUE!</v>
      </c>
      <c r="L17" t="e">
        <f t="shared" si="11"/>
        <v>#VALUE!</v>
      </c>
      <c r="M17" t="e">
        <f t="shared" si="9"/>
        <v>#VALUE!</v>
      </c>
      <c r="N17" t="e">
        <f t="shared" si="9"/>
        <v>#VALUE!</v>
      </c>
      <c r="Q17" s="113" t="s">
        <v>630</v>
      </c>
      <c r="R17">
        <f>Cres</f>
        <v>3.3333333333333335E-7</v>
      </c>
      <c r="S17">
        <f>G4*1000000000000</f>
        <v>330000</v>
      </c>
      <c r="T17" s="113" t="s">
        <v>30</v>
      </c>
    </row>
    <row r="18" spans="1:20" x14ac:dyDescent="0.25">
      <c r="A18">
        <v>4.7</v>
      </c>
      <c r="B18">
        <f t="shared" si="2"/>
        <v>0</v>
      </c>
      <c r="C18">
        <f t="shared" si="3"/>
        <v>0</v>
      </c>
      <c r="D18">
        <f t="shared" si="4"/>
        <v>0</v>
      </c>
      <c r="E18">
        <f t="shared" si="5"/>
        <v>0</v>
      </c>
      <c r="F18">
        <f t="shared" si="6"/>
        <v>0</v>
      </c>
      <c r="G18">
        <f t="shared" si="7"/>
        <v>0</v>
      </c>
      <c r="H18">
        <f t="shared" si="7"/>
        <v>0</v>
      </c>
      <c r="I18">
        <f t="shared" si="7"/>
        <v>0</v>
      </c>
      <c r="J18">
        <f t="shared" si="7"/>
        <v>0</v>
      </c>
      <c r="K18" t="e">
        <f t="shared" si="11"/>
        <v>#VALUE!</v>
      </c>
      <c r="L18" t="e">
        <f t="shared" si="11"/>
        <v>#VALUE!</v>
      </c>
      <c r="M18" t="e">
        <f t="shared" si="9"/>
        <v>#VALUE!</v>
      </c>
      <c r="N18" t="e">
        <f t="shared" si="9"/>
        <v>#VALUE!</v>
      </c>
    </row>
    <row r="19" spans="1:20" ht="13" x14ac:dyDescent="0.3">
      <c r="A19">
        <v>5.6</v>
      </c>
      <c r="B19">
        <f t="shared" si="2"/>
        <v>0</v>
      </c>
      <c r="C19">
        <f t="shared" si="3"/>
        <v>0</v>
      </c>
      <c r="D19">
        <f t="shared" si="4"/>
        <v>0</v>
      </c>
      <c r="E19">
        <f t="shared" si="5"/>
        <v>0</v>
      </c>
      <c r="F19">
        <f t="shared" si="6"/>
        <v>0</v>
      </c>
      <c r="G19">
        <f t="shared" si="7"/>
        <v>0</v>
      </c>
      <c r="H19">
        <f t="shared" si="7"/>
        <v>0</v>
      </c>
      <c r="I19">
        <f t="shared" si="7"/>
        <v>0</v>
      </c>
      <c r="J19">
        <f t="shared" si="7"/>
        <v>0</v>
      </c>
      <c r="K19" t="e">
        <f t="shared" si="11"/>
        <v>#VALUE!</v>
      </c>
      <c r="L19" t="e">
        <f t="shared" si="11"/>
        <v>#VALUE!</v>
      </c>
      <c r="M19" t="e">
        <f t="shared" si="9"/>
        <v>#VALUE!</v>
      </c>
      <c r="N19" t="e">
        <f t="shared" si="9"/>
        <v>#VALUE!</v>
      </c>
      <c r="Q19" s="113"/>
      <c r="S19" s="2"/>
      <c r="T19" s="45"/>
    </row>
    <row r="20" spans="1:20" ht="13" x14ac:dyDescent="0.3">
      <c r="A20">
        <v>6.8</v>
      </c>
      <c r="B20">
        <f t="shared" si="2"/>
        <v>0</v>
      </c>
      <c r="C20">
        <f t="shared" si="3"/>
        <v>0</v>
      </c>
      <c r="D20">
        <f t="shared" si="4"/>
        <v>0</v>
      </c>
      <c r="E20">
        <f t="shared" si="5"/>
        <v>0</v>
      </c>
      <c r="F20">
        <f t="shared" si="6"/>
        <v>0</v>
      </c>
      <c r="G20">
        <f t="shared" si="7"/>
        <v>0</v>
      </c>
      <c r="H20">
        <f t="shared" si="7"/>
        <v>0</v>
      </c>
      <c r="I20">
        <f t="shared" si="7"/>
        <v>0</v>
      </c>
      <c r="J20">
        <f t="shared" si="7"/>
        <v>0</v>
      </c>
      <c r="K20" t="e">
        <f t="shared" si="11"/>
        <v>#VALUE!</v>
      </c>
      <c r="L20" t="e">
        <f t="shared" si="11"/>
        <v>#VALUE!</v>
      </c>
      <c r="M20" t="e">
        <f t="shared" si="9"/>
        <v>#VALUE!</v>
      </c>
      <c r="N20" t="e">
        <f t="shared" si="9"/>
        <v>#VALUE!</v>
      </c>
      <c r="Q20" s="113"/>
      <c r="S20" s="2"/>
      <c r="T20" s="45"/>
    </row>
    <row r="21" spans="1:20" ht="13" x14ac:dyDescent="0.3">
      <c r="A21">
        <v>8.1999999999999993</v>
      </c>
      <c r="B21">
        <f t="shared" si="2"/>
        <v>0</v>
      </c>
      <c r="C21">
        <f t="shared" si="3"/>
        <v>0</v>
      </c>
      <c r="D21">
        <f t="shared" si="4"/>
        <v>0</v>
      </c>
      <c r="E21">
        <f t="shared" si="5"/>
        <v>0</v>
      </c>
      <c r="F21">
        <f t="shared" si="6"/>
        <v>0</v>
      </c>
      <c r="G21">
        <f t="shared" si="7"/>
        <v>0</v>
      </c>
      <c r="H21">
        <f t="shared" si="7"/>
        <v>0</v>
      </c>
      <c r="I21">
        <f t="shared" si="7"/>
        <v>0</v>
      </c>
      <c r="J21">
        <f t="shared" si="7"/>
        <v>0</v>
      </c>
      <c r="K21" t="e">
        <f t="shared" si="11"/>
        <v>#VALUE!</v>
      </c>
      <c r="L21" t="e">
        <f t="shared" si="11"/>
        <v>#VALUE!</v>
      </c>
      <c r="M21" t="e">
        <f t="shared" si="9"/>
        <v>#VALUE!</v>
      </c>
      <c r="N21" t="e">
        <f t="shared" si="9"/>
        <v>#VALUE!</v>
      </c>
      <c r="Q21" s="113" t="s">
        <v>310</v>
      </c>
      <c r="R21">
        <f>Cdither_init</f>
        <v>2.0226537216828479E-9</v>
      </c>
      <c r="S21" s="2">
        <f>H4</f>
        <v>2.1999999999999998E-9</v>
      </c>
    </row>
    <row r="22" spans="1:20" x14ac:dyDescent="0.25">
      <c r="A22">
        <v>10</v>
      </c>
      <c r="B22">
        <f t="shared" si="2"/>
        <v>0</v>
      </c>
      <c r="C22">
        <f t="shared" si="3"/>
        <v>0</v>
      </c>
      <c r="D22">
        <f t="shared" si="4"/>
        <v>0</v>
      </c>
      <c r="E22">
        <f t="shared" si="5"/>
        <v>0</v>
      </c>
      <c r="F22">
        <f t="shared" si="6"/>
        <v>0</v>
      </c>
      <c r="G22">
        <f t="shared" si="7"/>
        <v>0</v>
      </c>
      <c r="H22">
        <f t="shared" si="7"/>
        <v>0</v>
      </c>
      <c r="I22">
        <f t="shared" si="7"/>
        <v>0</v>
      </c>
      <c r="J22">
        <f t="shared" si="7"/>
        <v>0</v>
      </c>
      <c r="K22" t="e">
        <f t="shared" ref="K22:L84" si="12">IF(IF((K$3*10^12-$A23)*(K$3*10^12-$A22)*-1&lt;0,0,1)*IF(ABS(K$3*10^12-$A23)&gt;(K$3*10^12-$A22),$A22,$A23)=K23,0,IF((K$3*10^12-$A23)*(K$3*10^12-$A22)*-1&lt;0,0,1)*IF(ABS(K$3*10^12-$A23)&gt;(K$3*10^12-$A22),$A22,$A23))</f>
        <v>#VALUE!</v>
      </c>
      <c r="L22" t="e">
        <f t="shared" si="12"/>
        <v>#VALUE!</v>
      </c>
      <c r="M22" t="e">
        <f t="shared" si="9"/>
        <v>#VALUE!</v>
      </c>
      <c r="N22" t="e">
        <f t="shared" si="9"/>
        <v>#VALUE!</v>
      </c>
    </row>
    <row r="23" spans="1:20" ht="13" x14ac:dyDescent="0.3">
      <c r="A23">
        <v>12</v>
      </c>
      <c r="B23">
        <f t="shared" si="2"/>
        <v>0</v>
      </c>
      <c r="C23">
        <f t="shared" si="3"/>
        <v>0</v>
      </c>
      <c r="D23">
        <f t="shared" si="4"/>
        <v>0</v>
      </c>
      <c r="E23">
        <f t="shared" si="5"/>
        <v>0</v>
      </c>
      <c r="F23">
        <f t="shared" si="6"/>
        <v>0</v>
      </c>
      <c r="G23">
        <f t="shared" si="7"/>
        <v>0</v>
      </c>
      <c r="H23">
        <f t="shared" si="7"/>
        <v>0</v>
      </c>
      <c r="I23">
        <f t="shared" si="7"/>
        <v>0</v>
      </c>
      <c r="J23">
        <f t="shared" si="7"/>
        <v>0</v>
      </c>
      <c r="K23" t="e">
        <f t="shared" si="12"/>
        <v>#VALUE!</v>
      </c>
      <c r="L23" t="e">
        <f t="shared" si="12"/>
        <v>#VALUE!</v>
      </c>
      <c r="M23" t="e">
        <f t="shared" si="9"/>
        <v>#VALUE!</v>
      </c>
      <c r="N23" t="e">
        <f t="shared" si="9"/>
        <v>#VALUE!</v>
      </c>
      <c r="Q23" s="113" t="s">
        <v>798</v>
      </c>
      <c r="R23" t="e">
        <f>K4</f>
        <v>#VALUE!</v>
      </c>
      <c r="S23" s="2" t="e">
        <f>R23*1000000</f>
        <v>#VALUE!</v>
      </c>
      <c r="T23" s="113" t="s">
        <v>23</v>
      </c>
    </row>
    <row r="24" spans="1:20" ht="13" x14ac:dyDescent="0.3">
      <c r="A24">
        <v>15</v>
      </c>
      <c r="B24">
        <f t="shared" si="2"/>
        <v>0</v>
      </c>
      <c r="C24">
        <f t="shared" si="3"/>
        <v>0</v>
      </c>
      <c r="D24">
        <f t="shared" si="4"/>
        <v>0</v>
      </c>
      <c r="E24">
        <f t="shared" si="5"/>
        <v>0</v>
      </c>
      <c r="F24">
        <f t="shared" si="6"/>
        <v>0</v>
      </c>
      <c r="G24">
        <f t="shared" si="7"/>
        <v>0</v>
      </c>
      <c r="H24">
        <f t="shared" si="7"/>
        <v>0</v>
      </c>
      <c r="I24">
        <f t="shared" si="7"/>
        <v>0</v>
      </c>
      <c r="J24">
        <f t="shared" si="7"/>
        <v>0</v>
      </c>
      <c r="K24" t="e">
        <f t="shared" si="12"/>
        <v>#VALUE!</v>
      </c>
      <c r="L24" t="e">
        <f t="shared" si="12"/>
        <v>#VALUE!</v>
      </c>
      <c r="M24" t="e">
        <f t="shared" si="9"/>
        <v>#VALUE!</v>
      </c>
      <c r="N24" t="e">
        <f t="shared" si="9"/>
        <v>#VALUE!</v>
      </c>
      <c r="Q24" s="113" t="s">
        <v>765</v>
      </c>
      <c r="R24" s="300" t="e">
        <f>Cinj_AEF</f>
        <v>#VALUE!</v>
      </c>
      <c r="S24" s="2" t="e">
        <f>M4*1000000</f>
        <v>#VALUE!</v>
      </c>
      <c r="T24" t="s">
        <v>23</v>
      </c>
    </row>
    <row r="25" spans="1:20" x14ac:dyDescent="0.25">
      <c r="A25">
        <v>18</v>
      </c>
      <c r="B25">
        <f t="shared" si="2"/>
        <v>0</v>
      </c>
      <c r="C25">
        <f t="shared" si="3"/>
        <v>0</v>
      </c>
      <c r="D25">
        <f t="shared" si="4"/>
        <v>0</v>
      </c>
      <c r="E25">
        <f t="shared" si="5"/>
        <v>0</v>
      </c>
      <c r="F25">
        <f t="shared" si="6"/>
        <v>0</v>
      </c>
      <c r="G25">
        <f t="shared" si="7"/>
        <v>0</v>
      </c>
      <c r="H25">
        <f t="shared" si="7"/>
        <v>0</v>
      </c>
      <c r="I25">
        <f t="shared" si="7"/>
        <v>0</v>
      </c>
      <c r="J25">
        <f t="shared" si="7"/>
        <v>0</v>
      </c>
      <c r="K25" t="e">
        <f t="shared" si="12"/>
        <v>#VALUE!</v>
      </c>
      <c r="L25" t="e">
        <f t="shared" si="12"/>
        <v>#VALUE!</v>
      </c>
      <c r="M25" t="e">
        <f t="shared" si="9"/>
        <v>#VALUE!</v>
      </c>
      <c r="N25" t="e">
        <f t="shared" si="9"/>
        <v>#VALUE!</v>
      </c>
      <c r="Q25" t="s">
        <v>769</v>
      </c>
      <c r="R25" s="348" t="e">
        <f>'Variable Management'!B295</f>
        <v>#VALUE!</v>
      </c>
      <c r="S25" t="e">
        <f>N4*1000000</f>
        <v>#VALUE!</v>
      </c>
      <c r="T25" t="s">
        <v>23</v>
      </c>
    </row>
    <row r="26" spans="1:20" ht="13" x14ac:dyDescent="0.3">
      <c r="A26">
        <v>22</v>
      </c>
      <c r="B26">
        <f t="shared" si="2"/>
        <v>0</v>
      </c>
      <c r="C26">
        <f t="shared" si="3"/>
        <v>0</v>
      </c>
      <c r="D26">
        <f t="shared" si="4"/>
        <v>0</v>
      </c>
      <c r="E26">
        <f t="shared" si="5"/>
        <v>0</v>
      </c>
      <c r="F26">
        <f t="shared" si="6"/>
        <v>0</v>
      </c>
      <c r="G26">
        <f t="shared" si="7"/>
        <v>0</v>
      </c>
      <c r="H26">
        <f t="shared" si="7"/>
        <v>0</v>
      </c>
      <c r="I26">
        <f t="shared" si="7"/>
        <v>0</v>
      </c>
      <c r="J26">
        <f t="shared" si="7"/>
        <v>0</v>
      </c>
      <c r="K26" t="e">
        <f t="shared" si="12"/>
        <v>#VALUE!</v>
      </c>
      <c r="L26" t="e">
        <f t="shared" si="12"/>
        <v>#VALUE!</v>
      </c>
      <c r="M26" t="e">
        <f t="shared" si="9"/>
        <v>#VALUE!</v>
      </c>
      <c r="N26" t="e">
        <f t="shared" si="9"/>
        <v>#VALUE!</v>
      </c>
      <c r="Q26" s="113" t="s">
        <v>766</v>
      </c>
      <c r="R26" s="348" t="e">
        <f>'Variable Management'!B296</f>
        <v>#VALUE!</v>
      </c>
      <c r="S26" s="2" t="e">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#VALUE!</v>
      </c>
      <c r="T26" s="45" t="s">
        <v>260</v>
      </c>
    </row>
    <row r="27" spans="1:20" ht="13" x14ac:dyDescent="0.3">
      <c r="A27">
        <v>27</v>
      </c>
      <c r="B27">
        <f t="shared" si="2"/>
        <v>0</v>
      </c>
      <c r="C27">
        <f t="shared" si="3"/>
        <v>0</v>
      </c>
      <c r="D27">
        <f t="shared" si="4"/>
        <v>0</v>
      </c>
      <c r="E27">
        <f t="shared" si="5"/>
        <v>0</v>
      </c>
      <c r="F27">
        <f t="shared" si="6"/>
        <v>0</v>
      </c>
      <c r="G27">
        <f t="shared" si="7"/>
        <v>0</v>
      </c>
      <c r="H27">
        <f t="shared" si="7"/>
        <v>0</v>
      </c>
      <c r="I27">
        <f t="shared" si="7"/>
        <v>0</v>
      </c>
      <c r="J27">
        <f t="shared" si="7"/>
        <v>0</v>
      </c>
      <c r="K27" t="e">
        <f t="shared" si="12"/>
        <v>#VALUE!</v>
      </c>
      <c r="L27" t="e">
        <f t="shared" si="12"/>
        <v>#VALUE!</v>
      </c>
      <c r="M27" t="e">
        <f t="shared" ref="M27:N42" si="13">IF(IF((M$3*10^12-$A28)*(M$3*10^12-$A27)*-1&lt;0,0,1)*IF(ABS(M$3*10^12-$A28)&gt;(M$3*10^12-$A27),$A27,$A28)=M28,0,IF((M$3*10^12-$A28)*(M$3*10^12-$A27)*-1&lt;0,0,1)*IF(ABS(M$3*10^12-$A28)&gt;(M$3*10^12-$A27),$A27,$A28))</f>
        <v>#VALUE!</v>
      </c>
      <c r="N27" t="e">
        <f t="shared" si="13"/>
        <v>#VALUE!</v>
      </c>
      <c r="Q27" s="113" t="s">
        <v>799</v>
      </c>
      <c r="R27" t="e">
        <f>SQRT(L_infilterStd/K4)</f>
        <v>#VALUE!</v>
      </c>
      <c r="S27" s="2" t="e">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#VALUE!</v>
      </c>
      <c r="T27" s="45" t="s">
        <v>260</v>
      </c>
    </row>
    <row r="28" spans="1:20" x14ac:dyDescent="0.25">
      <c r="A28">
        <v>33</v>
      </c>
      <c r="B28">
        <f t="shared" si="2"/>
        <v>0</v>
      </c>
      <c r="C28">
        <f t="shared" si="3"/>
        <v>0</v>
      </c>
      <c r="D28">
        <f t="shared" si="4"/>
        <v>0</v>
      </c>
      <c r="E28">
        <f t="shared" si="5"/>
        <v>0</v>
      </c>
      <c r="F28">
        <f t="shared" si="6"/>
        <v>0</v>
      </c>
      <c r="G28">
        <f t="shared" si="7"/>
        <v>0</v>
      </c>
      <c r="H28">
        <f t="shared" si="7"/>
        <v>0</v>
      </c>
      <c r="I28">
        <f t="shared" si="7"/>
        <v>0</v>
      </c>
      <c r="J28">
        <f t="shared" si="7"/>
        <v>0</v>
      </c>
      <c r="K28" t="e">
        <f t="shared" si="12"/>
        <v>#VALUE!</v>
      </c>
      <c r="L28" t="e">
        <f t="shared" si="12"/>
        <v>#VALUE!</v>
      </c>
      <c r="M28" t="e">
        <f t="shared" si="13"/>
        <v>#VALUE!</v>
      </c>
      <c r="N28" t="e">
        <f t="shared" si="13"/>
        <v>#VALUE!</v>
      </c>
      <c r="Q28" s="113" t="s">
        <v>801</v>
      </c>
      <c r="R28" t="e">
        <f>L4</f>
        <v>#VALUE!</v>
      </c>
      <c r="S28" t="e">
        <f>R28*1000000</f>
        <v>#VALUE!</v>
      </c>
      <c r="T28" t="s">
        <v>23</v>
      </c>
    </row>
    <row r="29" spans="1:20" x14ac:dyDescent="0.25">
      <c r="A29">
        <v>39</v>
      </c>
      <c r="B29">
        <f t="shared" si="2"/>
        <v>0</v>
      </c>
      <c r="C29">
        <f t="shared" si="3"/>
        <v>0</v>
      </c>
      <c r="D29">
        <f t="shared" si="4"/>
        <v>0</v>
      </c>
      <c r="E29">
        <f t="shared" si="5"/>
        <v>0</v>
      </c>
      <c r="F29">
        <f t="shared" si="6"/>
        <v>0</v>
      </c>
      <c r="G29">
        <f t="shared" si="7"/>
        <v>0</v>
      </c>
      <c r="H29">
        <f t="shared" si="7"/>
        <v>0</v>
      </c>
      <c r="I29">
        <f t="shared" si="7"/>
        <v>0</v>
      </c>
      <c r="J29">
        <f t="shared" si="7"/>
        <v>0</v>
      </c>
      <c r="K29" t="e">
        <f t="shared" si="12"/>
        <v>#VALUE!</v>
      </c>
      <c r="L29" t="e">
        <f t="shared" si="12"/>
        <v>#VALUE!</v>
      </c>
      <c r="M29" t="e">
        <f t="shared" si="13"/>
        <v>#VALUE!</v>
      </c>
      <c r="N29" t="e">
        <f t="shared" si="13"/>
        <v>#VALUE!</v>
      </c>
      <c r="Q29" s="113"/>
    </row>
    <row r="30" spans="1:20" x14ac:dyDescent="0.25">
      <c r="A30">
        <v>47</v>
      </c>
      <c r="B30">
        <f t="shared" si="2"/>
        <v>0</v>
      </c>
      <c r="C30">
        <f t="shared" si="3"/>
        <v>0</v>
      </c>
      <c r="D30">
        <f t="shared" si="4"/>
        <v>0</v>
      </c>
      <c r="E30">
        <f t="shared" si="5"/>
        <v>0</v>
      </c>
      <c r="F30">
        <f t="shared" si="6"/>
        <v>0</v>
      </c>
      <c r="G30">
        <f t="shared" si="7"/>
        <v>0</v>
      </c>
      <c r="H30">
        <f t="shared" si="7"/>
        <v>0</v>
      </c>
      <c r="I30">
        <f t="shared" si="7"/>
        <v>0</v>
      </c>
      <c r="J30">
        <f t="shared" si="7"/>
        <v>0</v>
      </c>
      <c r="K30" t="e">
        <f t="shared" si="12"/>
        <v>#VALUE!</v>
      </c>
      <c r="L30" t="e">
        <f t="shared" si="12"/>
        <v>#VALUE!</v>
      </c>
      <c r="M30" t="e">
        <f t="shared" si="13"/>
        <v>#VALUE!</v>
      </c>
      <c r="N30" t="e">
        <f t="shared" si="13"/>
        <v>#VALUE!</v>
      </c>
    </row>
    <row r="31" spans="1:20" x14ac:dyDescent="0.25">
      <c r="A31">
        <v>56</v>
      </c>
      <c r="B31">
        <f t="shared" si="2"/>
        <v>0</v>
      </c>
      <c r="C31">
        <f t="shared" si="3"/>
        <v>0</v>
      </c>
      <c r="D31">
        <f t="shared" si="4"/>
        <v>0</v>
      </c>
      <c r="E31">
        <f t="shared" si="5"/>
        <v>0</v>
      </c>
      <c r="F31">
        <f t="shared" si="6"/>
        <v>0</v>
      </c>
      <c r="G31">
        <f t="shared" si="7"/>
        <v>0</v>
      </c>
      <c r="H31">
        <f t="shared" si="7"/>
        <v>0</v>
      </c>
      <c r="I31">
        <f t="shared" si="7"/>
        <v>0</v>
      </c>
      <c r="J31">
        <f t="shared" si="7"/>
        <v>0</v>
      </c>
      <c r="K31" t="e">
        <f t="shared" si="12"/>
        <v>#VALUE!</v>
      </c>
      <c r="L31" t="e">
        <f t="shared" si="12"/>
        <v>#VALUE!</v>
      </c>
      <c r="M31" t="e">
        <f t="shared" si="13"/>
        <v>#VALUE!</v>
      </c>
      <c r="N31" t="e">
        <f t="shared" si="13"/>
        <v>#VALUE!</v>
      </c>
    </row>
    <row r="32" spans="1:20" ht="13" x14ac:dyDescent="0.3">
      <c r="A32">
        <v>68</v>
      </c>
      <c r="B32">
        <f t="shared" si="2"/>
        <v>0</v>
      </c>
      <c r="C32">
        <f t="shared" si="3"/>
        <v>0</v>
      </c>
      <c r="D32">
        <f t="shared" si="4"/>
        <v>0</v>
      </c>
      <c r="E32">
        <f t="shared" si="5"/>
        <v>0</v>
      </c>
      <c r="F32">
        <f t="shared" si="6"/>
        <v>0</v>
      </c>
      <c r="G32">
        <f t="shared" si="7"/>
        <v>0</v>
      </c>
      <c r="H32">
        <f t="shared" si="7"/>
        <v>0</v>
      </c>
      <c r="I32">
        <f t="shared" si="7"/>
        <v>0</v>
      </c>
      <c r="J32">
        <f t="shared" si="7"/>
        <v>0</v>
      </c>
      <c r="K32" t="e">
        <f t="shared" si="12"/>
        <v>#VALUE!</v>
      </c>
      <c r="L32" t="e">
        <f t="shared" si="12"/>
        <v>#VALUE!</v>
      </c>
      <c r="M32" t="e">
        <f t="shared" si="13"/>
        <v>#VALUE!</v>
      </c>
      <c r="N32" t="e">
        <f t="shared" si="13"/>
        <v>#VALUE!</v>
      </c>
      <c r="Q32" s="3" t="s">
        <v>168</v>
      </c>
      <c r="R32" t="str">
        <f>S7/1000&amp;" kΩ"</f>
        <v>5.11 kΩ</v>
      </c>
      <c r="S32">
        <f>S7/1000</f>
        <v>5.1100000000000003</v>
      </c>
      <c r="T32" s="45" t="s">
        <v>237</v>
      </c>
    </row>
    <row r="33" spans="1:20" x14ac:dyDescent="0.25">
      <c r="A33">
        <v>82</v>
      </c>
      <c r="B33">
        <f t="shared" si="2"/>
        <v>0</v>
      </c>
      <c r="C33">
        <f t="shared" si="3"/>
        <v>0</v>
      </c>
      <c r="D33">
        <f t="shared" si="4"/>
        <v>0</v>
      </c>
      <c r="E33">
        <f t="shared" si="5"/>
        <v>0</v>
      </c>
      <c r="F33">
        <f t="shared" si="6"/>
        <v>0</v>
      </c>
      <c r="G33">
        <f t="shared" si="7"/>
        <v>0</v>
      </c>
      <c r="H33">
        <f t="shared" si="7"/>
        <v>0</v>
      </c>
      <c r="I33">
        <f t="shared" si="7"/>
        <v>0</v>
      </c>
      <c r="J33">
        <f t="shared" si="7"/>
        <v>0</v>
      </c>
      <c r="K33" t="e">
        <f t="shared" si="12"/>
        <v>#VALUE!</v>
      </c>
      <c r="L33" t="e">
        <f t="shared" si="12"/>
        <v>#VALUE!</v>
      </c>
      <c r="M33" t="e">
        <f t="shared" si="13"/>
        <v>#VALUE!</v>
      </c>
      <c r="N33" t="e">
        <f t="shared" si="13"/>
        <v>#VALUE!</v>
      </c>
      <c r="Q33" s="3" t="s">
        <v>166</v>
      </c>
      <c r="R33" t="str">
        <f>C4*1000000000&amp;" nF"</f>
        <v>22 nF</v>
      </c>
      <c r="S33">
        <f>C4*1000000000</f>
        <v>22</v>
      </c>
      <c r="T33" s="113" t="s">
        <v>141</v>
      </c>
    </row>
    <row r="34" spans="1:20" x14ac:dyDescent="0.25">
      <c r="A34">
        <f>A22*10</f>
        <v>100</v>
      </c>
      <c r="B34">
        <f t="shared" si="2"/>
        <v>0</v>
      </c>
      <c r="C34">
        <f t="shared" si="3"/>
        <v>0</v>
      </c>
      <c r="D34">
        <f t="shared" si="4"/>
        <v>0</v>
      </c>
      <c r="E34">
        <f t="shared" si="5"/>
        <v>0</v>
      </c>
      <c r="F34">
        <f t="shared" si="6"/>
        <v>0</v>
      </c>
      <c r="G34">
        <f t="shared" si="7"/>
        <v>0</v>
      </c>
      <c r="H34">
        <f t="shared" si="7"/>
        <v>0</v>
      </c>
      <c r="I34">
        <f t="shared" si="7"/>
        <v>0</v>
      </c>
      <c r="J34">
        <f t="shared" si="7"/>
        <v>0</v>
      </c>
      <c r="K34" t="e">
        <f t="shared" si="12"/>
        <v>#VALUE!</v>
      </c>
      <c r="L34" t="e">
        <f t="shared" si="12"/>
        <v>#VALUE!</v>
      </c>
      <c r="M34" t="e">
        <f t="shared" si="13"/>
        <v>#VALUE!</v>
      </c>
      <c r="N34" t="e">
        <f t="shared" si="13"/>
        <v>#VALUE!</v>
      </c>
      <c r="Q34" s="3" t="s">
        <v>167</v>
      </c>
      <c r="R34" t="str">
        <f>D4*1000000000000&amp;" pF"</f>
        <v>120 pF</v>
      </c>
      <c r="S34">
        <f>D4*1000000000000</f>
        <v>120</v>
      </c>
      <c r="T34" s="113" t="s">
        <v>30</v>
      </c>
    </row>
    <row r="35" spans="1:20" ht="13" x14ac:dyDescent="0.3">
      <c r="A35">
        <f t="shared" ref="A35:A98" si="14">A23*10</f>
        <v>120</v>
      </c>
      <c r="B35">
        <f t="shared" si="2"/>
        <v>0</v>
      </c>
      <c r="C35">
        <f t="shared" si="3"/>
        <v>0</v>
      </c>
      <c r="D35">
        <f t="shared" si="4"/>
        <v>120</v>
      </c>
      <c r="E35">
        <f t="shared" si="5"/>
        <v>0</v>
      </c>
      <c r="F35">
        <f t="shared" si="6"/>
        <v>0</v>
      </c>
      <c r="G35">
        <f t="shared" si="7"/>
        <v>0</v>
      </c>
      <c r="H35">
        <f t="shared" si="7"/>
        <v>0</v>
      </c>
      <c r="I35">
        <f t="shared" si="7"/>
        <v>0</v>
      </c>
      <c r="J35">
        <f t="shared" si="7"/>
        <v>0</v>
      </c>
      <c r="K35" t="e">
        <f t="shared" si="12"/>
        <v>#VALUE!</v>
      </c>
      <c r="L35" t="e">
        <f t="shared" si="12"/>
        <v>#VALUE!</v>
      </c>
      <c r="M35" t="e">
        <f t="shared" si="13"/>
        <v>#VALUE!</v>
      </c>
      <c r="N35" t="e">
        <f t="shared" si="13"/>
        <v>#VALUE!</v>
      </c>
      <c r="Q35" s="3"/>
      <c r="T35" s="45"/>
    </row>
    <row r="36" spans="1:20" ht="13" x14ac:dyDescent="0.3">
      <c r="A36">
        <f t="shared" si="14"/>
        <v>150</v>
      </c>
      <c r="B36">
        <f t="shared" si="2"/>
        <v>0</v>
      </c>
      <c r="C36">
        <f t="shared" si="3"/>
        <v>0</v>
      </c>
      <c r="D36">
        <f t="shared" si="4"/>
        <v>0</v>
      </c>
      <c r="E36">
        <f t="shared" si="5"/>
        <v>0</v>
      </c>
      <c r="F36">
        <f t="shared" si="6"/>
        <v>0</v>
      </c>
      <c r="G36">
        <f t="shared" si="7"/>
        <v>0</v>
      </c>
      <c r="H36">
        <f t="shared" si="7"/>
        <v>0</v>
      </c>
      <c r="I36">
        <f t="shared" si="7"/>
        <v>0</v>
      </c>
      <c r="J36">
        <f t="shared" si="7"/>
        <v>0</v>
      </c>
      <c r="K36" t="e">
        <f t="shared" si="12"/>
        <v>#VALUE!</v>
      </c>
      <c r="L36" t="e">
        <f t="shared" si="12"/>
        <v>#VALUE!</v>
      </c>
      <c r="M36" t="e">
        <f t="shared" si="13"/>
        <v>#VALUE!</v>
      </c>
      <c r="N36" t="e">
        <f t="shared" si="13"/>
        <v>#VALUE!</v>
      </c>
      <c r="Q36" s="113" t="s">
        <v>658</v>
      </c>
      <c r="R36" t="e">
        <f>S8/1000&amp;" kΩ"</f>
        <v>#NUM!</v>
      </c>
      <c r="S36" t="e">
        <f>S8/1000</f>
        <v>#NUM!</v>
      </c>
      <c r="T36" s="45" t="s">
        <v>237</v>
      </c>
    </row>
    <row r="37" spans="1:20" x14ac:dyDescent="0.25">
      <c r="A37">
        <f t="shared" si="14"/>
        <v>180</v>
      </c>
      <c r="B37">
        <f t="shared" si="2"/>
        <v>0</v>
      </c>
      <c r="C37">
        <f t="shared" si="3"/>
        <v>0</v>
      </c>
      <c r="D37">
        <f t="shared" si="4"/>
        <v>0</v>
      </c>
      <c r="E37">
        <f t="shared" si="5"/>
        <v>0</v>
      </c>
      <c r="F37">
        <f t="shared" si="6"/>
        <v>0</v>
      </c>
      <c r="G37">
        <f t="shared" si="7"/>
        <v>0</v>
      </c>
      <c r="H37">
        <f t="shared" si="7"/>
        <v>0</v>
      </c>
      <c r="I37">
        <f t="shared" si="7"/>
        <v>0</v>
      </c>
      <c r="J37">
        <f t="shared" si="7"/>
        <v>0</v>
      </c>
      <c r="K37" t="e">
        <f t="shared" si="12"/>
        <v>#VALUE!</v>
      </c>
      <c r="L37" t="e">
        <f t="shared" si="12"/>
        <v>#VALUE!</v>
      </c>
      <c r="M37" t="e">
        <f t="shared" si="13"/>
        <v>#VALUE!</v>
      </c>
      <c r="N37" t="e">
        <f t="shared" si="13"/>
        <v>#VALUE!</v>
      </c>
      <c r="Q37" s="113" t="s">
        <v>659</v>
      </c>
      <c r="R37" t="str">
        <f>I4*1000000000&amp;" nF"</f>
        <v>0 nF</v>
      </c>
      <c r="S37">
        <f>I4*1000000000</f>
        <v>0</v>
      </c>
      <c r="T37" s="113" t="s">
        <v>141</v>
      </c>
    </row>
    <row r="38" spans="1:20" x14ac:dyDescent="0.25">
      <c r="A38">
        <f t="shared" si="14"/>
        <v>220</v>
      </c>
      <c r="B38">
        <f t="shared" si="2"/>
        <v>0</v>
      </c>
      <c r="C38">
        <f t="shared" si="3"/>
        <v>0</v>
      </c>
      <c r="D38">
        <f t="shared" si="4"/>
        <v>0</v>
      </c>
      <c r="E38">
        <f t="shared" si="5"/>
        <v>0</v>
      </c>
      <c r="F38">
        <f t="shared" si="6"/>
        <v>0</v>
      </c>
      <c r="G38">
        <f t="shared" si="7"/>
        <v>0</v>
      </c>
      <c r="H38">
        <f t="shared" si="7"/>
        <v>0</v>
      </c>
      <c r="I38">
        <f t="shared" si="7"/>
        <v>0</v>
      </c>
      <c r="J38">
        <f t="shared" si="7"/>
        <v>0</v>
      </c>
      <c r="K38" t="e">
        <f t="shared" si="12"/>
        <v>#VALUE!</v>
      </c>
      <c r="L38" t="e">
        <f t="shared" si="12"/>
        <v>#VALUE!</v>
      </c>
      <c r="M38" t="e">
        <f t="shared" si="13"/>
        <v>#VALUE!</v>
      </c>
      <c r="N38" t="e">
        <f t="shared" si="13"/>
        <v>#VALUE!</v>
      </c>
      <c r="Q38" s="113" t="s">
        <v>660</v>
      </c>
      <c r="R38" t="str">
        <f>J4*1000000000000&amp;" pF"</f>
        <v>0 pF</v>
      </c>
      <c r="S38">
        <f>J4*1000000000000</f>
        <v>0</v>
      </c>
      <c r="T38" s="113" t="s">
        <v>30</v>
      </c>
    </row>
    <row r="39" spans="1:20" x14ac:dyDescent="0.25">
      <c r="A39">
        <f t="shared" si="14"/>
        <v>270</v>
      </c>
      <c r="B39">
        <f t="shared" si="2"/>
        <v>0</v>
      </c>
      <c r="C39">
        <f t="shared" ref="C39:C70" si="15">IF(IF((C$3*10^12-$A40)*(C$3*10^12-$A39)*-1&lt;0,0,1)*IF(ABS(C$3*10^12-$A40)&gt;(C$3*10^12-$A39),$A39,$A40)=C40,0,IF((C$3*10^12-$A40)*(C$3*10^12-$A39)*-1&lt;0,0,1)*IF(ABS(C$3*10^12-$A40)&gt;(C$3*10^12-$A39),$A39,$A40))</f>
        <v>0</v>
      </c>
      <c r="D39">
        <f t="shared" si="4"/>
        <v>0</v>
      </c>
      <c r="E39">
        <f t="shared" si="5"/>
        <v>0</v>
      </c>
      <c r="F39">
        <f t="shared" si="6"/>
        <v>0</v>
      </c>
      <c r="G39">
        <f t="shared" si="7"/>
        <v>0</v>
      </c>
      <c r="H39">
        <f t="shared" si="7"/>
        <v>0</v>
      </c>
      <c r="I39">
        <f t="shared" si="7"/>
        <v>0</v>
      </c>
      <c r="J39">
        <f t="shared" si="7"/>
        <v>0</v>
      </c>
      <c r="K39" t="e">
        <f t="shared" si="12"/>
        <v>#VALUE!</v>
      </c>
      <c r="L39" t="e">
        <f t="shared" si="12"/>
        <v>#VALUE!</v>
      </c>
      <c r="M39" t="e">
        <f t="shared" si="13"/>
        <v>#VALUE!</v>
      </c>
      <c r="N39" t="e">
        <f t="shared" si="13"/>
        <v>#VALUE!</v>
      </c>
    </row>
    <row r="40" spans="1:20" ht="13" x14ac:dyDescent="0.3">
      <c r="A40">
        <f t="shared" si="14"/>
        <v>330</v>
      </c>
      <c r="B40">
        <f t="shared" si="2"/>
        <v>0</v>
      </c>
      <c r="C40">
        <f t="shared" si="15"/>
        <v>0</v>
      </c>
      <c r="D40">
        <f t="shared" si="4"/>
        <v>0</v>
      </c>
      <c r="E40">
        <f t="shared" si="5"/>
        <v>0</v>
      </c>
      <c r="F40">
        <f t="shared" si="6"/>
        <v>0</v>
      </c>
      <c r="G40">
        <f t="shared" si="7"/>
        <v>0</v>
      </c>
      <c r="H40">
        <f t="shared" si="7"/>
        <v>0</v>
      </c>
      <c r="I40">
        <f t="shared" si="7"/>
        <v>0</v>
      </c>
      <c r="J40">
        <f t="shared" si="7"/>
        <v>0</v>
      </c>
      <c r="K40" t="e">
        <f t="shared" si="12"/>
        <v>#VALUE!</v>
      </c>
      <c r="L40" t="e">
        <f t="shared" si="12"/>
        <v>#VALUE!</v>
      </c>
      <c r="M40" t="e">
        <f t="shared" si="13"/>
        <v>#VALUE!</v>
      </c>
      <c r="N40" t="e">
        <f t="shared" si="13"/>
        <v>#VALUE!</v>
      </c>
      <c r="Q40" s="113" t="s">
        <v>867</v>
      </c>
      <c r="R40" s="4">
        <f>'Variable Management'!B186/1000</f>
        <v>199.99999999999997</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200</v>
      </c>
      <c r="T40" s="45" t="s">
        <v>237</v>
      </c>
    </row>
    <row r="41" spans="1:20" ht="13" x14ac:dyDescent="0.3">
      <c r="A41">
        <f t="shared" si="14"/>
        <v>390</v>
      </c>
      <c r="B41">
        <f t="shared" si="2"/>
        <v>0</v>
      </c>
      <c r="C41">
        <f t="shared" si="15"/>
        <v>0</v>
      </c>
      <c r="D41">
        <f t="shared" si="4"/>
        <v>0</v>
      </c>
      <c r="E41">
        <f t="shared" si="5"/>
        <v>0</v>
      </c>
      <c r="F41">
        <f t="shared" si="6"/>
        <v>0</v>
      </c>
      <c r="G41">
        <f t="shared" si="7"/>
        <v>0</v>
      </c>
      <c r="H41">
        <f t="shared" si="7"/>
        <v>0</v>
      </c>
      <c r="I41">
        <f t="shared" si="7"/>
        <v>0</v>
      </c>
      <c r="J41">
        <f t="shared" si="7"/>
        <v>0</v>
      </c>
      <c r="K41" t="e">
        <f t="shared" si="12"/>
        <v>#VALUE!</v>
      </c>
      <c r="L41" t="e">
        <f t="shared" si="12"/>
        <v>#VALUE!</v>
      </c>
      <c r="M41" t="e">
        <f t="shared" si="13"/>
        <v>#VALUE!</v>
      </c>
      <c r="N41" t="e">
        <f t="shared" si="13"/>
        <v>#VALUE!</v>
      </c>
      <c r="Q41" s="113" t="s">
        <v>868</v>
      </c>
      <c r="R41">
        <f>'Variable Management'!B187/1000</f>
        <v>9.5238095238095237</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9.5299999999999994</v>
      </c>
      <c r="T41" s="45" t="s">
        <v>237</v>
      </c>
    </row>
    <row r="42" spans="1:20" x14ac:dyDescent="0.25">
      <c r="A42">
        <f t="shared" si="14"/>
        <v>470</v>
      </c>
      <c r="B42">
        <f t="shared" si="2"/>
        <v>0</v>
      </c>
      <c r="C42">
        <f t="shared" si="15"/>
        <v>0</v>
      </c>
      <c r="D42">
        <f t="shared" si="4"/>
        <v>0</v>
      </c>
      <c r="E42">
        <f t="shared" si="5"/>
        <v>0</v>
      </c>
      <c r="F42">
        <f t="shared" si="6"/>
        <v>0</v>
      </c>
      <c r="G42">
        <f t="shared" si="7"/>
        <v>0</v>
      </c>
      <c r="H42">
        <f t="shared" si="7"/>
        <v>0</v>
      </c>
      <c r="I42">
        <f t="shared" si="7"/>
        <v>0</v>
      </c>
      <c r="J42">
        <f t="shared" si="7"/>
        <v>0</v>
      </c>
      <c r="K42" t="e">
        <f t="shared" si="12"/>
        <v>#VALUE!</v>
      </c>
      <c r="L42" t="e">
        <f t="shared" si="12"/>
        <v>#VALUE!</v>
      </c>
      <c r="M42" t="e">
        <f t="shared" si="13"/>
        <v>#VALUE!</v>
      </c>
      <c r="N42" t="e">
        <f t="shared" si="13"/>
        <v>#VALUE!</v>
      </c>
    </row>
    <row r="43" spans="1:20" x14ac:dyDescent="0.25">
      <c r="A43">
        <f t="shared" si="14"/>
        <v>560</v>
      </c>
      <c r="B43">
        <f t="shared" si="2"/>
        <v>0</v>
      </c>
      <c r="C43">
        <f t="shared" si="15"/>
        <v>0</v>
      </c>
      <c r="D43">
        <f t="shared" si="4"/>
        <v>0</v>
      </c>
      <c r="E43">
        <f t="shared" si="5"/>
        <v>0</v>
      </c>
      <c r="F43">
        <f t="shared" si="6"/>
        <v>0</v>
      </c>
      <c r="G43">
        <f t="shared" si="7"/>
        <v>0</v>
      </c>
      <c r="H43">
        <f t="shared" si="7"/>
        <v>0</v>
      </c>
      <c r="I43">
        <f t="shared" si="7"/>
        <v>0</v>
      </c>
      <c r="J43">
        <f t="shared" si="7"/>
        <v>0</v>
      </c>
      <c r="K43" t="e">
        <f t="shared" si="12"/>
        <v>#VALUE!</v>
      </c>
      <c r="L43" t="e">
        <f t="shared" si="12"/>
        <v>#VALUE!</v>
      </c>
      <c r="M43" t="e">
        <f t="shared" ref="M43:N58" si="16">IF(IF((M$3*10^12-$A44)*(M$3*10^12-$A43)*-1&lt;0,0,1)*IF(ABS(M$3*10^12-$A44)&gt;(M$3*10^12-$A43),$A43,$A44)=M44,0,IF((M$3*10^12-$A44)*(M$3*10^12-$A43)*-1&lt;0,0,1)*IF(ABS(M$3*10^12-$A44)&gt;(M$3*10^12-$A43),$A43,$A44))</f>
        <v>#VALUE!</v>
      </c>
      <c r="N43" t="e">
        <f t="shared" si="16"/>
        <v>#VALUE!</v>
      </c>
    </row>
    <row r="44" spans="1:20" x14ac:dyDescent="0.25">
      <c r="A44">
        <f t="shared" si="14"/>
        <v>680</v>
      </c>
      <c r="B44">
        <f t="shared" si="2"/>
        <v>0</v>
      </c>
      <c r="C44">
        <f t="shared" si="15"/>
        <v>0</v>
      </c>
      <c r="D44">
        <f t="shared" si="4"/>
        <v>0</v>
      </c>
      <c r="E44">
        <f t="shared" si="5"/>
        <v>0</v>
      </c>
      <c r="F44">
        <f t="shared" si="6"/>
        <v>0</v>
      </c>
      <c r="G44">
        <f t="shared" si="7"/>
        <v>0</v>
      </c>
      <c r="H44">
        <f t="shared" si="7"/>
        <v>0</v>
      </c>
      <c r="I44">
        <f t="shared" si="7"/>
        <v>0</v>
      </c>
      <c r="J44">
        <f t="shared" si="7"/>
        <v>0</v>
      </c>
      <c r="K44" t="e">
        <f t="shared" si="12"/>
        <v>#VALUE!</v>
      </c>
      <c r="L44" t="e">
        <f t="shared" si="12"/>
        <v>#VALUE!</v>
      </c>
      <c r="M44" t="e">
        <f t="shared" si="16"/>
        <v>#VALUE!</v>
      </c>
      <c r="N44" t="e">
        <f t="shared" si="16"/>
        <v>#VALUE!</v>
      </c>
    </row>
    <row r="45" spans="1:20" x14ac:dyDescent="0.25">
      <c r="A45">
        <f>A33*10</f>
        <v>820</v>
      </c>
      <c r="B45">
        <f t="shared" si="2"/>
        <v>0</v>
      </c>
      <c r="C45">
        <f t="shared" si="15"/>
        <v>0</v>
      </c>
      <c r="D45">
        <f t="shared" si="4"/>
        <v>0</v>
      </c>
      <c r="E45">
        <f t="shared" si="5"/>
        <v>0</v>
      </c>
      <c r="F45">
        <f t="shared" si="6"/>
        <v>0</v>
      </c>
      <c r="G45">
        <f t="shared" si="7"/>
        <v>0</v>
      </c>
      <c r="H45">
        <f t="shared" si="7"/>
        <v>0</v>
      </c>
      <c r="I45">
        <f t="shared" si="7"/>
        <v>0</v>
      </c>
      <c r="J45">
        <f t="shared" si="7"/>
        <v>0</v>
      </c>
      <c r="K45" t="e">
        <f t="shared" si="12"/>
        <v>#VALUE!</v>
      </c>
      <c r="L45" t="e">
        <f t="shared" si="12"/>
        <v>#VALUE!</v>
      </c>
      <c r="M45" t="e">
        <f t="shared" si="16"/>
        <v>#VALUE!</v>
      </c>
      <c r="N45" t="e">
        <f t="shared" si="16"/>
        <v>#VALUE!</v>
      </c>
    </row>
    <row r="46" spans="1:20" x14ac:dyDescent="0.25">
      <c r="A46">
        <f t="shared" si="14"/>
        <v>1000</v>
      </c>
      <c r="B46">
        <f t="shared" si="2"/>
        <v>0</v>
      </c>
      <c r="C46">
        <f t="shared" si="15"/>
        <v>0</v>
      </c>
      <c r="D46">
        <f t="shared" si="4"/>
        <v>0</v>
      </c>
      <c r="E46">
        <f t="shared" si="5"/>
        <v>0</v>
      </c>
      <c r="F46">
        <f t="shared" si="6"/>
        <v>0</v>
      </c>
      <c r="G46">
        <f t="shared" si="7"/>
        <v>0</v>
      </c>
      <c r="H46">
        <f t="shared" si="7"/>
        <v>0</v>
      </c>
      <c r="I46">
        <f t="shared" si="7"/>
        <v>0</v>
      </c>
      <c r="J46">
        <f t="shared" si="7"/>
        <v>0</v>
      </c>
      <c r="K46" t="e">
        <f t="shared" si="12"/>
        <v>#VALUE!</v>
      </c>
      <c r="L46" t="e">
        <f t="shared" si="12"/>
        <v>#VALUE!</v>
      </c>
      <c r="M46" t="e">
        <f t="shared" si="16"/>
        <v>#VALUE!</v>
      </c>
      <c r="N46" t="e">
        <f t="shared" si="16"/>
        <v>#VALUE!</v>
      </c>
    </row>
    <row r="47" spans="1:20" x14ac:dyDescent="0.25">
      <c r="A47">
        <f t="shared" si="14"/>
        <v>1200</v>
      </c>
      <c r="B47">
        <f t="shared" si="2"/>
        <v>0</v>
      </c>
      <c r="C47">
        <f t="shared" si="15"/>
        <v>0</v>
      </c>
      <c r="D47">
        <f t="shared" si="4"/>
        <v>0</v>
      </c>
      <c r="E47">
        <f t="shared" si="5"/>
        <v>0</v>
      </c>
      <c r="F47">
        <f t="shared" si="6"/>
        <v>0</v>
      </c>
      <c r="G47">
        <f t="shared" si="7"/>
        <v>0</v>
      </c>
      <c r="H47">
        <f t="shared" si="7"/>
        <v>0</v>
      </c>
      <c r="I47">
        <f t="shared" si="7"/>
        <v>0</v>
      </c>
      <c r="J47">
        <f t="shared" si="7"/>
        <v>0</v>
      </c>
      <c r="K47" t="e">
        <f t="shared" si="12"/>
        <v>#VALUE!</v>
      </c>
      <c r="L47" t="e">
        <f t="shared" si="12"/>
        <v>#VALUE!</v>
      </c>
      <c r="M47" t="e">
        <f t="shared" si="16"/>
        <v>#VALUE!</v>
      </c>
      <c r="N47" t="e">
        <f t="shared" si="16"/>
        <v>#VALUE!</v>
      </c>
    </row>
    <row r="48" spans="1:20" x14ac:dyDescent="0.25">
      <c r="A48">
        <f t="shared" si="14"/>
        <v>1500</v>
      </c>
      <c r="B48">
        <f t="shared" si="2"/>
        <v>0</v>
      </c>
      <c r="C48">
        <f t="shared" si="15"/>
        <v>0</v>
      </c>
      <c r="D48">
        <f t="shared" si="4"/>
        <v>0</v>
      </c>
      <c r="E48">
        <f t="shared" si="5"/>
        <v>0</v>
      </c>
      <c r="F48">
        <f t="shared" si="6"/>
        <v>0</v>
      </c>
      <c r="G48">
        <f t="shared" si="7"/>
        <v>0</v>
      </c>
      <c r="H48">
        <f t="shared" si="7"/>
        <v>0</v>
      </c>
      <c r="I48">
        <f t="shared" si="7"/>
        <v>0</v>
      </c>
      <c r="J48">
        <f t="shared" si="7"/>
        <v>0</v>
      </c>
      <c r="K48" t="e">
        <f t="shared" si="12"/>
        <v>#VALUE!</v>
      </c>
      <c r="L48" t="e">
        <f t="shared" si="12"/>
        <v>#VALUE!</v>
      </c>
      <c r="M48" t="e">
        <f t="shared" si="16"/>
        <v>#VALUE!</v>
      </c>
      <c r="N48" t="e">
        <f t="shared" si="16"/>
        <v>#VALUE!</v>
      </c>
    </row>
    <row r="49" spans="1:14" x14ac:dyDescent="0.25">
      <c r="A49">
        <f t="shared" si="14"/>
        <v>1800</v>
      </c>
      <c r="B49">
        <f t="shared" si="2"/>
        <v>0</v>
      </c>
      <c r="C49">
        <f t="shared" si="15"/>
        <v>0</v>
      </c>
      <c r="D49">
        <f t="shared" si="4"/>
        <v>0</v>
      </c>
      <c r="E49">
        <f t="shared" si="5"/>
        <v>0</v>
      </c>
      <c r="F49">
        <f t="shared" si="6"/>
        <v>0</v>
      </c>
      <c r="G49">
        <f t="shared" si="7"/>
        <v>0</v>
      </c>
      <c r="H49">
        <f t="shared" si="7"/>
        <v>2200</v>
      </c>
      <c r="I49">
        <f t="shared" si="7"/>
        <v>0</v>
      </c>
      <c r="J49">
        <f t="shared" si="7"/>
        <v>0</v>
      </c>
      <c r="K49" t="e">
        <f t="shared" si="12"/>
        <v>#VALUE!</v>
      </c>
      <c r="L49" t="e">
        <f t="shared" si="12"/>
        <v>#VALUE!</v>
      </c>
      <c r="M49" t="e">
        <f t="shared" si="16"/>
        <v>#VALUE!</v>
      </c>
      <c r="N49" t="e">
        <f t="shared" si="16"/>
        <v>#VALUE!</v>
      </c>
    </row>
    <row r="50" spans="1:14" x14ac:dyDescent="0.25">
      <c r="A50">
        <f t="shared" si="14"/>
        <v>2200</v>
      </c>
      <c r="B50">
        <f t="shared" si="2"/>
        <v>0</v>
      </c>
      <c r="C50">
        <f t="shared" si="15"/>
        <v>0</v>
      </c>
      <c r="D50">
        <f t="shared" si="4"/>
        <v>0</v>
      </c>
      <c r="E50">
        <f t="shared" si="5"/>
        <v>0</v>
      </c>
      <c r="F50">
        <f t="shared" si="6"/>
        <v>0</v>
      </c>
      <c r="G50">
        <f t="shared" si="7"/>
        <v>0</v>
      </c>
      <c r="H50">
        <f t="shared" si="7"/>
        <v>0</v>
      </c>
      <c r="I50">
        <f t="shared" si="7"/>
        <v>0</v>
      </c>
      <c r="J50">
        <f t="shared" si="7"/>
        <v>0</v>
      </c>
      <c r="K50" t="e">
        <f t="shared" si="12"/>
        <v>#VALUE!</v>
      </c>
      <c r="L50" t="e">
        <f t="shared" si="12"/>
        <v>#VALUE!</v>
      </c>
      <c r="M50" t="e">
        <f t="shared" si="16"/>
        <v>#VALUE!</v>
      </c>
      <c r="N50" t="e">
        <f t="shared" si="16"/>
        <v>#VALUE!</v>
      </c>
    </row>
    <row r="51" spans="1:14" x14ac:dyDescent="0.25">
      <c r="A51">
        <f t="shared" si="14"/>
        <v>2700</v>
      </c>
      <c r="B51">
        <f t="shared" si="2"/>
        <v>0</v>
      </c>
      <c r="C51">
        <f t="shared" si="15"/>
        <v>0</v>
      </c>
      <c r="D51">
        <f t="shared" si="4"/>
        <v>0</v>
      </c>
      <c r="E51">
        <f t="shared" si="5"/>
        <v>0</v>
      </c>
      <c r="F51">
        <f t="shared" si="6"/>
        <v>0</v>
      </c>
      <c r="G51">
        <f t="shared" si="7"/>
        <v>0</v>
      </c>
      <c r="H51">
        <f t="shared" si="7"/>
        <v>0</v>
      </c>
      <c r="I51">
        <f t="shared" si="7"/>
        <v>0</v>
      </c>
      <c r="J51">
        <f t="shared" si="7"/>
        <v>0</v>
      </c>
      <c r="K51" t="e">
        <f t="shared" si="12"/>
        <v>#VALUE!</v>
      </c>
      <c r="L51" t="e">
        <f t="shared" si="12"/>
        <v>#VALUE!</v>
      </c>
      <c r="M51" t="e">
        <f t="shared" si="16"/>
        <v>#VALUE!</v>
      </c>
      <c r="N51" t="e">
        <f t="shared" si="16"/>
        <v>#VALUE!</v>
      </c>
    </row>
    <row r="52" spans="1:14" x14ac:dyDescent="0.25">
      <c r="A52">
        <f t="shared" si="14"/>
        <v>3300</v>
      </c>
      <c r="B52">
        <f t="shared" si="2"/>
        <v>0</v>
      </c>
      <c r="C52">
        <f t="shared" si="15"/>
        <v>0</v>
      </c>
      <c r="D52">
        <f t="shared" si="4"/>
        <v>0</v>
      </c>
      <c r="E52">
        <f t="shared" si="5"/>
        <v>0</v>
      </c>
      <c r="F52">
        <f t="shared" si="6"/>
        <v>0</v>
      </c>
      <c r="G52">
        <f t="shared" si="7"/>
        <v>0</v>
      </c>
      <c r="H52">
        <f t="shared" si="7"/>
        <v>0</v>
      </c>
      <c r="I52">
        <f t="shared" si="7"/>
        <v>0</v>
      </c>
      <c r="J52">
        <f t="shared" si="7"/>
        <v>0</v>
      </c>
      <c r="K52" t="e">
        <f t="shared" si="12"/>
        <v>#VALUE!</v>
      </c>
      <c r="L52" t="e">
        <f t="shared" si="12"/>
        <v>#VALUE!</v>
      </c>
      <c r="M52" t="e">
        <f t="shared" si="16"/>
        <v>#VALUE!</v>
      </c>
      <c r="N52" t="e">
        <f t="shared" si="16"/>
        <v>#VALUE!</v>
      </c>
    </row>
    <row r="53" spans="1:14" x14ac:dyDescent="0.25">
      <c r="A53">
        <f t="shared" si="14"/>
        <v>3900</v>
      </c>
      <c r="B53">
        <f t="shared" si="2"/>
        <v>0</v>
      </c>
      <c r="C53">
        <f t="shared" si="15"/>
        <v>0</v>
      </c>
      <c r="D53">
        <f t="shared" si="4"/>
        <v>0</v>
      </c>
      <c r="E53">
        <f t="shared" si="5"/>
        <v>0</v>
      </c>
      <c r="F53">
        <f t="shared" si="6"/>
        <v>0</v>
      </c>
      <c r="G53">
        <f t="shared" si="7"/>
        <v>0</v>
      </c>
      <c r="H53">
        <f t="shared" si="7"/>
        <v>0</v>
      </c>
      <c r="I53">
        <f t="shared" si="7"/>
        <v>0</v>
      </c>
      <c r="J53">
        <f t="shared" si="7"/>
        <v>0</v>
      </c>
      <c r="K53" t="e">
        <f t="shared" si="12"/>
        <v>#VALUE!</v>
      </c>
      <c r="L53" t="e">
        <f t="shared" si="12"/>
        <v>#VALUE!</v>
      </c>
      <c r="M53" t="e">
        <f t="shared" si="16"/>
        <v>#VALUE!</v>
      </c>
      <c r="N53" t="e">
        <f t="shared" si="16"/>
        <v>#VALUE!</v>
      </c>
    </row>
    <row r="54" spans="1:14" x14ac:dyDescent="0.25">
      <c r="A54">
        <f t="shared" si="14"/>
        <v>4700</v>
      </c>
      <c r="B54">
        <f t="shared" si="2"/>
        <v>0</v>
      </c>
      <c r="C54">
        <f t="shared" si="15"/>
        <v>0</v>
      </c>
      <c r="D54">
        <f t="shared" si="4"/>
        <v>0</v>
      </c>
      <c r="E54">
        <f t="shared" si="5"/>
        <v>0</v>
      </c>
      <c r="F54">
        <f t="shared" si="6"/>
        <v>0</v>
      </c>
      <c r="G54">
        <f t="shared" si="7"/>
        <v>0</v>
      </c>
      <c r="H54">
        <f t="shared" si="7"/>
        <v>0</v>
      </c>
      <c r="I54">
        <f t="shared" si="7"/>
        <v>0</v>
      </c>
      <c r="J54">
        <f t="shared" si="7"/>
        <v>0</v>
      </c>
      <c r="K54" t="e">
        <f t="shared" si="12"/>
        <v>#VALUE!</v>
      </c>
      <c r="L54" t="e">
        <f t="shared" si="12"/>
        <v>#VALUE!</v>
      </c>
      <c r="M54" t="e">
        <f t="shared" si="16"/>
        <v>#VALUE!</v>
      </c>
      <c r="N54" t="e">
        <f t="shared" si="16"/>
        <v>#VALUE!</v>
      </c>
    </row>
    <row r="55" spans="1:14" x14ac:dyDescent="0.25">
      <c r="A55">
        <f t="shared" si="14"/>
        <v>5600</v>
      </c>
      <c r="B55">
        <f t="shared" si="2"/>
        <v>0</v>
      </c>
      <c r="C55">
        <f t="shared" si="15"/>
        <v>0</v>
      </c>
      <c r="D55">
        <f t="shared" si="4"/>
        <v>0</v>
      </c>
      <c r="E55">
        <f t="shared" si="5"/>
        <v>0</v>
      </c>
      <c r="F55">
        <f t="shared" si="6"/>
        <v>0</v>
      </c>
      <c r="G55">
        <f t="shared" si="7"/>
        <v>0</v>
      </c>
      <c r="H55">
        <f t="shared" si="7"/>
        <v>0</v>
      </c>
      <c r="I55">
        <f t="shared" si="7"/>
        <v>0</v>
      </c>
      <c r="J55">
        <f t="shared" si="7"/>
        <v>0</v>
      </c>
      <c r="K55" t="e">
        <f t="shared" si="12"/>
        <v>#VALUE!</v>
      </c>
      <c r="L55" t="e">
        <f t="shared" si="12"/>
        <v>#VALUE!</v>
      </c>
      <c r="M55" t="e">
        <f t="shared" si="16"/>
        <v>#VALUE!</v>
      </c>
      <c r="N55" t="e">
        <f t="shared" si="16"/>
        <v>#VALUE!</v>
      </c>
    </row>
    <row r="56" spans="1:14" x14ac:dyDescent="0.25">
      <c r="A56">
        <f t="shared" si="14"/>
        <v>6800</v>
      </c>
      <c r="B56">
        <f t="shared" si="2"/>
        <v>0</v>
      </c>
      <c r="C56">
        <f t="shared" si="15"/>
        <v>0</v>
      </c>
      <c r="D56">
        <f t="shared" si="4"/>
        <v>0</v>
      </c>
      <c r="E56">
        <f t="shared" si="5"/>
        <v>0</v>
      </c>
      <c r="F56">
        <f t="shared" si="6"/>
        <v>0</v>
      </c>
      <c r="G56">
        <f t="shared" si="7"/>
        <v>0</v>
      </c>
      <c r="H56">
        <f t="shared" si="7"/>
        <v>0</v>
      </c>
      <c r="I56">
        <f t="shared" si="7"/>
        <v>0</v>
      </c>
      <c r="J56">
        <f t="shared" si="7"/>
        <v>0</v>
      </c>
      <c r="K56" t="e">
        <f t="shared" si="12"/>
        <v>#VALUE!</v>
      </c>
      <c r="L56" t="e">
        <f t="shared" si="12"/>
        <v>#VALUE!</v>
      </c>
      <c r="M56" t="e">
        <f t="shared" si="16"/>
        <v>#VALUE!</v>
      </c>
      <c r="N56" t="e">
        <f t="shared" si="16"/>
        <v>#VALUE!</v>
      </c>
    </row>
    <row r="57" spans="1:14" x14ac:dyDescent="0.25">
      <c r="A57">
        <f t="shared" si="14"/>
        <v>8200</v>
      </c>
      <c r="B57">
        <f t="shared" si="2"/>
        <v>0</v>
      </c>
      <c r="C57">
        <f t="shared" si="15"/>
        <v>0</v>
      </c>
      <c r="D57">
        <f t="shared" si="4"/>
        <v>0</v>
      </c>
      <c r="E57">
        <f t="shared" si="5"/>
        <v>0</v>
      </c>
      <c r="F57">
        <f t="shared" si="6"/>
        <v>0</v>
      </c>
      <c r="G57">
        <f t="shared" si="7"/>
        <v>0</v>
      </c>
      <c r="H57">
        <f t="shared" si="7"/>
        <v>0</v>
      </c>
      <c r="I57">
        <f t="shared" si="7"/>
        <v>0</v>
      </c>
      <c r="J57">
        <f t="shared" si="7"/>
        <v>0</v>
      </c>
      <c r="K57" t="e">
        <f t="shared" si="12"/>
        <v>#VALUE!</v>
      </c>
      <c r="L57" t="e">
        <f t="shared" si="12"/>
        <v>#VALUE!</v>
      </c>
      <c r="M57" t="e">
        <f t="shared" si="16"/>
        <v>#VALUE!</v>
      </c>
      <c r="N57" t="e">
        <f t="shared" si="16"/>
        <v>#VALUE!</v>
      </c>
    </row>
    <row r="58" spans="1:14" x14ac:dyDescent="0.25">
      <c r="A58">
        <f t="shared" si="14"/>
        <v>10000</v>
      </c>
      <c r="B58">
        <f t="shared" si="2"/>
        <v>0</v>
      </c>
      <c r="C58">
        <f t="shared" si="15"/>
        <v>0</v>
      </c>
      <c r="D58">
        <f t="shared" si="4"/>
        <v>0</v>
      </c>
      <c r="E58">
        <f t="shared" si="5"/>
        <v>0</v>
      </c>
      <c r="F58">
        <f t="shared" si="6"/>
        <v>0</v>
      </c>
      <c r="G58">
        <f t="shared" si="7"/>
        <v>0</v>
      </c>
      <c r="H58">
        <f t="shared" si="7"/>
        <v>0</v>
      </c>
      <c r="I58">
        <f t="shared" si="7"/>
        <v>0</v>
      </c>
      <c r="J58">
        <f t="shared" si="7"/>
        <v>0</v>
      </c>
      <c r="K58" t="e">
        <f t="shared" si="12"/>
        <v>#VALUE!</v>
      </c>
      <c r="L58" t="e">
        <f t="shared" si="12"/>
        <v>#VALUE!</v>
      </c>
      <c r="M58" t="e">
        <f t="shared" si="16"/>
        <v>#VALUE!</v>
      </c>
      <c r="N58" t="e">
        <f t="shared" si="16"/>
        <v>#VALUE!</v>
      </c>
    </row>
    <row r="59" spans="1:14" x14ac:dyDescent="0.25">
      <c r="A59">
        <f t="shared" si="14"/>
        <v>12000</v>
      </c>
      <c r="B59">
        <f t="shared" si="2"/>
        <v>0</v>
      </c>
      <c r="C59">
        <f t="shared" si="15"/>
        <v>0</v>
      </c>
      <c r="D59">
        <f t="shared" si="4"/>
        <v>0</v>
      </c>
      <c r="E59">
        <f t="shared" si="5"/>
        <v>0</v>
      </c>
      <c r="F59">
        <f t="shared" si="6"/>
        <v>0</v>
      </c>
      <c r="G59">
        <f t="shared" si="7"/>
        <v>0</v>
      </c>
      <c r="H59">
        <f t="shared" si="7"/>
        <v>0</v>
      </c>
      <c r="I59">
        <f t="shared" si="7"/>
        <v>0</v>
      </c>
      <c r="J59">
        <f t="shared" si="7"/>
        <v>0</v>
      </c>
      <c r="K59" t="e">
        <f t="shared" si="12"/>
        <v>#VALUE!</v>
      </c>
      <c r="L59" t="e">
        <f t="shared" si="12"/>
        <v>#VALUE!</v>
      </c>
      <c r="M59" t="e">
        <f t="shared" ref="M59:N68" si="17">IF(IF((M$3*10^12-$A60)*(M$3*10^12-$A59)*-1&lt;0,0,1)*IF(ABS(M$3*10^12-$A60)&gt;(M$3*10^12-$A59),$A59,$A60)=M60,0,IF((M$3*10^12-$A60)*(M$3*10^12-$A59)*-1&lt;0,0,1)*IF(ABS(M$3*10^12-$A60)&gt;(M$3*10^12-$A59),$A59,$A60))</f>
        <v>#VALUE!</v>
      </c>
      <c r="N59" t="e">
        <f t="shared" si="17"/>
        <v>#VALUE!</v>
      </c>
    </row>
    <row r="60" spans="1:14" x14ac:dyDescent="0.25">
      <c r="A60">
        <f t="shared" si="14"/>
        <v>15000</v>
      </c>
      <c r="B60">
        <f t="shared" si="2"/>
        <v>0</v>
      </c>
      <c r="C60">
        <f t="shared" si="15"/>
        <v>0</v>
      </c>
      <c r="D60">
        <f t="shared" si="4"/>
        <v>0</v>
      </c>
      <c r="E60">
        <f t="shared" si="5"/>
        <v>0</v>
      </c>
      <c r="F60">
        <f t="shared" si="6"/>
        <v>0</v>
      </c>
      <c r="G60">
        <f t="shared" si="7"/>
        <v>0</v>
      </c>
      <c r="H60">
        <f t="shared" si="7"/>
        <v>0</v>
      </c>
      <c r="I60">
        <f t="shared" si="7"/>
        <v>0</v>
      </c>
      <c r="J60">
        <f t="shared" si="7"/>
        <v>0</v>
      </c>
      <c r="K60" t="e">
        <f t="shared" si="12"/>
        <v>#VALUE!</v>
      </c>
      <c r="L60" t="e">
        <f t="shared" si="12"/>
        <v>#VALUE!</v>
      </c>
      <c r="M60" t="e">
        <f t="shared" si="17"/>
        <v>#VALUE!</v>
      </c>
      <c r="N60" t="e">
        <f t="shared" si="17"/>
        <v>#VALUE!</v>
      </c>
    </row>
    <row r="61" spans="1:14" x14ac:dyDescent="0.25">
      <c r="A61">
        <f t="shared" si="14"/>
        <v>18000</v>
      </c>
      <c r="B61">
        <f t="shared" si="2"/>
        <v>0</v>
      </c>
      <c r="C61">
        <f t="shared" si="15"/>
        <v>0</v>
      </c>
      <c r="D61">
        <f t="shared" si="4"/>
        <v>0</v>
      </c>
      <c r="E61">
        <f t="shared" si="5"/>
        <v>0</v>
      </c>
      <c r="F61">
        <f t="shared" si="6"/>
        <v>0</v>
      </c>
      <c r="G61">
        <f t="shared" si="7"/>
        <v>0</v>
      </c>
      <c r="H61">
        <f t="shared" si="7"/>
        <v>0</v>
      </c>
      <c r="I61">
        <f t="shared" si="7"/>
        <v>0</v>
      </c>
      <c r="J61">
        <f t="shared" si="7"/>
        <v>0</v>
      </c>
      <c r="K61" t="e">
        <f t="shared" si="12"/>
        <v>#VALUE!</v>
      </c>
      <c r="L61" t="e">
        <f t="shared" si="12"/>
        <v>#VALUE!</v>
      </c>
      <c r="M61" t="e">
        <f t="shared" si="17"/>
        <v>#VALUE!</v>
      </c>
      <c r="N61" t="e">
        <f t="shared" si="17"/>
        <v>#VALUE!</v>
      </c>
    </row>
    <row r="62" spans="1:14" x14ac:dyDescent="0.25">
      <c r="A62">
        <f t="shared" si="14"/>
        <v>22000</v>
      </c>
      <c r="B62">
        <f t="shared" si="2"/>
        <v>0</v>
      </c>
      <c r="C62">
        <f t="shared" si="15"/>
        <v>22000</v>
      </c>
      <c r="D62">
        <f t="shared" si="4"/>
        <v>0</v>
      </c>
      <c r="E62">
        <f t="shared" si="5"/>
        <v>0</v>
      </c>
      <c r="F62">
        <f t="shared" si="6"/>
        <v>0</v>
      </c>
      <c r="G62">
        <f t="shared" si="7"/>
        <v>0</v>
      </c>
      <c r="H62">
        <f t="shared" si="7"/>
        <v>0</v>
      </c>
      <c r="I62">
        <f t="shared" si="7"/>
        <v>0</v>
      </c>
      <c r="J62">
        <f t="shared" si="7"/>
        <v>0</v>
      </c>
      <c r="K62" t="e">
        <f t="shared" si="12"/>
        <v>#VALUE!</v>
      </c>
      <c r="L62" t="e">
        <f t="shared" si="12"/>
        <v>#VALUE!</v>
      </c>
      <c r="M62" t="e">
        <f t="shared" si="17"/>
        <v>#VALUE!</v>
      </c>
      <c r="N62" t="e">
        <f t="shared" si="17"/>
        <v>#VALUE!</v>
      </c>
    </row>
    <row r="63" spans="1:14" x14ac:dyDescent="0.25">
      <c r="A63">
        <f t="shared" si="14"/>
        <v>27000</v>
      </c>
      <c r="B63">
        <f t="shared" si="2"/>
        <v>0</v>
      </c>
      <c r="C63">
        <f t="shared" si="15"/>
        <v>0</v>
      </c>
      <c r="D63">
        <f t="shared" si="4"/>
        <v>0</v>
      </c>
      <c r="E63">
        <f t="shared" si="5"/>
        <v>0</v>
      </c>
      <c r="F63">
        <f t="shared" si="6"/>
        <v>0</v>
      </c>
      <c r="G63">
        <f t="shared" si="7"/>
        <v>0</v>
      </c>
      <c r="H63">
        <f t="shared" si="7"/>
        <v>0</v>
      </c>
      <c r="I63">
        <f t="shared" si="7"/>
        <v>0</v>
      </c>
      <c r="J63">
        <f t="shared" si="7"/>
        <v>0</v>
      </c>
      <c r="K63" t="e">
        <f t="shared" si="12"/>
        <v>#VALUE!</v>
      </c>
      <c r="L63" t="e">
        <f t="shared" si="12"/>
        <v>#VALUE!</v>
      </c>
      <c r="M63" t="e">
        <f t="shared" si="17"/>
        <v>#VALUE!</v>
      </c>
      <c r="N63" t="e">
        <f t="shared" si="17"/>
        <v>#VALUE!</v>
      </c>
    </row>
    <row r="64" spans="1:14" x14ac:dyDescent="0.25">
      <c r="A64">
        <f t="shared" si="14"/>
        <v>33000</v>
      </c>
      <c r="B64">
        <f t="shared" si="2"/>
        <v>0</v>
      </c>
      <c r="C64">
        <f t="shared" si="15"/>
        <v>0</v>
      </c>
      <c r="D64">
        <f t="shared" si="4"/>
        <v>0</v>
      </c>
      <c r="E64">
        <f t="shared" si="5"/>
        <v>0</v>
      </c>
      <c r="F64">
        <f t="shared" si="6"/>
        <v>0</v>
      </c>
      <c r="G64">
        <f t="shared" si="7"/>
        <v>0</v>
      </c>
      <c r="H64">
        <f t="shared" si="7"/>
        <v>0</v>
      </c>
      <c r="I64">
        <f t="shared" si="7"/>
        <v>0</v>
      </c>
      <c r="J64">
        <f t="shared" si="7"/>
        <v>0</v>
      </c>
      <c r="K64" t="e">
        <f t="shared" si="12"/>
        <v>#VALUE!</v>
      </c>
      <c r="L64" t="e">
        <f t="shared" si="12"/>
        <v>#VALUE!</v>
      </c>
      <c r="M64" t="e">
        <f t="shared" si="17"/>
        <v>#VALUE!</v>
      </c>
      <c r="N64" t="e">
        <f t="shared" si="17"/>
        <v>#VALUE!</v>
      </c>
    </row>
    <row r="65" spans="1:14" x14ac:dyDescent="0.25">
      <c r="A65">
        <f t="shared" si="14"/>
        <v>39000</v>
      </c>
      <c r="B65">
        <f t="shared" si="2"/>
        <v>0</v>
      </c>
      <c r="C65">
        <f t="shared" si="15"/>
        <v>0</v>
      </c>
      <c r="D65">
        <f t="shared" si="4"/>
        <v>0</v>
      </c>
      <c r="E65">
        <f t="shared" si="5"/>
        <v>0</v>
      </c>
      <c r="F65">
        <f t="shared" si="6"/>
        <v>0</v>
      </c>
      <c r="G65">
        <f t="shared" si="7"/>
        <v>0</v>
      </c>
      <c r="H65">
        <f t="shared" si="7"/>
        <v>0</v>
      </c>
      <c r="I65">
        <f t="shared" si="7"/>
        <v>0</v>
      </c>
      <c r="J65">
        <f t="shared" si="7"/>
        <v>0</v>
      </c>
      <c r="K65" t="e">
        <f t="shared" si="12"/>
        <v>#VALUE!</v>
      </c>
      <c r="L65" t="e">
        <f t="shared" si="12"/>
        <v>#VALUE!</v>
      </c>
      <c r="M65" t="e">
        <f t="shared" si="17"/>
        <v>#VALUE!</v>
      </c>
      <c r="N65" t="e">
        <f t="shared" si="17"/>
        <v>#VALUE!</v>
      </c>
    </row>
    <row r="66" spans="1:14" x14ac:dyDescent="0.25">
      <c r="A66">
        <f t="shared" si="14"/>
        <v>47000</v>
      </c>
      <c r="B66">
        <f t="shared" si="2"/>
        <v>0</v>
      </c>
      <c r="C66">
        <f t="shared" si="15"/>
        <v>0</v>
      </c>
      <c r="D66">
        <f t="shared" si="4"/>
        <v>0</v>
      </c>
      <c r="E66">
        <f t="shared" si="5"/>
        <v>0</v>
      </c>
      <c r="F66">
        <f t="shared" si="6"/>
        <v>0</v>
      </c>
      <c r="G66">
        <f t="shared" si="7"/>
        <v>0</v>
      </c>
      <c r="H66">
        <f t="shared" si="7"/>
        <v>0</v>
      </c>
      <c r="I66">
        <f t="shared" si="7"/>
        <v>0</v>
      </c>
      <c r="J66">
        <f t="shared" si="7"/>
        <v>0</v>
      </c>
      <c r="K66" t="e">
        <f t="shared" si="12"/>
        <v>#VALUE!</v>
      </c>
      <c r="L66" t="e">
        <f t="shared" si="12"/>
        <v>#VALUE!</v>
      </c>
      <c r="M66" t="e">
        <f t="shared" si="17"/>
        <v>#VALUE!</v>
      </c>
      <c r="N66" t="e">
        <f t="shared" si="17"/>
        <v>#VALUE!</v>
      </c>
    </row>
    <row r="67" spans="1:14" x14ac:dyDescent="0.25">
      <c r="A67">
        <f t="shared" si="14"/>
        <v>56000</v>
      </c>
      <c r="B67">
        <f t="shared" si="2"/>
        <v>0</v>
      </c>
      <c r="C67">
        <f t="shared" si="15"/>
        <v>0</v>
      </c>
      <c r="D67">
        <f t="shared" si="4"/>
        <v>0</v>
      </c>
      <c r="E67">
        <f t="shared" si="5"/>
        <v>0</v>
      </c>
      <c r="F67">
        <f t="shared" si="6"/>
        <v>0</v>
      </c>
      <c r="G67">
        <f t="shared" si="7"/>
        <v>0</v>
      </c>
      <c r="H67">
        <f t="shared" si="7"/>
        <v>0</v>
      </c>
      <c r="I67">
        <f t="shared" si="7"/>
        <v>0</v>
      </c>
      <c r="J67">
        <f t="shared" si="7"/>
        <v>0</v>
      </c>
      <c r="K67" t="e">
        <f t="shared" si="12"/>
        <v>#VALUE!</v>
      </c>
      <c r="L67" t="e">
        <f t="shared" si="12"/>
        <v>#VALUE!</v>
      </c>
      <c r="M67" t="e">
        <f t="shared" si="17"/>
        <v>#VALUE!</v>
      </c>
      <c r="N67" t="e">
        <f t="shared" si="17"/>
        <v>#VALUE!</v>
      </c>
    </row>
    <row r="68" spans="1:14" x14ac:dyDescent="0.25">
      <c r="A68">
        <f t="shared" si="14"/>
        <v>68000</v>
      </c>
      <c r="B68">
        <f t="shared" si="2"/>
        <v>0</v>
      </c>
      <c r="C68">
        <f t="shared" si="15"/>
        <v>0</v>
      </c>
      <c r="D68">
        <f t="shared" si="4"/>
        <v>0</v>
      </c>
      <c r="E68">
        <f t="shared" si="5"/>
        <v>0</v>
      </c>
      <c r="F68">
        <f t="shared" si="6"/>
        <v>0</v>
      </c>
      <c r="G68">
        <f t="shared" si="7"/>
        <v>0</v>
      </c>
      <c r="H68">
        <f t="shared" si="7"/>
        <v>0</v>
      </c>
      <c r="I68">
        <f t="shared" si="7"/>
        <v>0</v>
      </c>
      <c r="J68">
        <f t="shared" si="7"/>
        <v>0</v>
      </c>
      <c r="K68" t="e">
        <f t="shared" si="12"/>
        <v>#VALUE!</v>
      </c>
      <c r="L68" t="e">
        <f t="shared" si="12"/>
        <v>#VALUE!</v>
      </c>
      <c r="M68" t="e">
        <f t="shared" si="17"/>
        <v>#VALUE!</v>
      </c>
      <c r="N68" t="e">
        <f t="shared" si="17"/>
        <v>#VALUE!</v>
      </c>
    </row>
    <row r="69" spans="1:14" x14ac:dyDescent="0.25">
      <c r="A69">
        <f t="shared" si="14"/>
        <v>82000</v>
      </c>
      <c r="B69">
        <f t="shared" si="2"/>
        <v>0</v>
      </c>
      <c r="C69">
        <f t="shared" si="15"/>
        <v>0</v>
      </c>
      <c r="D69">
        <f t="shared" si="4"/>
        <v>0</v>
      </c>
      <c r="E69">
        <f t="shared" si="5"/>
        <v>0</v>
      </c>
      <c r="F69">
        <f t="shared" si="6"/>
        <v>0</v>
      </c>
      <c r="G69">
        <f t="shared" si="7"/>
        <v>0</v>
      </c>
      <c r="H69">
        <f t="shared" si="7"/>
        <v>0</v>
      </c>
      <c r="I69">
        <f t="shared" si="7"/>
        <v>0</v>
      </c>
      <c r="J69">
        <f t="shared" ref="J69:N132" si="18">IF(IF((J$3*10^12-$A70)*(J$3*10^12-$A69)*-1&lt;0,0,1)*IF(ABS(J$3*10^12-$A70)&gt;(J$3*10^12-$A69),$A69,$A70)=J70,0,IF((J$3*10^12-$A70)*(J$3*10^12-$A69)*-1&lt;0,0,1)*IF(ABS(J$3*10^12-$A70)&gt;(J$3*10^12-$A69),$A69,$A70))</f>
        <v>0</v>
      </c>
      <c r="K69" t="e">
        <f t="shared" si="18"/>
        <v>#VALUE!</v>
      </c>
      <c r="L69" t="e">
        <f t="shared" si="12"/>
        <v>#VALUE!</v>
      </c>
      <c r="M69" t="e">
        <f t="shared" si="18"/>
        <v>#VALUE!</v>
      </c>
      <c r="N69" t="e">
        <f t="shared" si="18"/>
        <v>#VALUE!</v>
      </c>
    </row>
    <row r="70" spans="1:14" x14ac:dyDescent="0.25">
      <c r="A70">
        <f t="shared" si="14"/>
        <v>100000</v>
      </c>
      <c r="B70">
        <f t="shared" si="2"/>
        <v>0</v>
      </c>
      <c r="C70">
        <f t="shared" si="15"/>
        <v>0</v>
      </c>
      <c r="D70">
        <f t="shared" ref="D70:I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8"/>
        <v>0</v>
      </c>
      <c r="K70" t="e">
        <f t="shared" si="18"/>
        <v>#VALUE!</v>
      </c>
      <c r="L70" t="e">
        <f t="shared" si="12"/>
        <v>#VALUE!</v>
      </c>
      <c r="M70" t="e">
        <f t="shared" si="18"/>
        <v>#VALUE!</v>
      </c>
      <c r="N70" t="e">
        <f t="shared" si="18"/>
        <v>#VALUE!</v>
      </c>
    </row>
    <row r="71" spans="1:14" x14ac:dyDescent="0.25">
      <c r="A71">
        <f t="shared" si="14"/>
        <v>120000</v>
      </c>
      <c r="B71">
        <f t="shared" ref="B71:B134" si="20">IF(IF((B$3*10^12-$A72)*(B$3*10^12-$A71)*-1&lt;0,0,1)*IF(ABS(B$3*10^12-$A72)&gt;(B$3*10^12-$A71),$A71,$A72)=B72,0,IF((B$3*10^12-$A72)*(B$3*10^12-$A71)*-1&lt;0,0,1)*IF(ABS(B$3*10^12-$A72)&gt;(B$3*10^12-$A71),$A71,$A72))</f>
        <v>0</v>
      </c>
      <c r="C71">
        <f t="shared" ref="C71:E134" si="21">IF(IF((C$3*10^12-$A72)*(C$3*10^12-$A71)*-1&lt;0,0,1)*IF(ABS(C$3*10^12-$A72)&gt;(C$3*10^12-$A71),$A71,$A72)=C72,0,IF((C$3*10^12-$A72)*(C$3*10^12-$A71)*-1&lt;0,0,1)*IF(ABS(C$3*10^12-$A72)&gt;(C$3*10^12-$A71),$A71,$A72))</f>
        <v>0</v>
      </c>
      <c r="D71">
        <f t="shared" si="21"/>
        <v>0</v>
      </c>
      <c r="E71">
        <f t="shared" si="21"/>
        <v>0</v>
      </c>
      <c r="F71">
        <f t="shared" ref="F71:F102" si="22">IF(IF((F$3*10^12-$A72)*(F$3*10^12-$A71)*-1&lt;0,0,1)*IF(ABS(F$3*10^12-$A72)&gt;(F$3*10^12-$A71),$A71,$A72)=F72,0,IF((F$3*10^12-$A72)*(F$3*10^12-$A71)*-1&lt;0,0,1)*IF(ABS(F$3*10^12-$A72)&gt;(F$3*10^12-$A71),$A71,$A72))</f>
        <v>0</v>
      </c>
      <c r="G71">
        <f t="shared" ref="G71:G102" si="23">IF(IF((G$3*10^12-$A72)*(G$3*10^12-$A71)*-1&lt;0,0,1)*IF(ABS(G$3*10^12-$A72)&gt;(G$3*10^12-$A71),$A71,$A72)=G72,0,IF((G$3*10^12-$A72)*(G$3*10^12-$A71)*-1&lt;0,0,1)*IF(ABS(G$3*10^12-$A72)&gt;(G$3*10^12-$A71),$A71,$A72))</f>
        <v>0</v>
      </c>
      <c r="H71">
        <f t="shared" ref="H71:H102" si="24">IF(IF((H$3*10^12-$A72)*(H$3*10^12-$A71)*-1&lt;0,0,1)*IF(ABS(H$3*10^12-$A72)&gt;(H$3*10^12-$A71),$A71,$A72)=H72,0,IF((H$3*10^12-$A72)*(H$3*10^12-$A71)*-1&lt;0,0,1)*IF(ABS(H$3*10^12-$A72)&gt;(H$3*10^12-$A71),$A71,$A72))</f>
        <v>0</v>
      </c>
      <c r="I71">
        <f t="shared" ref="I71:I102" si="25">IF(IF((I$3*10^12-$A72)*(I$3*10^12-$A71)*-1&lt;0,0,1)*IF(ABS(I$3*10^12-$A72)&gt;(I$3*10^12-$A71),$A71,$A72)=I72,0,IF((I$3*10^12-$A72)*(I$3*10^12-$A71)*-1&lt;0,0,1)*IF(ABS(I$3*10^12-$A72)&gt;(I$3*10^12-$A71),$A71,$A72))</f>
        <v>0</v>
      </c>
      <c r="J71">
        <f t="shared" si="18"/>
        <v>0</v>
      </c>
      <c r="K71" t="e">
        <f t="shared" si="18"/>
        <v>#VALUE!</v>
      </c>
      <c r="L71" t="e">
        <f t="shared" si="12"/>
        <v>#VALUE!</v>
      </c>
      <c r="M71" t="e">
        <f t="shared" si="18"/>
        <v>#VALUE!</v>
      </c>
      <c r="N71" t="e">
        <f t="shared" si="18"/>
        <v>#VALUE!</v>
      </c>
    </row>
    <row r="72" spans="1:14" x14ac:dyDescent="0.25">
      <c r="A72">
        <f t="shared" si="14"/>
        <v>150000</v>
      </c>
      <c r="B72">
        <f t="shared" si="20"/>
        <v>0</v>
      </c>
      <c r="C72">
        <f t="shared" si="21"/>
        <v>0</v>
      </c>
      <c r="D72">
        <f t="shared" si="21"/>
        <v>0</v>
      </c>
      <c r="E72">
        <f t="shared" si="21"/>
        <v>0</v>
      </c>
      <c r="F72">
        <f t="shared" si="22"/>
        <v>0</v>
      </c>
      <c r="G72">
        <f t="shared" si="23"/>
        <v>0</v>
      </c>
      <c r="H72">
        <f t="shared" si="24"/>
        <v>0</v>
      </c>
      <c r="I72">
        <f t="shared" si="25"/>
        <v>0</v>
      </c>
      <c r="J72">
        <f t="shared" si="18"/>
        <v>0</v>
      </c>
      <c r="K72" t="e">
        <f t="shared" si="18"/>
        <v>#VALUE!</v>
      </c>
      <c r="L72" t="e">
        <f t="shared" si="12"/>
        <v>#VALUE!</v>
      </c>
      <c r="M72" t="e">
        <f t="shared" si="18"/>
        <v>#VALUE!</v>
      </c>
      <c r="N72" t="e">
        <f t="shared" si="18"/>
        <v>#VALUE!</v>
      </c>
    </row>
    <row r="73" spans="1:14" x14ac:dyDescent="0.25">
      <c r="A73">
        <f t="shared" si="14"/>
        <v>180000</v>
      </c>
      <c r="B73">
        <f t="shared" si="20"/>
        <v>0</v>
      </c>
      <c r="C73">
        <f t="shared" si="21"/>
        <v>0</v>
      </c>
      <c r="D73">
        <f t="shared" si="21"/>
        <v>0</v>
      </c>
      <c r="E73">
        <f t="shared" si="21"/>
        <v>0</v>
      </c>
      <c r="F73">
        <f t="shared" si="22"/>
        <v>0</v>
      </c>
      <c r="G73">
        <f t="shared" si="23"/>
        <v>0</v>
      </c>
      <c r="H73">
        <f t="shared" si="24"/>
        <v>0</v>
      </c>
      <c r="I73">
        <f t="shared" si="25"/>
        <v>0</v>
      </c>
      <c r="J73">
        <f t="shared" si="18"/>
        <v>0</v>
      </c>
      <c r="K73" t="e">
        <f t="shared" si="18"/>
        <v>#VALUE!</v>
      </c>
      <c r="L73" t="e">
        <f t="shared" si="12"/>
        <v>#VALUE!</v>
      </c>
      <c r="M73" t="e">
        <f t="shared" si="18"/>
        <v>#VALUE!</v>
      </c>
      <c r="N73" t="e">
        <f t="shared" si="18"/>
        <v>#VALUE!</v>
      </c>
    </row>
    <row r="74" spans="1:14" x14ac:dyDescent="0.25">
      <c r="A74">
        <f t="shared" si="14"/>
        <v>220000</v>
      </c>
      <c r="B74">
        <f t="shared" si="20"/>
        <v>0</v>
      </c>
      <c r="C74">
        <f t="shared" si="21"/>
        <v>0</v>
      </c>
      <c r="D74">
        <f t="shared" si="21"/>
        <v>0</v>
      </c>
      <c r="E74">
        <f t="shared" si="21"/>
        <v>0</v>
      </c>
      <c r="F74">
        <f t="shared" si="22"/>
        <v>0</v>
      </c>
      <c r="G74">
        <f t="shared" si="23"/>
        <v>0</v>
      </c>
      <c r="H74">
        <f t="shared" si="24"/>
        <v>0</v>
      </c>
      <c r="I74">
        <f t="shared" si="25"/>
        <v>0</v>
      </c>
      <c r="J74">
        <f t="shared" si="18"/>
        <v>0</v>
      </c>
      <c r="K74" t="e">
        <f t="shared" si="18"/>
        <v>#VALUE!</v>
      </c>
      <c r="L74" t="e">
        <f t="shared" si="12"/>
        <v>#VALUE!</v>
      </c>
      <c r="M74" t="e">
        <f t="shared" si="18"/>
        <v>#VALUE!</v>
      </c>
      <c r="N74" t="e">
        <f t="shared" si="18"/>
        <v>#VALUE!</v>
      </c>
    </row>
    <row r="75" spans="1:14" x14ac:dyDescent="0.25">
      <c r="A75">
        <f t="shared" si="14"/>
        <v>270000</v>
      </c>
      <c r="B75">
        <f t="shared" si="20"/>
        <v>0</v>
      </c>
      <c r="C75">
        <f t="shared" si="21"/>
        <v>0</v>
      </c>
      <c r="D75">
        <f t="shared" si="21"/>
        <v>0</v>
      </c>
      <c r="E75">
        <f t="shared" si="21"/>
        <v>0</v>
      </c>
      <c r="F75">
        <f t="shared" si="22"/>
        <v>0</v>
      </c>
      <c r="G75">
        <f t="shared" si="23"/>
        <v>0</v>
      </c>
      <c r="H75">
        <f t="shared" si="24"/>
        <v>0</v>
      </c>
      <c r="I75">
        <f t="shared" si="25"/>
        <v>0</v>
      </c>
      <c r="J75">
        <f t="shared" si="18"/>
        <v>0</v>
      </c>
      <c r="K75" t="e">
        <f t="shared" si="18"/>
        <v>#VALUE!</v>
      </c>
      <c r="L75" t="e">
        <f t="shared" si="12"/>
        <v>#VALUE!</v>
      </c>
      <c r="M75" t="e">
        <f t="shared" si="18"/>
        <v>#VALUE!</v>
      </c>
      <c r="N75" t="e">
        <f t="shared" si="18"/>
        <v>#VALUE!</v>
      </c>
    </row>
    <row r="76" spans="1:14" x14ac:dyDescent="0.25">
      <c r="A76">
        <f t="shared" si="14"/>
        <v>330000</v>
      </c>
      <c r="B76">
        <f t="shared" si="20"/>
        <v>0</v>
      </c>
      <c r="C76">
        <f t="shared" si="21"/>
        <v>0</v>
      </c>
      <c r="D76">
        <f t="shared" si="21"/>
        <v>0</v>
      </c>
      <c r="E76">
        <f t="shared" si="21"/>
        <v>0</v>
      </c>
      <c r="F76">
        <f t="shared" si="22"/>
        <v>0</v>
      </c>
      <c r="G76">
        <f t="shared" si="23"/>
        <v>330000</v>
      </c>
      <c r="H76">
        <f t="shared" si="24"/>
        <v>0</v>
      </c>
      <c r="I76">
        <f t="shared" si="25"/>
        <v>0</v>
      </c>
      <c r="J76">
        <f t="shared" si="18"/>
        <v>0</v>
      </c>
      <c r="K76" t="e">
        <f t="shared" si="18"/>
        <v>#VALUE!</v>
      </c>
      <c r="L76" t="e">
        <f t="shared" si="12"/>
        <v>#VALUE!</v>
      </c>
      <c r="M76" t="e">
        <f t="shared" si="18"/>
        <v>#VALUE!</v>
      </c>
      <c r="N76" t="e">
        <f t="shared" si="18"/>
        <v>#VALUE!</v>
      </c>
    </row>
    <row r="77" spans="1:14" x14ac:dyDescent="0.25">
      <c r="A77">
        <f t="shared" si="14"/>
        <v>390000</v>
      </c>
      <c r="B77">
        <f t="shared" si="20"/>
        <v>0</v>
      </c>
      <c r="C77">
        <f t="shared" si="21"/>
        <v>0</v>
      </c>
      <c r="D77">
        <f t="shared" si="21"/>
        <v>0</v>
      </c>
      <c r="E77">
        <f t="shared" si="21"/>
        <v>0</v>
      </c>
      <c r="F77">
        <f t="shared" si="22"/>
        <v>0</v>
      </c>
      <c r="G77">
        <f t="shared" si="23"/>
        <v>0</v>
      </c>
      <c r="H77">
        <f t="shared" si="24"/>
        <v>0</v>
      </c>
      <c r="I77">
        <f t="shared" si="25"/>
        <v>0</v>
      </c>
      <c r="J77">
        <f t="shared" si="18"/>
        <v>0</v>
      </c>
      <c r="K77" t="e">
        <f t="shared" si="18"/>
        <v>#VALUE!</v>
      </c>
      <c r="L77" t="e">
        <f t="shared" si="12"/>
        <v>#VALUE!</v>
      </c>
      <c r="M77" t="e">
        <f t="shared" si="18"/>
        <v>#VALUE!</v>
      </c>
      <c r="N77" t="e">
        <f t="shared" si="18"/>
        <v>#VALUE!</v>
      </c>
    </row>
    <row r="78" spans="1:14" x14ac:dyDescent="0.25">
      <c r="A78">
        <f t="shared" si="14"/>
        <v>470000</v>
      </c>
      <c r="B78">
        <f t="shared" si="20"/>
        <v>0</v>
      </c>
      <c r="C78">
        <f t="shared" si="21"/>
        <v>0</v>
      </c>
      <c r="D78">
        <f t="shared" si="21"/>
        <v>0</v>
      </c>
      <c r="E78">
        <f t="shared" si="21"/>
        <v>0</v>
      </c>
      <c r="F78">
        <f t="shared" si="22"/>
        <v>0</v>
      </c>
      <c r="G78">
        <f t="shared" si="23"/>
        <v>0</v>
      </c>
      <c r="H78">
        <f t="shared" si="24"/>
        <v>0</v>
      </c>
      <c r="I78">
        <f t="shared" si="25"/>
        <v>0</v>
      </c>
      <c r="J78">
        <f t="shared" si="18"/>
        <v>0</v>
      </c>
      <c r="K78" t="e">
        <f t="shared" si="18"/>
        <v>#VALUE!</v>
      </c>
      <c r="L78" t="e">
        <f t="shared" si="12"/>
        <v>#VALUE!</v>
      </c>
      <c r="M78" t="e">
        <f t="shared" si="18"/>
        <v>#VALUE!</v>
      </c>
      <c r="N78" t="e">
        <f t="shared" si="18"/>
        <v>#VALUE!</v>
      </c>
    </row>
    <row r="79" spans="1:14" x14ac:dyDescent="0.25">
      <c r="A79">
        <f t="shared" si="14"/>
        <v>560000</v>
      </c>
      <c r="B79">
        <f t="shared" si="20"/>
        <v>0</v>
      </c>
      <c r="C79">
        <f t="shared" si="21"/>
        <v>0</v>
      </c>
      <c r="D79">
        <f t="shared" si="21"/>
        <v>0</v>
      </c>
      <c r="E79">
        <f t="shared" si="21"/>
        <v>0</v>
      </c>
      <c r="F79">
        <f t="shared" si="22"/>
        <v>0</v>
      </c>
      <c r="G79">
        <f t="shared" si="23"/>
        <v>0</v>
      </c>
      <c r="H79">
        <f t="shared" si="24"/>
        <v>0</v>
      </c>
      <c r="I79">
        <f t="shared" si="25"/>
        <v>0</v>
      </c>
      <c r="J79">
        <f t="shared" si="18"/>
        <v>0</v>
      </c>
      <c r="K79" t="e">
        <f t="shared" si="18"/>
        <v>#VALUE!</v>
      </c>
      <c r="L79" t="e">
        <f t="shared" si="12"/>
        <v>#VALUE!</v>
      </c>
      <c r="M79" t="e">
        <f t="shared" si="18"/>
        <v>#VALUE!</v>
      </c>
      <c r="N79" t="e">
        <f t="shared" si="18"/>
        <v>#VALUE!</v>
      </c>
    </row>
    <row r="80" spans="1:14" x14ac:dyDescent="0.25">
      <c r="A80">
        <f t="shared" si="14"/>
        <v>680000</v>
      </c>
      <c r="B80">
        <f t="shared" si="20"/>
        <v>0</v>
      </c>
      <c r="C80">
        <f t="shared" si="21"/>
        <v>0</v>
      </c>
      <c r="D80">
        <f t="shared" si="21"/>
        <v>0</v>
      </c>
      <c r="E80">
        <f t="shared" si="21"/>
        <v>0</v>
      </c>
      <c r="F80">
        <f t="shared" si="22"/>
        <v>0</v>
      </c>
      <c r="G80">
        <f t="shared" si="23"/>
        <v>0</v>
      </c>
      <c r="H80">
        <f t="shared" si="24"/>
        <v>0</v>
      </c>
      <c r="I80">
        <f t="shared" si="25"/>
        <v>0</v>
      </c>
      <c r="J80">
        <f t="shared" si="18"/>
        <v>0</v>
      </c>
      <c r="K80" t="e">
        <f t="shared" si="18"/>
        <v>#VALUE!</v>
      </c>
      <c r="L80" t="e">
        <f t="shared" si="12"/>
        <v>#VALUE!</v>
      </c>
      <c r="M80" t="e">
        <f t="shared" si="18"/>
        <v>#VALUE!</v>
      </c>
      <c r="N80" t="e">
        <f t="shared" si="18"/>
        <v>#VALUE!</v>
      </c>
    </row>
    <row r="81" spans="1:14" x14ac:dyDescent="0.25">
      <c r="A81">
        <f t="shared" si="14"/>
        <v>820000</v>
      </c>
      <c r="B81">
        <f t="shared" si="20"/>
        <v>0</v>
      </c>
      <c r="C81">
        <f t="shared" si="21"/>
        <v>0</v>
      </c>
      <c r="D81">
        <f t="shared" si="21"/>
        <v>0</v>
      </c>
      <c r="E81">
        <f t="shared" si="21"/>
        <v>0</v>
      </c>
      <c r="F81">
        <f t="shared" si="22"/>
        <v>0</v>
      </c>
      <c r="G81">
        <f t="shared" si="23"/>
        <v>0</v>
      </c>
      <c r="H81">
        <f t="shared" si="24"/>
        <v>0</v>
      </c>
      <c r="I81">
        <f t="shared" si="25"/>
        <v>0</v>
      </c>
      <c r="J81">
        <f t="shared" si="18"/>
        <v>0</v>
      </c>
      <c r="K81" t="e">
        <f t="shared" si="18"/>
        <v>#VALUE!</v>
      </c>
      <c r="L81" t="e">
        <f t="shared" si="12"/>
        <v>#VALUE!</v>
      </c>
      <c r="M81" t="e">
        <f t="shared" si="18"/>
        <v>#VALUE!</v>
      </c>
      <c r="N81" t="e">
        <f t="shared" si="18"/>
        <v>#VALUE!</v>
      </c>
    </row>
    <row r="82" spans="1:14" x14ac:dyDescent="0.25">
      <c r="A82">
        <f t="shared" si="14"/>
        <v>1000000</v>
      </c>
      <c r="B82">
        <f t="shared" si="20"/>
        <v>0</v>
      </c>
      <c r="C82">
        <f t="shared" si="21"/>
        <v>0</v>
      </c>
      <c r="D82">
        <f t="shared" si="21"/>
        <v>0</v>
      </c>
      <c r="E82">
        <f t="shared" si="21"/>
        <v>0</v>
      </c>
      <c r="F82">
        <f t="shared" si="22"/>
        <v>0</v>
      </c>
      <c r="G82">
        <f t="shared" si="23"/>
        <v>0</v>
      </c>
      <c r="H82">
        <f t="shared" si="24"/>
        <v>0</v>
      </c>
      <c r="I82">
        <f t="shared" si="25"/>
        <v>0</v>
      </c>
      <c r="J82">
        <f t="shared" si="18"/>
        <v>0</v>
      </c>
      <c r="K82" t="e">
        <f t="shared" si="18"/>
        <v>#VALUE!</v>
      </c>
      <c r="L82" t="e">
        <f t="shared" si="12"/>
        <v>#VALUE!</v>
      </c>
      <c r="M82" t="e">
        <f t="shared" si="18"/>
        <v>#VALUE!</v>
      </c>
      <c r="N82" t="e">
        <f t="shared" si="18"/>
        <v>#VALUE!</v>
      </c>
    </row>
    <row r="83" spans="1:14" x14ac:dyDescent="0.25">
      <c r="A83">
        <f t="shared" si="14"/>
        <v>1200000</v>
      </c>
      <c r="B83">
        <f t="shared" si="20"/>
        <v>0</v>
      </c>
      <c r="C83">
        <f t="shared" si="21"/>
        <v>0</v>
      </c>
      <c r="D83">
        <f t="shared" si="21"/>
        <v>0</v>
      </c>
      <c r="E83">
        <f t="shared" si="21"/>
        <v>0</v>
      </c>
      <c r="F83">
        <f t="shared" si="22"/>
        <v>0</v>
      </c>
      <c r="G83">
        <f t="shared" si="23"/>
        <v>0</v>
      </c>
      <c r="H83">
        <f t="shared" si="24"/>
        <v>0</v>
      </c>
      <c r="I83">
        <f t="shared" si="25"/>
        <v>0</v>
      </c>
      <c r="J83">
        <f t="shared" si="18"/>
        <v>0</v>
      </c>
      <c r="K83" t="e">
        <f t="shared" si="18"/>
        <v>#VALUE!</v>
      </c>
      <c r="L83" t="e">
        <f t="shared" si="12"/>
        <v>#VALUE!</v>
      </c>
      <c r="M83" t="e">
        <f t="shared" si="18"/>
        <v>#VALUE!</v>
      </c>
      <c r="N83" t="e">
        <f t="shared" si="18"/>
        <v>#VALUE!</v>
      </c>
    </row>
    <row r="84" spans="1:14" x14ac:dyDescent="0.25">
      <c r="A84">
        <f t="shared" si="14"/>
        <v>1500000</v>
      </c>
      <c r="B84">
        <f t="shared" si="20"/>
        <v>0</v>
      </c>
      <c r="C84">
        <f t="shared" si="21"/>
        <v>0</v>
      </c>
      <c r="D84">
        <f t="shared" si="21"/>
        <v>0</v>
      </c>
      <c r="E84">
        <f t="shared" si="21"/>
        <v>0</v>
      </c>
      <c r="F84">
        <f t="shared" si="22"/>
        <v>0</v>
      </c>
      <c r="G84">
        <f t="shared" si="23"/>
        <v>0</v>
      </c>
      <c r="H84">
        <f t="shared" si="24"/>
        <v>0</v>
      </c>
      <c r="I84">
        <f t="shared" si="25"/>
        <v>0</v>
      </c>
      <c r="J84">
        <f t="shared" si="18"/>
        <v>0</v>
      </c>
      <c r="K84" t="e">
        <f t="shared" si="18"/>
        <v>#VALUE!</v>
      </c>
      <c r="L84" t="e">
        <f t="shared" si="12"/>
        <v>#VALUE!</v>
      </c>
      <c r="M84" t="e">
        <f t="shared" si="18"/>
        <v>#VALUE!</v>
      </c>
      <c r="N84" t="e">
        <f t="shared" si="18"/>
        <v>#VALUE!</v>
      </c>
    </row>
    <row r="85" spans="1:14" x14ac:dyDescent="0.25">
      <c r="A85">
        <f t="shared" si="14"/>
        <v>1800000</v>
      </c>
      <c r="B85">
        <f t="shared" si="20"/>
        <v>0</v>
      </c>
      <c r="C85">
        <f t="shared" si="21"/>
        <v>0</v>
      </c>
      <c r="D85">
        <f t="shared" si="21"/>
        <v>0</v>
      </c>
      <c r="E85">
        <f t="shared" si="21"/>
        <v>0</v>
      </c>
      <c r="F85">
        <f t="shared" si="22"/>
        <v>0</v>
      </c>
      <c r="G85">
        <f t="shared" si="23"/>
        <v>0</v>
      </c>
      <c r="H85">
        <f t="shared" si="24"/>
        <v>0</v>
      </c>
      <c r="I85">
        <f t="shared" si="25"/>
        <v>0</v>
      </c>
      <c r="J85">
        <f t="shared" si="18"/>
        <v>0</v>
      </c>
      <c r="K85" t="e">
        <f t="shared" si="18"/>
        <v>#VALUE!</v>
      </c>
      <c r="L85" t="e">
        <f t="shared" ref="L85:L131" si="26">IF(IF((L$3*10^12-$A86)*(L$3*10^12-$A85)*-1&lt;0,0,1)*IF(ABS(L$3*10^12-$A86)&gt;(L$3*10^12-$A85),$A85,$A86)=L86,0,IF((L$3*10^12-$A86)*(L$3*10^12-$A85)*-1&lt;0,0,1)*IF(ABS(L$3*10^12-$A86)&gt;(L$3*10^12-$A85),$A85,$A86))</f>
        <v>#VALUE!</v>
      </c>
      <c r="M85" t="e">
        <f t="shared" si="18"/>
        <v>#VALUE!</v>
      </c>
      <c r="N85" t="e">
        <f t="shared" si="18"/>
        <v>#VALUE!</v>
      </c>
    </row>
    <row r="86" spans="1:14" x14ac:dyDescent="0.25">
      <c r="A86">
        <f t="shared" si="14"/>
        <v>2200000</v>
      </c>
      <c r="B86">
        <f t="shared" si="20"/>
        <v>0</v>
      </c>
      <c r="C86">
        <f t="shared" si="21"/>
        <v>0</v>
      </c>
      <c r="D86">
        <f t="shared" si="21"/>
        <v>0</v>
      </c>
      <c r="E86">
        <f t="shared" si="21"/>
        <v>0</v>
      </c>
      <c r="F86">
        <f t="shared" si="22"/>
        <v>0</v>
      </c>
      <c r="G86">
        <f t="shared" si="23"/>
        <v>0</v>
      </c>
      <c r="H86">
        <f t="shared" si="24"/>
        <v>0</v>
      </c>
      <c r="I86">
        <f t="shared" si="25"/>
        <v>0</v>
      </c>
      <c r="J86">
        <f t="shared" si="18"/>
        <v>0</v>
      </c>
      <c r="K86" t="e">
        <f t="shared" si="18"/>
        <v>#VALUE!</v>
      </c>
      <c r="L86" t="e">
        <f t="shared" si="26"/>
        <v>#VALUE!</v>
      </c>
      <c r="M86" t="e">
        <f t="shared" si="18"/>
        <v>#VALUE!</v>
      </c>
      <c r="N86" t="e">
        <f t="shared" si="18"/>
        <v>#VALUE!</v>
      </c>
    </row>
    <row r="87" spans="1:14" x14ac:dyDescent="0.25">
      <c r="A87">
        <f t="shared" si="14"/>
        <v>2700000</v>
      </c>
      <c r="B87">
        <f t="shared" si="20"/>
        <v>0</v>
      </c>
      <c r="C87">
        <f t="shared" si="21"/>
        <v>0</v>
      </c>
      <c r="D87">
        <f t="shared" si="21"/>
        <v>0</v>
      </c>
      <c r="E87">
        <f t="shared" si="21"/>
        <v>0</v>
      </c>
      <c r="F87">
        <f t="shared" si="22"/>
        <v>0</v>
      </c>
      <c r="G87">
        <f t="shared" si="23"/>
        <v>0</v>
      </c>
      <c r="H87">
        <f t="shared" si="24"/>
        <v>0</v>
      </c>
      <c r="I87">
        <f t="shared" si="25"/>
        <v>0</v>
      </c>
      <c r="J87">
        <f t="shared" si="18"/>
        <v>0</v>
      </c>
      <c r="K87" t="e">
        <f t="shared" si="18"/>
        <v>#VALUE!</v>
      </c>
      <c r="L87" t="e">
        <f t="shared" si="26"/>
        <v>#VALUE!</v>
      </c>
      <c r="M87" t="e">
        <f t="shared" si="18"/>
        <v>#VALUE!</v>
      </c>
      <c r="N87" t="e">
        <f t="shared" si="18"/>
        <v>#VALUE!</v>
      </c>
    </row>
    <row r="88" spans="1:14" x14ac:dyDescent="0.25">
      <c r="A88">
        <f t="shared" si="14"/>
        <v>3300000</v>
      </c>
      <c r="B88">
        <f t="shared" si="20"/>
        <v>0</v>
      </c>
      <c r="C88">
        <f t="shared" si="21"/>
        <v>0</v>
      </c>
      <c r="D88">
        <f t="shared" si="21"/>
        <v>0</v>
      </c>
      <c r="E88">
        <f t="shared" si="21"/>
        <v>0</v>
      </c>
      <c r="F88">
        <f t="shared" si="22"/>
        <v>0</v>
      </c>
      <c r="G88">
        <f t="shared" si="23"/>
        <v>0</v>
      </c>
      <c r="H88">
        <f t="shared" si="24"/>
        <v>0</v>
      </c>
      <c r="I88">
        <f t="shared" si="25"/>
        <v>0</v>
      </c>
      <c r="J88">
        <f t="shared" si="18"/>
        <v>0</v>
      </c>
      <c r="K88" t="e">
        <f t="shared" si="18"/>
        <v>#VALUE!</v>
      </c>
      <c r="L88" t="e">
        <f t="shared" si="26"/>
        <v>#VALUE!</v>
      </c>
      <c r="M88" t="e">
        <f t="shared" si="18"/>
        <v>#VALUE!</v>
      </c>
      <c r="N88" t="e">
        <f t="shared" si="18"/>
        <v>#VALUE!</v>
      </c>
    </row>
    <row r="89" spans="1:14" x14ac:dyDescent="0.25">
      <c r="A89">
        <f t="shared" si="14"/>
        <v>3900000</v>
      </c>
      <c r="B89">
        <f t="shared" si="20"/>
        <v>0</v>
      </c>
      <c r="C89">
        <f t="shared" si="21"/>
        <v>0</v>
      </c>
      <c r="D89">
        <f t="shared" si="21"/>
        <v>0</v>
      </c>
      <c r="E89">
        <f t="shared" si="21"/>
        <v>0</v>
      </c>
      <c r="F89">
        <f t="shared" si="22"/>
        <v>0</v>
      </c>
      <c r="G89">
        <f t="shared" si="23"/>
        <v>0</v>
      </c>
      <c r="H89">
        <f t="shared" si="24"/>
        <v>0</v>
      </c>
      <c r="I89">
        <f t="shared" si="25"/>
        <v>0</v>
      </c>
      <c r="J89">
        <f t="shared" si="18"/>
        <v>0</v>
      </c>
      <c r="K89" t="e">
        <f t="shared" si="18"/>
        <v>#VALUE!</v>
      </c>
      <c r="L89" t="e">
        <f t="shared" si="26"/>
        <v>#VALUE!</v>
      </c>
      <c r="M89" t="e">
        <f t="shared" si="18"/>
        <v>#VALUE!</v>
      </c>
      <c r="N89" t="e">
        <f t="shared" si="18"/>
        <v>#VALUE!</v>
      </c>
    </row>
    <row r="90" spans="1:14" x14ac:dyDescent="0.25">
      <c r="A90">
        <f t="shared" si="14"/>
        <v>4700000</v>
      </c>
      <c r="B90">
        <f t="shared" si="20"/>
        <v>0</v>
      </c>
      <c r="C90">
        <f t="shared" si="21"/>
        <v>0</v>
      </c>
      <c r="D90">
        <f t="shared" si="21"/>
        <v>0</v>
      </c>
      <c r="E90">
        <f t="shared" si="21"/>
        <v>0</v>
      </c>
      <c r="F90">
        <f t="shared" si="22"/>
        <v>4700000</v>
      </c>
      <c r="G90">
        <f t="shared" si="23"/>
        <v>0</v>
      </c>
      <c r="H90">
        <f t="shared" si="24"/>
        <v>0</v>
      </c>
      <c r="I90">
        <f t="shared" si="25"/>
        <v>0</v>
      </c>
      <c r="J90">
        <f t="shared" si="18"/>
        <v>0</v>
      </c>
      <c r="K90" t="e">
        <f t="shared" si="18"/>
        <v>#VALUE!</v>
      </c>
      <c r="L90" t="e">
        <f t="shared" si="26"/>
        <v>#VALUE!</v>
      </c>
      <c r="M90" t="e">
        <f t="shared" si="18"/>
        <v>#VALUE!</v>
      </c>
      <c r="N90" t="e">
        <f t="shared" si="18"/>
        <v>#VALUE!</v>
      </c>
    </row>
    <row r="91" spans="1:14" x14ac:dyDescent="0.25">
      <c r="A91">
        <f t="shared" si="14"/>
        <v>5600000</v>
      </c>
      <c r="B91">
        <f t="shared" si="20"/>
        <v>0</v>
      </c>
      <c r="C91">
        <f t="shared" si="21"/>
        <v>0</v>
      </c>
      <c r="D91">
        <f t="shared" si="21"/>
        <v>0</v>
      </c>
      <c r="E91">
        <f t="shared" si="21"/>
        <v>0</v>
      </c>
      <c r="F91">
        <f t="shared" si="22"/>
        <v>0</v>
      </c>
      <c r="G91">
        <f t="shared" si="23"/>
        <v>0</v>
      </c>
      <c r="H91">
        <f t="shared" si="24"/>
        <v>0</v>
      </c>
      <c r="I91">
        <f t="shared" si="25"/>
        <v>0</v>
      </c>
      <c r="J91">
        <f t="shared" si="18"/>
        <v>0</v>
      </c>
      <c r="K91" t="e">
        <f t="shared" si="18"/>
        <v>#VALUE!</v>
      </c>
      <c r="L91" t="e">
        <f t="shared" si="26"/>
        <v>#VALUE!</v>
      </c>
      <c r="M91" t="e">
        <f t="shared" si="18"/>
        <v>#VALUE!</v>
      </c>
      <c r="N91" t="e">
        <f t="shared" si="18"/>
        <v>#VALUE!</v>
      </c>
    </row>
    <row r="92" spans="1:14" x14ac:dyDescent="0.25">
      <c r="A92">
        <f t="shared" si="14"/>
        <v>6800000</v>
      </c>
      <c r="B92">
        <f t="shared" si="20"/>
        <v>0</v>
      </c>
      <c r="C92">
        <f t="shared" si="21"/>
        <v>0</v>
      </c>
      <c r="D92">
        <f t="shared" si="21"/>
        <v>0</v>
      </c>
      <c r="E92">
        <f t="shared" si="21"/>
        <v>0</v>
      </c>
      <c r="F92">
        <f t="shared" si="22"/>
        <v>0</v>
      </c>
      <c r="G92">
        <f t="shared" si="23"/>
        <v>0</v>
      </c>
      <c r="H92">
        <f t="shared" si="24"/>
        <v>0</v>
      </c>
      <c r="I92">
        <f t="shared" si="25"/>
        <v>0</v>
      </c>
      <c r="J92">
        <f t="shared" si="18"/>
        <v>0</v>
      </c>
      <c r="K92" t="e">
        <f t="shared" si="18"/>
        <v>#VALUE!</v>
      </c>
      <c r="L92" t="e">
        <f t="shared" si="26"/>
        <v>#VALUE!</v>
      </c>
      <c r="M92" t="e">
        <f t="shared" si="18"/>
        <v>#VALUE!</v>
      </c>
      <c r="N92" t="e">
        <f t="shared" si="18"/>
        <v>#VALUE!</v>
      </c>
    </row>
    <row r="93" spans="1:14" x14ac:dyDescent="0.25">
      <c r="A93">
        <f t="shared" si="14"/>
        <v>8200000</v>
      </c>
      <c r="B93">
        <f t="shared" si="20"/>
        <v>0</v>
      </c>
      <c r="C93">
        <f t="shared" si="21"/>
        <v>0</v>
      </c>
      <c r="D93">
        <f t="shared" si="21"/>
        <v>0</v>
      </c>
      <c r="E93">
        <f t="shared" si="21"/>
        <v>0</v>
      </c>
      <c r="F93">
        <f t="shared" si="22"/>
        <v>0</v>
      </c>
      <c r="G93">
        <f t="shared" si="23"/>
        <v>0</v>
      </c>
      <c r="H93">
        <f t="shared" si="24"/>
        <v>0</v>
      </c>
      <c r="I93">
        <f t="shared" si="25"/>
        <v>0</v>
      </c>
      <c r="J93">
        <f t="shared" si="18"/>
        <v>0</v>
      </c>
      <c r="K93" t="e">
        <f t="shared" si="18"/>
        <v>#VALUE!</v>
      </c>
      <c r="L93" t="e">
        <f t="shared" si="26"/>
        <v>#VALUE!</v>
      </c>
      <c r="M93" t="e">
        <f t="shared" si="18"/>
        <v>#VALUE!</v>
      </c>
      <c r="N93" t="e">
        <f t="shared" si="18"/>
        <v>#VALUE!</v>
      </c>
    </row>
    <row r="94" spans="1:14" x14ac:dyDescent="0.25">
      <c r="A94">
        <f t="shared" si="14"/>
        <v>10000000</v>
      </c>
      <c r="B94">
        <f t="shared" si="20"/>
        <v>0</v>
      </c>
      <c r="C94">
        <f t="shared" si="21"/>
        <v>0</v>
      </c>
      <c r="D94">
        <f t="shared" si="21"/>
        <v>0</v>
      </c>
      <c r="E94">
        <f t="shared" si="21"/>
        <v>0</v>
      </c>
      <c r="F94">
        <f t="shared" si="22"/>
        <v>0</v>
      </c>
      <c r="G94">
        <f t="shared" si="23"/>
        <v>0</v>
      </c>
      <c r="H94">
        <f t="shared" si="24"/>
        <v>0</v>
      </c>
      <c r="I94">
        <f t="shared" si="25"/>
        <v>0</v>
      </c>
      <c r="J94">
        <f t="shared" si="18"/>
        <v>0</v>
      </c>
      <c r="K94" t="e">
        <f t="shared" si="18"/>
        <v>#VALUE!</v>
      </c>
      <c r="L94" t="e">
        <f t="shared" si="26"/>
        <v>#VALUE!</v>
      </c>
      <c r="M94" t="e">
        <f t="shared" si="18"/>
        <v>#VALUE!</v>
      </c>
      <c r="N94" t="e">
        <f t="shared" si="18"/>
        <v>#VALUE!</v>
      </c>
    </row>
    <row r="95" spans="1:14" x14ac:dyDescent="0.25">
      <c r="A95">
        <f t="shared" si="14"/>
        <v>12000000</v>
      </c>
      <c r="B95">
        <f t="shared" si="20"/>
        <v>0</v>
      </c>
      <c r="C95">
        <f t="shared" si="21"/>
        <v>0</v>
      </c>
      <c r="D95">
        <f t="shared" si="21"/>
        <v>0</v>
      </c>
      <c r="E95">
        <f t="shared" si="21"/>
        <v>0</v>
      </c>
      <c r="F95">
        <f t="shared" si="22"/>
        <v>0</v>
      </c>
      <c r="G95">
        <f t="shared" si="23"/>
        <v>0</v>
      </c>
      <c r="H95">
        <f t="shared" si="24"/>
        <v>0</v>
      </c>
      <c r="I95">
        <f t="shared" si="25"/>
        <v>0</v>
      </c>
      <c r="J95">
        <f t="shared" si="18"/>
        <v>0</v>
      </c>
      <c r="K95" t="e">
        <f t="shared" si="18"/>
        <v>#VALUE!</v>
      </c>
      <c r="L95" t="e">
        <f t="shared" si="26"/>
        <v>#VALUE!</v>
      </c>
      <c r="M95" t="e">
        <f t="shared" si="18"/>
        <v>#VALUE!</v>
      </c>
      <c r="N95" t="e">
        <f t="shared" si="18"/>
        <v>#VALUE!</v>
      </c>
    </row>
    <row r="96" spans="1:14" x14ac:dyDescent="0.25">
      <c r="A96">
        <f t="shared" si="14"/>
        <v>15000000</v>
      </c>
      <c r="B96">
        <f t="shared" si="20"/>
        <v>0</v>
      </c>
      <c r="C96">
        <f t="shared" si="21"/>
        <v>0</v>
      </c>
      <c r="D96">
        <f t="shared" si="21"/>
        <v>0</v>
      </c>
      <c r="E96">
        <f t="shared" si="21"/>
        <v>0</v>
      </c>
      <c r="F96">
        <f t="shared" si="22"/>
        <v>0</v>
      </c>
      <c r="G96">
        <f t="shared" si="23"/>
        <v>0</v>
      </c>
      <c r="H96">
        <f t="shared" si="24"/>
        <v>0</v>
      </c>
      <c r="I96">
        <f t="shared" si="25"/>
        <v>0</v>
      </c>
      <c r="J96">
        <f t="shared" si="18"/>
        <v>0</v>
      </c>
      <c r="K96" t="e">
        <f t="shared" si="18"/>
        <v>#VALUE!</v>
      </c>
      <c r="L96" t="e">
        <f t="shared" si="26"/>
        <v>#VALUE!</v>
      </c>
      <c r="M96" t="e">
        <f t="shared" si="18"/>
        <v>#VALUE!</v>
      </c>
      <c r="N96" t="e">
        <f t="shared" si="18"/>
        <v>#VALUE!</v>
      </c>
    </row>
    <row r="97" spans="1:14" x14ac:dyDescent="0.25">
      <c r="A97">
        <f t="shared" si="14"/>
        <v>18000000</v>
      </c>
      <c r="B97">
        <f t="shared" si="20"/>
        <v>0</v>
      </c>
      <c r="C97">
        <f t="shared" si="21"/>
        <v>0</v>
      </c>
      <c r="D97">
        <f t="shared" si="21"/>
        <v>0</v>
      </c>
      <c r="E97">
        <f t="shared" si="21"/>
        <v>0</v>
      </c>
      <c r="F97">
        <f t="shared" si="22"/>
        <v>0</v>
      </c>
      <c r="G97">
        <f t="shared" si="23"/>
        <v>0</v>
      </c>
      <c r="H97">
        <f t="shared" si="24"/>
        <v>0</v>
      </c>
      <c r="I97">
        <f t="shared" si="25"/>
        <v>0</v>
      </c>
      <c r="J97">
        <f t="shared" si="18"/>
        <v>0</v>
      </c>
      <c r="K97" t="e">
        <f t="shared" si="18"/>
        <v>#VALUE!</v>
      </c>
      <c r="L97" t="e">
        <f t="shared" si="26"/>
        <v>#VALUE!</v>
      </c>
      <c r="M97" t="e">
        <f t="shared" si="18"/>
        <v>#VALUE!</v>
      </c>
      <c r="N97" t="e">
        <f t="shared" si="18"/>
        <v>#VALUE!</v>
      </c>
    </row>
    <row r="98" spans="1:14" x14ac:dyDescent="0.25">
      <c r="A98">
        <f t="shared" si="14"/>
        <v>22000000</v>
      </c>
      <c r="B98">
        <f t="shared" si="20"/>
        <v>0</v>
      </c>
      <c r="C98">
        <f t="shared" si="21"/>
        <v>0</v>
      </c>
      <c r="D98">
        <f t="shared" si="21"/>
        <v>0</v>
      </c>
      <c r="E98">
        <f t="shared" si="21"/>
        <v>0</v>
      </c>
      <c r="F98">
        <f t="shared" si="22"/>
        <v>0</v>
      </c>
      <c r="G98">
        <f t="shared" si="23"/>
        <v>0</v>
      </c>
      <c r="H98">
        <f t="shared" si="24"/>
        <v>0</v>
      </c>
      <c r="I98">
        <f t="shared" si="25"/>
        <v>0</v>
      </c>
      <c r="J98">
        <f t="shared" si="18"/>
        <v>0</v>
      </c>
      <c r="K98" t="e">
        <f t="shared" si="18"/>
        <v>#VALUE!</v>
      </c>
      <c r="L98" t="e">
        <f t="shared" si="26"/>
        <v>#VALUE!</v>
      </c>
      <c r="M98" t="e">
        <f t="shared" si="18"/>
        <v>#VALUE!</v>
      </c>
      <c r="N98" t="e">
        <f t="shared" si="18"/>
        <v>#VALUE!</v>
      </c>
    </row>
    <row r="99" spans="1:14" x14ac:dyDescent="0.25">
      <c r="A99">
        <f t="shared" ref="A99:A159" si="27">A87*10</f>
        <v>27000000</v>
      </c>
      <c r="B99">
        <f t="shared" si="20"/>
        <v>0</v>
      </c>
      <c r="C99">
        <f t="shared" si="21"/>
        <v>0</v>
      </c>
      <c r="D99">
        <f t="shared" si="21"/>
        <v>0</v>
      </c>
      <c r="E99">
        <f t="shared" si="21"/>
        <v>0</v>
      </c>
      <c r="F99">
        <f t="shared" si="22"/>
        <v>0</v>
      </c>
      <c r="G99">
        <f t="shared" si="23"/>
        <v>0</v>
      </c>
      <c r="H99">
        <f t="shared" si="24"/>
        <v>0</v>
      </c>
      <c r="I99">
        <f t="shared" si="25"/>
        <v>0</v>
      </c>
      <c r="J99">
        <f t="shared" si="18"/>
        <v>0</v>
      </c>
      <c r="K99" t="e">
        <f t="shared" si="18"/>
        <v>#VALUE!</v>
      </c>
      <c r="L99" t="e">
        <f t="shared" si="26"/>
        <v>#VALUE!</v>
      </c>
      <c r="M99" t="e">
        <f t="shared" si="18"/>
        <v>#VALUE!</v>
      </c>
      <c r="N99" t="e">
        <f t="shared" si="18"/>
        <v>#VALUE!</v>
      </c>
    </row>
    <row r="100" spans="1:14" x14ac:dyDescent="0.25">
      <c r="A100">
        <f t="shared" si="27"/>
        <v>33000000</v>
      </c>
      <c r="B100">
        <f t="shared" si="20"/>
        <v>0</v>
      </c>
      <c r="C100">
        <f t="shared" si="21"/>
        <v>0</v>
      </c>
      <c r="D100">
        <f t="shared" si="21"/>
        <v>0</v>
      </c>
      <c r="E100">
        <f t="shared" si="21"/>
        <v>0</v>
      </c>
      <c r="F100">
        <f t="shared" si="22"/>
        <v>0</v>
      </c>
      <c r="G100">
        <f t="shared" si="23"/>
        <v>0</v>
      </c>
      <c r="H100">
        <f t="shared" si="24"/>
        <v>0</v>
      </c>
      <c r="I100">
        <f t="shared" si="25"/>
        <v>0</v>
      </c>
      <c r="J100">
        <f t="shared" si="18"/>
        <v>0</v>
      </c>
      <c r="K100" t="e">
        <f t="shared" si="18"/>
        <v>#VALUE!</v>
      </c>
      <c r="L100" t="e">
        <f t="shared" si="26"/>
        <v>#VALUE!</v>
      </c>
      <c r="M100" t="e">
        <f t="shared" si="18"/>
        <v>#VALUE!</v>
      </c>
      <c r="N100" t="e">
        <f t="shared" si="18"/>
        <v>#VALUE!</v>
      </c>
    </row>
    <row r="101" spans="1:14" x14ac:dyDescent="0.25">
      <c r="A101">
        <f t="shared" si="27"/>
        <v>39000000</v>
      </c>
      <c r="B101">
        <f t="shared" si="20"/>
        <v>0</v>
      </c>
      <c r="C101">
        <f t="shared" si="21"/>
        <v>0</v>
      </c>
      <c r="D101">
        <f t="shared" si="21"/>
        <v>0</v>
      </c>
      <c r="E101">
        <f t="shared" si="21"/>
        <v>0</v>
      </c>
      <c r="F101">
        <f t="shared" si="22"/>
        <v>0</v>
      </c>
      <c r="G101">
        <f t="shared" si="23"/>
        <v>0</v>
      </c>
      <c r="H101">
        <f t="shared" si="24"/>
        <v>0</v>
      </c>
      <c r="I101">
        <f t="shared" si="25"/>
        <v>0</v>
      </c>
      <c r="J101">
        <f t="shared" si="18"/>
        <v>0</v>
      </c>
      <c r="K101" t="e">
        <f t="shared" si="18"/>
        <v>#VALUE!</v>
      </c>
      <c r="L101" t="e">
        <f t="shared" si="26"/>
        <v>#VALUE!</v>
      </c>
      <c r="M101" t="e">
        <f t="shared" si="18"/>
        <v>#VALUE!</v>
      </c>
      <c r="N101" t="e">
        <f t="shared" si="18"/>
        <v>#VALUE!</v>
      </c>
    </row>
    <row r="102" spans="1:14" x14ac:dyDescent="0.25">
      <c r="A102">
        <f t="shared" si="27"/>
        <v>47000000</v>
      </c>
      <c r="B102">
        <f t="shared" si="20"/>
        <v>0</v>
      </c>
      <c r="C102">
        <f t="shared" si="21"/>
        <v>0</v>
      </c>
      <c r="D102">
        <f t="shared" si="21"/>
        <v>0</v>
      </c>
      <c r="E102">
        <f t="shared" si="21"/>
        <v>0</v>
      </c>
      <c r="F102">
        <f t="shared" si="22"/>
        <v>0</v>
      </c>
      <c r="G102">
        <f t="shared" si="23"/>
        <v>0</v>
      </c>
      <c r="H102">
        <f t="shared" si="24"/>
        <v>0</v>
      </c>
      <c r="I102">
        <f t="shared" si="25"/>
        <v>0</v>
      </c>
      <c r="J102">
        <f t="shared" si="18"/>
        <v>0</v>
      </c>
      <c r="K102" t="e">
        <f t="shared" si="18"/>
        <v>#VALUE!</v>
      </c>
      <c r="L102" t="e">
        <f t="shared" si="26"/>
        <v>#VALUE!</v>
      </c>
      <c r="M102" t="e">
        <f t="shared" si="18"/>
        <v>#VALUE!</v>
      </c>
      <c r="N102" t="e">
        <f t="shared" si="18"/>
        <v>#VALUE!</v>
      </c>
    </row>
    <row r="103" spans="1:14" x14ac:dyDescent="0.25">
      <c r="A103">
        <f t="shared" si="27"/>
        <v>56000000</v>
      </c>
      <c r="B103">
        <f t="shared" si="20"/>
        <v>0</v>
      </c>
      <c r="C103">
        <f t="shared" si="21"/>
        <v>0</v>
      </c>
      <c r="D103">
        <f t="shared" si="21"/>
        <v>0</v>
      </c>
      <c r="E103">
        <f t="shared" si="21"/>
        <v>68000000</v>
      </c>
      <c r="F103">
        <f t="shared" ref="F103:F134" si="28">IF(IF((F$3*10^12-$A104)*(F$3*10^12-$A103)*-1&lt;0,0,1)*IF(ABS(F$3*10^12-$A104)&gt;(F$3*10^12-$A103),$A103,$A104)=F104,0,IF((F$3*10^12-$A104)*(F$3*10^12-$A103)*-1&lt;0,0,1)*IF(ABS(F$3*10^12-$A104)&gt;(F$3*10^12-$A103),$A103,$A104))</f>
        <v>0</v>
      </c>
      <c r="G103">
        <f t="shared" ref="G103:G134" si="29">IF(IF((G$3*10^12-$A104)*(G$3*10^12-$A103)*-1&lt;0,0,1)*IF(ABS(G$3*10^12-$A104)&gt;(G$3*10^12-$A103),$A103,$A104)=G104,0,IF((G$3*10^12-$A104)*(G$3*10^12-$A103)*-1&lt;0,0,1)*IF(ABS(G$3*10^12-$A104)&gt;(G$3*10^12-$A103),$A103,$A104))</f>
        <v>0</v>
      </c>
      <c r="H103">
        <f t="shared" ref="H103:H134" si="30">IF(IF((H$3*10^12-$A104)*(H$3*10^12-$A103)*-1&lt;0,0,1)*IF(ABS(H$3*10^12-$A104)&gt;(H$3*10^12-$A103),$A103,$A104)=H104,0,IF((H$3*10^12-$A104)*(H$3*10^12-$A103)*-1&lt;0,0,1)*IF(ABS(H$3*10^12-$A104)&gt;(H$3*10^12-$A103),$A103,$A104))</f>
        <v>0</v>
      </c>
      <c r="I103">
        <f t="shared" ref="I103:I134" si="31">IF(IF((I$3*10^12-$A104)*(I$3*10^12-$A103)*-1&lt;0,0,1)*IF(ABS(I$3*10^12-$A104)&gt;(I$3*10^12-$A103),$A103,$A104)=I104,0,IF((I$3*10^12-$A104)*(I$3*10^12-$A103)*-1&lt;0,0,1)*IF(ABS(I$3*10^12-$A104)&gt;(I$3*10^12-$A103),$A103,$A104))</f>
        <v>0</v>
      </c>
      <c r="J103">
        <f t="shared" si="18"/>
        <v>0</v>
      </c>
      <c r="K103" t="e">
        <f t="shared" si="18"/>
        <v>#VALUE!</v>
      </c>
      <c r="L103" t="e">
        <f t="shared" si="26"/>
        <v>#VALUE!</v>
      </c>
      <c r="M103" t="e">
        <f t="shared" si="18"/>
        <v>#VALUE!</v>
      </c>
      <c r="N103" t="e">
        <f t="shared" si="18"/>
        <v>#VALUE!</v>
      </c>
    </row>
    <row r="104" spans="1:14" x14ac:dyDescent="0.25">
      <c r="A104">
        <f t="shared" si="27"/>
        <v>68000000</v>
      </c>
      <c r="B104">
        <f t="shared" si="20"/>
        <v>0</v>
      </c>
      <c r="C104">
        <f t="shared" si="21"/>
        <v>0</v>
      </c>
      <c r="D104">
        <f t="shared" si="21"/>
        <v>0</v>
      </c>
      <c r="E104">
        <f t="shared" si="21"/>
        <v>0</v>
      </c>
      <c r="F104">
        <f t="shared" si="28"/>
        <v>0</v>
      </c>
      <c r="G104">
        <f t="shared" si="29"/>
        <v>0</v>
      </c>
      <c r="H104">
        <f t="shared" si="30"/>
        <v>0</v>
      </c>
      <c r="I104">
        <f t="shared" si="31"/>
        <v>0</v>
      </c>
      <c r="J104">
        <f t="shared" si="18"/>
        <v>0</v>
      </c>
      <c r="K104" t="e">
        <f t="shared" si="18"/>
        <v>#VALUE!</v>
      </c>
      <c r="L104" t="e">
        <f t="shared" si="26"/>
        <v>#VALUE!</v>
      </c>
      <c r="M104" t="e">
        <f t="shared" si="18"/>
        <v>#VALUE!</v>
      </c>
      <c r="N104" t="e">
        <f t="shared" si="18"/>
        <v>#VALUE!</v>
      </c>
    </row>
    <row r="105" spans="1:14" x14ac:dyDescent="0.25">
      <c r="A105">
        <f t="shared" si="27"/>
        <v>82000000</v>
      </c>
      <c r="B105">
        <f t="shared" si="20"/>
        <v>0</v>
      </c>
      <c r="C105">
        <f t="shared" si="21"/>
        <v>0</v>
      </c>
      <c r="D105">
        <f t="shared" si="21"/>
        <v>0</v>
      </c>
      <c r="E105">
        <f t="shared" si="21"/>
        <v>0</v>
      </c>
      <c r="F105">
        <f t="shared" si="28"/>
        <v>0</v>
      </c>
      <c r="G105">
        <f t="shared" si="29"/>
        <v>0</v>
      </c>
      <c r="H105">
        <f t="shared" si="30"/>
        <v>0</v>
      </c>
      <c r="I105">
        <f t="shared" si="31"/>
        <v>0</v>
      </c>
      <c r="J105">
        <f t="shared" si="18"/>
        <v>0</v>
      </c>
      <c r="K105" t="e">
        <f t="shared" si="18"/>
        <v>#VALUE!</v>
      </c>
      <c r="L105" t="e">
        <f t="shared" si="26"/>
        <v>#VALUE!</v>
      </c>
      <c r="M105" t="e">
        <f t="shared" si="18"/>
        <v>#VALUE!</v>
      </c>
      <c r="N105" t="e">
        <f t="shared" si="18"/>
        <v>#VALUE!</v>
      </c>
    </row>
    <row r="106" spans="1:14" x14ac:dyDescent="0.25">
      <c r="A106">
        <f t="shared" si="27"/>
        <v>100000000</v>
      </c>
      <c r="B106">
        <f t="shared" si="20"/>
        <v>0</v>
      </c>
      <c r="C106">
        <f t="shared" si="21"/>
        <v>0</v>
      </c>
      <c r="D106">
        <f t="shared" si="21"/>
        <v>0</v>
      </c>
      <c r="E106">
        <f t="shared" si="21"/>
        <v>0</v>
      </c>
      <c r="F106">
        <f t="shared" si="28"/>
        <v>0</v>
      </c>
      <c r="G106">
        <f t="shared" si="29"/>
        <v>0</v>
      </c>
      <c r="H106">
        <f t="shared" si="30"/>
        <v>0</v>
      </c>
      <c r="I106">
        <f t="shared" si="31"/>
        <v>0</v>
      </c>
      <c r="J106">
        <f t="shared" si="18"/>
        <v>0</v>
      </c>
      <c r="K106" t="e">
        <f t="shared" si="18"/>
        <v>#VALUE!</v>
      </c>
      <c r="L106" t="e">
        <f t="shared" si="26"/>
        <v>#VALUE!</v>
      </c>
      <c r="M106" t="e">
        <f t="shared" si="18"/>
        <v>#VALUE!</v>
      </c>
      <c r="N106" t="e">
        <f t="shared" si="18"/>
        <v>#VALUE!</v>
      </c>
    </row>
    <row r="107" spans="1:14" x14ac:dyDescent="0.25">
      <c r="A107">
        <f t="shared" si="27"/>
        <v>120000000</v>
      </c>
      <c r="B107">
        <f t="shared" si="20"/>
        <v>0</v>
      </c>
      <c r="C107">
        <f t="shared" si="21"/>
        <v>0</v>
      </c>
      <c r="D107">
        <f t="shared" si="21"/>
        <v>0</v>
      </c>
      <c r="E107">
        <f t="shared" si="21"/>
        <v>0</v>
      </c>
      <c r="F107">
        <f t="shared" si="28"/>
        <v>0</v>
      </c>
      <c r="G107">
        <f t="shared" si="29"/>
        <v>0</v>
      </c>
      <c r="H107">
        <f t="shared" si="30"/>
        <v>0</v>
      </c>
      <c r="I107">
        <f t="shared" si="31"/>
        <v>0</v>
      </c>
      <c r="J107">
        <f t="shared" si="18"/>
        <v>0</v>
      </c>
      <c r="K107" t="e">
        <f t="shared" si="18"/>
        <v>#VALUE!</v>
      </c>
      <c r="L107" t="e">
        <f t="shared" si="26"/>
        <v>#VALUE!</v>
      </c>
      <c r="M107" t="e">
        <f t="shared" si="18"/>
        <v>#VALUE!</v>
      </c>
      <c r="N107" t="e">
        <f t="shared" si="18"/>
        <v>#VALUE!</v>
      </c>
    </row>
    <row r="108" spans="1:14" x14ac:dyDescent="0.25">
      <c r="A108">
        <f t="shared" si="27"/>
        <v>150000000</v>
      </c>
      <c r="B108">
        <f t="shared" si="20"/>
        <v>0</v>
      </c>
      <c r="C108">
        <f t="shared" si="21"/>
        <v>0</v>
      </c>
      <c r="D108">
        <f t="shared" si="21"/>
        <v>0</v>
      </c>
      <c r="E108">
        <f t="shared" si="21"/>
        <v>0</v>
      </c>
      <c r="F108">
        <f t="shared" si="28"/>
        <v>0</v>
      </c>
      <c r="G108">
        <f t="shared" si="29"/>
        <v>0</v>
      </c>
      <c r="H108">
        <f t="shared" si="30"/>
        <v>0</v>
      </c>
      <c r="I108">
        <f t="shared" si="31"/>
        <v>0</v>
      </c>
      <c r="J108">
        <f t="shared" si="18"/>
        <v>0</v>
      </c>
      <c r="K108" t="e">
        <f t="shared" si="18"/>
        <v>#VALUE!</v>
      </c>
      <c r="L108" t="e">
        <f t="shared" si="26"/>
        <v>#VALUE!</v>
      </c>
      <c r="M108" t="e">
        <f t="shared" si="18"/>
        <v>#VALUE!</v>
      </c>
      <c r="N108" t="e">
        <f t="shared" si="18"/>
        <v>#VALUE!</v>
      </c>
    </row>
    <row r="109" spans="1:14" x14ac:dyDescent="0.25">
      <c r="A109">
        <f t="shared" si="27"/>
        <v>180000000</v>
      </c>
      <c r="B109">
        <f t="shared" si="20"/>
        <v>0</v>
      </c>
      <c r="C109">
        <f t="shared" si="21"/>
        <v>0</v>
      </c>
      <c r="D109">
        <f t="shared" si="21"/>
        <v>0</v>
      </c>
      <c r="E109">
        <f t="shared" si="21"/>
        <v>0</v>
      </c>
      <c r="F109">
        <f t="shared" si="28"/>
        <v>0</v>
      </c>
      <c r="G109">
        <f t="shared" si="29"/>
        <v>0</v>
      </c>
      <c r="H109">
        <f t="shared" si="30"/>
        <v>0</v>
      </c>
      <c r="I109">
        <f t="shared" si="31"/>
        <v>0</v>
      </c>
      <c r="J109">
        <f t="shared" si="18"/>
        <v>0</v>
      </c>
      <c r="K109" t="e">
        <f t="shared" si="18"/>
        <v>#VALUE!</v>
      </c>
      <c r="L109" t="e">
        <f t="shared" si="26"/>
        <v>#VALUE!</v>
      </c>
      <c r="M109" t="e">
        <f t="shared" si="18"/>
        <v>#VALUE!</v>
      </c>
      <c r="N109" t="e">
        <f t="shared" si="18"/>
        <v>#VALUE!</v>
      </c>
    </row>
    <row r="110" spans="1:14" x14ac:dyDescent="0.25">
      <c r="A110">
        <f t="shared" si="27"/>
        <v>220000000</v>
      </c>
      <c r="B110">
        <f t="shared" si="20"/>
        <v>0</v>
      </c>
      <c r="C110">
        <f t="shared" si="21"/>
        <v>0</v>
      </c>
      <c r="D110">
        <f t="shared" si="21"/>
        <v>0</v>
      </c>
      <c r="E110">
        <f t="shared" si="21"/>
        <v>0</v>
      </c>
      <c r="F110">
        <f t="shared" si="28"/>
        <v>0</v>
      </c>
      <c r="G110">
        <f t="shared" si="29"/>
        <v>0</v>
      </c>
      <c r="H110">
        <f t="shared" si="30"/>
        <v>0</v>
      </c>
      <c r="I110">
        <f t="shared" si="31"/>
        <v>0</v>
      </c>
      <c r="J110">
        <f t="shared" si="18"/>
        <v>0</v>
      </c>
      <c r="K110" t="e">
        <f t="shared" si="18"/>
        <v>#VALUE!</v>
      </c>
      <c r="L110" t="e">
        <f t="shared" si="26"/>
        <v>#VALUE!</v>
      </c>
      <c r="M110" t="e">
        <f t="shared" si="18"/>
        <v>#VALUE!</v>
      </c>
      <c r="N110" t="e">
        <f t="shared" si="18"/>
        <v>#VALUE!</v>
      </c>
    </row>
    <row r="111" spans="1:14" x14ac:dyDescent="0.25">
      <c r="A111">
        <f t="shared" si="27"/>
        <v>270000000</v>
      </c>
      <c r="B111">
        <f t="shared" si="20"/>
        <v>0</v>
      </c>
      <c r="C111">
        <f t="shared" si="21"/>
        <v>0</v>
      </c>
      <c r="D111">
        <f t="shared" si="21"/>
        <v>0</v>
      </c>
      <c r="E111">
        <f t="shared" si="21"/>
        <v>0</v>
      </c>
      <c r="F111">
        <f t="shared" si="28"/>
        <v>0</v>
      </c>
      <c r="G111">
        <f t="shared" si="29"/>
        <v>0</v>
      </c>
      <c r="H111">
        <f t="shared" si="30"/>
        <v>0</v>
      </c>
      <c r="I111">
        <f t="shared" si="31"/>
        <v>0</v>
      </c>
      <c r="J111">
        <f t="shared" si="18"/>
        <v>0</v>
      </c>
      <c r="K111" t="e">
        <f t="shared" si="18"/>
        <v>#VALUE!</v>
      </c>
      <c r="L111" t="e">
        <f t="shared" si="26"/>
        <v>#VALUE!</v>
      </c>
      <c r="M111" t="e">
        <f t="shared" si="18"/>
        <v>#VALUE!</v>
      </c>
      <c r="N111" t="e">
        <f t="shared" si="18"/>
        <v>#VALUE!</v>
      </c>
    </row>
    <row r="112" spans="1:14" x14ac:dyDescent="0.25">
      <c r="A112">
        <f t="shared" si="27"/>
        <v>330000000</v>
      </c>
      <c r="B112">
        <f t="shared" si="20"/>
        <v>0</v>
      </c>
      <c r="C112">
        <f t="shared" si="21"/>
        <v>0</v>
      </c>
      <c r="D112">
        <f t="shared" si="21"/>
        <v>0</v>
      </c>
      <c r="E112">
        <f t="shared" si="21"/>
        <v>0</v>
      </c>
      <c r="F112">
        <f t="shared" si="28"/>
        <v>0</v>
      </c>
      <c r="G112">
        <f t="shared" si="29"/>
        <v>0</v>
      </c>
      <c r="H112">
        <f t="shared" si="30"/>
        <v>0</v>
      </c>
      <c r="I112">
        <f t="shared" si="31"/>
        <v>0</v>
      </c>
      <c r="J112">
        <f t="shared" si="18"/>
        <v>0</v>
      </c>
      <c r="K112" t="e">
        <f t="shared" si="18"/>
        <v>#VALUE!</v>
      </c>
      <c r="L112" t="e">
        <f t="shared" si="26"/>
        <v>#VALUE!</v>
      </c>
      <c r="M112" t="e">
        <f t="shared" si="18"/>
        <v>#VALUE!</v>
      </c>
      <c r="N112" t="e">
        <f t="shared" si="18"/>
        <v>#VALUE!</v>
      </c>
    </row>
    <row r="113" spans="1:14" x14ac:dyDescent="0.25">
      <c r="A113">
        <f t="shared" si="27"/>
        <v>390000000</v>
      </c>
      <c r="B113">
        <f t="shared" si="20"/>
        <v>0</v>
      </c>
      <c r="C113">
        <f t="shared" si="21"/>
        <v>0</v>
      </c>
      <c r="D113">
        <f t="shared" si="21"/>
        <v>0</v>
      </c>
      <c r="E113">
        <f t="shared" si="21"/>
        <v>0</v>
      </c>
      <c r="F113">
        <f t="shared" si="28"/>
        <v>0</v>
      </c>
      <c r="G113">
        <f t="shared" si="29"/>
        <v>0</v>
      </c>
      <c r="H113">
        <f t="shared" si="30"/>
        <v>0</v>
      </c>
      <c r="I113">
        <f t="shared" si="31"/>
        <v>0</v>
      </c>
      <c r="J113">
        <f t="shared" si="18"/>
        <v>0</v>
      </c>
      <c r="K113" t="e">
        <f t="shared" si="18"/>
        <v>#VALUE!</v>
      </c>
      <c r="L113" t="e">
        <f t="shared" si="26"/>
        <v>#VALUE!</v>
      </c>
      <c r="M113" t="e">
        <f t="shared" si="18"/>
        <v>#VALUE!</v>
      </c>
      <c r="N113" t="e">
        <f t="shared" si="18"/>
        <v>#VALUE!</v>
      </c>
    </row>
    <row r="114" spans="1:14" x14ac:dyDescent="0.25">
      <c r="A114">
        <f t="shared" si="27"/>
        <v>470000000</v>
      </c>
      <c r="B114">
        <f t="shared" si="20"/>
        <v>0</v>
      </c>
      <c r="C114">
        <f t="shared" si="21"/>
        <v>0</v>
      </c>
      <c r="D114">
        <f t="shared" si="21"/>
        <v>0</v>
      </c>
      <c r="E114">
        <f t="shared" si="21"/>
        <v>0</v>
      </c>
      <c r="F114">
        <f t="shared" si="28"/>
        <v>0</v>
      </c>
      <c r="G114">
        <f t="shared" si="29"/>
        <v>0</v>
      </c>
      <c r="H114">
        <f t="shared" si="30"/>
        <v>0</v>
      </c>
      <c r="I114">
        <f t="shared" si="31"/>
        <v>0</v>
      </c>
      <c r="J114">
        <f t="shared" si="18"/>
        <v>0</v>
      </c>
      <c r="K114" t="e">
        <f t="shared" si="18"/>
        <v>#VALUE!</v>
      </c>
      <c r="L114" t="e">
        <f t="shared" si="26"/>
        <v>#VALUE!</v>
      </c>
      <c r="M114" t="e">
        <f t="shared" si="18"/>
        <v>#VALUE!</v>
      </c>
      <c r="N114" t="e">
        <f t="shared" si="18"/>
        <v>#VALUE!</v>
      </c>
    </row>
    <row r="115" spans="1:14" x14ac:dyDescent="0.25">
      <c r="A115">
        <f t="shared" si="27"/>
        <v>560000000</v>
      </c>
      <c r="B115">
        <f t="shared" si="20"/>
        <v>0</v>
      </c>
      <c r="C115">
        <f t="shared" si="21"/>
        <v>0</v>
      </c>
      <c r="D115">
        <f t="shared" si="21"/>
        <v>0</v>
      </c>
      <c r="E115">
        <f t="shared" si="21"/>
        <v>0</v>
      </c>
      <c r="F115">
        <f t="shared" si="28"/>
        <v>0</v>
      </c>
      <c r="G115">
        <f t="shared" si="29"/>
        <v>0</v>
      </c>
      <c r="H115">
        <f t="shared" si="30"/>
        <v>0</v>
      </c>
      <c r="I115">
        <f t="shared" si="31"/>
        <v>0</v>
      </c>
      <c r="J115">
        <f t="shared" si="18"/>
        <v>0</v>
      </c>
      <c r="K115" t="e">
        <f t="shared" si="18"/>
        <v>#VALUE!</v>
      </c>
      <c r="L115" t="e">
        <f t="shared" si="26"/>
        <v>#VALUE!</v>
      </c>
      <c r="M115" t="e">
        <f t="shared" si="18"/>
        <v>#VALUE!</v>
      </c>
      <c r="N115" t="e">
        <f t="shared" si="18"/>
        <v>#VALUE!</v>
      </c>
    </row>
    <row r="116" spans="1:14" x14ac:dyDescent="0.25">
      <c r="A116">
        <f t="shared" si="27"/>
        <v>680000000</v>
      </c>
      <c r="B116">
        <f t="shared" si="20"/>
        <v>0</v>
      </c>
      <c r="C116">
        <f t="shared" si="21"/>
        <v>0</v>
      </c>
      <c r="D116">
        <f t="shared" si="21"/>
        <v>0</v>
      </c>
      <c r="E116">
        <f t="shared" si="21"/>
        <v>0</v>
      </c>
      <c r="F116">
        <f t="shared" si="28"/>
        <v>0</v>
      </c>
      <c r="G116">
        <f t="shared" si="29"/>
        <v>0</v>
      </c>
      <c r="H116">
        <f t="shared" si="30"/>
        <v>0</v>
      </c>
      <c r="I116">
        <f t="shared" si="31"/>
        <v>0</v>
      </c>
      <c r="J116">
        <f t="shared" si="18"/>
        <v>0</v>
      </c>
      <c r="K116" t="e">
        <f t="shared" si="18"/>
        <v>#VALUE!</v>
      </c>
      <c r="L116" t="e">
        <f t="shared" si="26"/>
        <v>#VALUE!</v>
      </c>
      <c r="M116" t="e">
        <f t="shared" si="18"/>
        <v>#VALUE!</v>
      </c>
      <c r="N116" t="e">
        <f t="shared" si="18"/>
        <v>#VALUE!</v>
      </c>
    </row>
    <row r="117" spans="1:14" x14ac:dyDescent="0.25">
      <c r="A117">
        <f t="shared" si="27"/>
        <v>820000000</v>
      </c>
      <c r="B117">
        <f t="shared" si="20"/>
        <v>0</v>
      </c>
      <c r="C117">
        <f t="shared" si="21"/>
        <v>0</v>
      </c>
      <c r="D117">
        <f t="shared" si="21"/>
        <v>0</v>
      </c>
      <c r="E117">
        <f t="shared" si="21"/>
        <v>0</v>
      </c>
      <c r="F117">
        <f t="shared" si="28"/>
        <v>0</v>
      </c>
      <c r="G117">
        <f t="shared" si="29"/>
        <v>0</v>
      </c>
      <c r="H117">
        <f t="shared" si="30"/>
        <v>0</v>
      </c>
      <c r="I117">
        <f t="shared" si="31"/>
        <v>0</v>
      </c>
      <c r="J117">
        <f t="shared" si="18"/>
        <v>0</v>
      </c>
      <c r="K117" t="e">
        <f t="shared" si="18"/>
        <v>#VALUE!</v>
      </c>
      <c r="L117" t="e">
        <f t="shared" si="26"/>
        <v>#VALUE!</v>
      </c>
      <c r="M117" t="e">
        <f t="shared" si="18"/>
        <v>#VALUE!</v>
      </c>
      <c r="N117" t="e">
        <f t="shared" si="18"/>
        <v>#VALUE!</v>
      </c>
    </row>
    <row r="118" spans="1:14" x14ac:dyDescent="0.25">
      <c r="A118">
        <f t="shared" si="27"/>
        <v>1000000000</v>
      </c>
      <c r="B118">
        <f t="shared" si="20"/>
        <v>0</v>
      </c>
      <c r="C118">
        <f t="shared" si="21"/>
        <v>0</v>
      </c>
      <c r="D118">
        <f t="shared" si="21"/>
        <v>0</v>
      </c>
      <c r="E118">
        <f t="shared" si="21"/>
        <v>0</v>
      </c>
      <c r="F118">
        <f t="shared" si="28"/>
        <v>0</v>
      </c>
      <c r="G118">
        <f t="shared" si="29"/>
        <v>0</v>
      </c>
      <c r="H118">
        <f t="shared" si="30"/>
        <v>0</v>
      </c>
      <c r="I118">
        <f t="shared" si="31"/>
        <v>0</v>
      </c>
      <c r="J118">
        <f t="shared" si="18"/>
        <v>0</v>
      </c>
      <c r="K118" t="e">
        <f t="shared" si="18"/>
        <v>#VALUE!</v>
      </c>
      <c r="L118" t="e">
        <f t="shared" si="26"/>
        <v>#VALUE!</v>
      </c>
      <c r="M118" t="e">
        <f t="shared" si="18"/>
        <v>#VALUE!</v>
      </c>
      <c r="N118" t="e">
        <f t="shared" si="18"/>
        <v>#VALUE!</v>
      </c>
    </row>
    <row r="119" spans="1:14" x14ac:dyDescent="0.25">
      <c r="A119">
        <f t="shared" si="27"/>
        <v>1200000000</v>
      </c>
      <c r="B119">
        <f t="shared" si="20"/>
        <v>0</v>
      </c>
      <c r="C119">
        <f t="shared" si="21"/>
        <v>0</v>
      </c>
      <c r="D119">
        <f t="shared" si="21"/>
        <v>0</v>
      </c>
      <c r="E119">
        <f t="shared" si="21"/>
        <v>0</v>
      </c>
      <c r="F119">
        <f t="shared" si="28"/>
        <v>0</v>
      </c>
      <c r="G119">
        <f t="shared" si="29"/>
        <v>0</v>
      </c>
      <c r="H119">
        <f t="shared" si="30"/>
        <v>0</v>
      </c>
      <c r="I119">
        <f t="shared" si="31"/>
        <v>0</v>
      </c>
      <c r="J119">
        <f t="shared" si="18"/>
        <v>0</v>
      </c>
      <c r="K119" t="e">
        <f t="shared" si="18"/>
        <v>#VALUE!</v>
      </c>
      <c r="L119" t="e">
        <f t="shared" si="26"/>
        <v>#VALUE!</v>
      </c>
      <c r="M119" t="e">
        <f t="shared" si="18"/>
        <v>#VALUE!</v>
      </c>
      <c r="N119" t="e">
        <f t="shared" si="18"/>
        <v>#VALUE!</v>
      </c>
    </row>
    <row r="120" spans="1:14" x14ac:dyDescent="0.25">
      <c r="A120">
        <f t="shared" si="27"/>
        <v>1500000000</v>
      </c>
      <c r="B120">
        <f t="shared" si="20"/>
        <v>0</v>
      </c>
      <c r="C120">
        <f t="shared" si="21"/>
        <v>0</v>
      </c>
      <c r="D120">
        <f t="shared" si="21"/>
        <v>0</v>
      </c>
      <c r="E120">
        <f t="shared" si="21"/>
        <v>0</v>
      </c>
      <c r="F120">
        <f t="shared" si="28"/>
        <v>0</v>
      </c>
      <c r="G120">
        <f t="shared" si="29"/>
        <v>0</v>
      </c>
      <c r="H120">
        <f t="shared" si="30"/>
        <v>0</v>
      </c>
      <c r="I120">
        <f t="shared" si="31"/>
        <v>0</v>
      </c>
      <c r="J120">
        <f t="shared" si="18"/>
        <v>0</v>
      </c>
      <c r="K120" t="e">
        <f t="shared" si="18"/>
        <v>#VALUE!</v>
      </c>
      <c r="L120" t="e">
        <f t="shared" si="26"/>
        <v>#VALUE!</v>
      </c>
      <c r="M120" t="e">
        <f t="shared" si="18"/>
        <v>#VALUE!</v>
      </c>
      <c r="N120" t="e">
        <f t="shared" si="18"/>
        <v>#VALUE!</v>
      </c>
    </row>
    <row r="121" spans="1:14" x14ac:dyDescent="0.25">
      <c r="A121">
        <f t="shared" si="27"/>
        <v>1800000000</v>
      </c>
      <c r="B121">
        <f t="shared" si="20"/>
        <v>0</v>
      </c>
      <c r="C121">
        <f t="shared" si="21"/>
        <v>0</v>
      </c>
      <c r="D121">
        <f t="shared" si="21"/>
        <v>0</v>
      </c>
      <c r="E121">
        <f t="shared" si="21"/>
        <v>0</v>
      </c>
      <c r="F121">
        <f t="shared" si="28"/>
        <v>0</v>
      </c>
      <c r="G121">
        <f t="shared" si="29"/>
        <v>0</v>
      </c>
      <c r="H121">
        <f t="shared" si="30"/>
        <v>0</v>
      </c>
      <c r="I121">
        <f t="shared" si="31"/>
        <v>0</v>
      </c>
      <c r="J121">
        <f t="shared" si="18"/>
        <v>0</v>
      </c>
      <c r="K121" t="e">
        <f t="shared" si="18"/>
        <v>#VALUE!</v>
      </c>
      <c r="L121" t="e">
        <f t="shared" si="26"/>
        <v>#VALUE!</v>
      </c>
      <c r="M121" t="e">
        <f t="shared" si="18"/>
        <v>#VALUE!</v>
      </c>
      <c r="N121" t="e">
        <f t="shared" si="18"/>
        <v>#VALUE!</v>
      </c>
    </row>
    <row r="122" spans="1:14" x14ac:dyDescent="0.25">
      <c r="A122">
        <f t="shared" si="27"/>
        <v>2200000000</v>
      </c>
      <c r="B122">
        <f t="shared" si="20"/>
        <v>0</v>
      </c>
      <c r="C122">
        <f t="shared" si="21"/>
        <v>0</v>
      </c>
      <c r="D122">
        <f t="shared" si="21"/>
        <v>0</v>
      </c>
      <c r="E122">
        <f t="shared" si="21"/>
        <v>0</v>
      </c>
      <c r="F122">
        <f t="shared" si="28"/>
        <v>0</v>
      </c>
      <c r="G122">
        <f t="shared" si="29"/>
        <v>0</v>
      </c>
      <c r="H122">
        <f t="shared" si="30"/>
        <v>0</v>
      </c>
      <c r="I122">
        <f t="shared" si="31"/>
        <v>0</v>
      </c>
      <c r="J122">
        <f t="shared" si="18"/>
        <v>0</v>
      </c>
      <c r="K122" t="e">
        <f t="shared" si="18"/>
        <v>#VALUE!</v>
      </c>
      <c r="L122" t="e">
        <f t="shared" si="26"/>
        <v>#VALUE!</v>
      </c>
      <c r="M122" t="e">
        <f t="shared" si="18"/>
        <v>#VALUE!</v>
      </c>
      <c r="N122" t="e">
        <f t="shared" si="18"/>
        <v>#VALUE!</v>
      </c>
    </row>
    <row r="123" spans="1:14" x14ac:dyDescent="0.25">
      <c r="A123">
        <f t="shared" si="27"/>
        <v>2700000000</v>
      </c>
      <c r="B123">
        <f t="shared" si="20"/>
        <v>0</v>
      </c>
      <c r="C123">
        <f t="shared" si="21"/>
        <v>0</v>
      </c>
      <c r="D123">
        <f t="shared" si="21"/>
        <v>0</v>
      </c>
      <c r="E123">
        <f t="shared" si="21"/>
        <v>0</v>
      </c>
      <c r="F123">
        <f t="shared" si="28"/>
        <v>0</v>
      </c>
      <c r="G123">
        <f t="shared" si="29"/>
        <v>0</v>
      </c>
      <c r="H123">
        <f t="shared" si="30"/>
        <v>0</v>
      </c>
      <c r="I123">
        <f t="shared" si="31"/>
        <v>0</v>
      </c>
      <c r="J123">
        <f t="shared" si="18"/>
        <v>0</v>
      </c>
      <c r="K123" t="e">
        <f t="shared" si="18"/>
        <v>#VALUE!</v>
      </c>
      <c r="L123" t="e">
        <f t="shared" si="26"/>
        <v>#VALUE!</v>
      </c>
      <c r="M123" t="e">
        <f t="shared" si="18"/>
        <v>#VALUE!</v>
      </c>
      <c r="N123" t="e">
        <f t="shared" si="18"/>
        <v>#VALUE!</v>
      </c>
    </row>
    <row r="124" spans="1:14" x14ac:dyDescent="0.25">
      <c r="A124">
        <f t="shared" si="27"/>
        <v>3300000000</v>
      </c>
      <c r="B124">
        <f t="shared" si="20"/>
        <v>0</v>
      </c>
      <c r="C124">
        <f t="shared" si="21"/>
        <v>0</v>
      </c>
      <c r="D124">
        <f t="shared" si="21"/>
        <v>0</v>
      </c>
      <c r="E124">
        <f t="shared" si="21"/>
        <v>0</v>
      </c>
      <c r="F124">
        <f t="shared" si="28"/>
        <v>0</v>
      </c>
      <c r="G124">
        <f t="shared" si="29"/>
        <v>0</v>
      </c>
      <c r="H124">
        <f t="shared" si="30"/>
        <v>0</v>
      </c>
      <c r="I124">
        <f t="shared" si="31"/>
        <v>0</v>
      </c>
      <c r="J124">
        <f t="shared" si="18"/>
        <v>0</v>
      </c>
      <c r="K124" t="e">
        <f t="shared" si="18"/>
        <v>#VALUE!</v>
      </c>
      <c r="L124" t="e">
        <f t="shared" si="26"/>
        <v>#VALUE!</v>
      </c>
      <c r="M124" t="e">
        <f t="shared" si="18"/>
        <v>#VALUE!</v>
      </c>
      <c r="N124" t="e">
        <f t="shared" si="18"/>
        <v>#VALUE!</v>
      </c>
    </row>
    <row r="125" spans="1:14" x14ac:dyDescent="0.25">
      <c r="A125">
        <f t="shared" si="27"/>
        <v>3900000000</v>
      </c>
      <c r="B125">
        <f t="shared" si="20"/>
        <v>0</v>
      </c>
      <c r="C125">
        <f t="shared" si="21"/>
        <v>0</v>
      </c>
      <c r="D125">
        <f t="shared" si="21"/>
        <v>0</v>
      </c>
      <c r="E125">
        <f t="shared" si="21"/>
        <v>0</v>
      </c>
      <c r="F125">
        <f t="shared" si="28"/>
        <v>0</v>
      </c>
      <c r="G125">
        <f t="shared" si="29"/>
        <v>0</v>
      </c>
      <c r="H125">
        <f t="shared" si="30"/>
        <v>0</v>
      </c>
      <c r="I125">
        <f t="shared" si="31"/>
        <v>0</v>
      </c>
      <c r="J125">
        <f t="shared" si="18"/>
        <v>0</v>
      </c>
      <c r="K125" t="e">
        <f t="shared" si="18"/>
        <v>#VALUE!</v>
      </c>
      <c r="L125" t="e">
        <f t="shared" si="26"/>
        <v>#VALUE!</v>
      </c>
      <c r="M125" t="e">
        <f t="shared" si="18"/>
        <v>#VALUE!</v>
      </c>
      <c r="N125" t="e">
        <f t="shared" si="18"/>
        <v>#VALUE!</v>
      </c>
    </row>
    <row r="126" spans="1:14" x14ac:dyDescent="0.25">
      <c r="A126">
        <f t="shared" si="27"/>
        <v>4700000000</v>
      </c>
      <c r="B126">
        <f t="shared" si="20"/>
        <v>0</v>
      </c>
      <c r="C126">
        <f t="shared" si="21"/>
        <v>0</v>
      </c>
      <c r="D126">
        <f t="shared" si="21"/>
        <v>0</v>
      </c>
      <c r="E126">
        <f t="shared" si="21"/>
        <v>0</v>
      </c>
      <c r="F126">
        <f t="shared" si="28"/>
        <v>0</v>
      </c>
      <c r="G126">
        <f t="shared" si="29"/>
        <v>0</v>
      </c>
      <c r="H126">
        <f t="shared" si="30"/>
        <v>0</v>
      </c>
      <c r="I126">
        <f t="shared" si="31"/>
        <v>0</v>
      </c>
      <c r="J126">
        <f t="shared" si="18"/>
        <v>0</v>
      </c>
      <c r="K126" t="e">
        <f t="shared" si="18"/>
        <v>#VALUE!</v>
      </c>
      <c r="L126" t="e">
        <f t="shared" si="26"/>
        <v>#VALUE!</v>
      </c>
      <c r="M126" t="e">
        <f t="shared" si="18"/>
        <v>#VALUE!</v>
      </c>
      <c r="N126" t="e">
        <f t="shared" si="18"/>
        <v>#VALUE!</v>
      </c>
    </row>
    <row r="127" spans="1:14" x14ac:dyDescent="0.25">
      <c r="A127">
        <f t="shared" si="27"/>
        <v>5600000000</v>
      </c>
      <c r="B127">
        <f t="shared" si="20"/>
        <v>0</v>
      </c>
      <c r="C127">
        <f t="shared" si="21"/>
        <v>0</v>
      </c>
      <c r="D127">
        <f t="shared" si="21"/>
        <v>0</v>
      </c>
      <c r="E127">
        <f t="shared" si="21"/>
        <v>0</v>
      </c>
      <c r="F127">
        <f t="shared" si="28"/>
        <v>0</v>
      </c>
      <c r="G127">
        <f t="shared" si="29"/>
        <v>0</v>
      </c>
      <c r="H127">
        <f t="shared" si="30"/>
        <v>0</v>
      </c>
      <c r="I127">
        <f t="shared" si="31"/>
        <v>0</v>
      </c>
      <c r="J127">
        <f t="shared" si="18"/>
        <v>0</v>
      </c>
      <c r="K127" t="e">
        <f t="shared" si="18"/>
        <v>#VALUE!</v>
      </c>
      <c r="L127" t="e">
        <f t="shared" si="26"/>
        <v>#VALUE!</v>
      </c>
      <c r="M127" t="e">
        <f t="shared" si="18"/>
        <v>#VALUE!</v>
      </c>
      <c r="N127" t="e">
        <f t="shared" si="18"/>
        <v>#VALUE!</v>
      </c>
    </row>
    <row r="128" spans="1:14" x14ac:dyDescent="0.25">
      <c r="A128">
        <f t="shared" si="27"/>
        <v>6800000000</v>
      </c>
      <c r="B128">
        <f t="shared" si="20"/>
        <v>0</v>
      </c>
      <c r="C128">
        <f t="shared" si="21"/>
        <v>0</v>
      </c>
      <c r="D128">
        <f t="shared" si="21"/>
        <v>0</v>
      </c>
      <c r="E128">
        <f t="shared" si="21"/>
        <v>0</v>
      </c>
      <c r="F128">
        <f t="shared" si="28"/>
        <v>0</v>
      </c>
      <c r="G128">
        <f t="shared" si="29"/>
        <v>0</v>
      </c>
      <c r="H128">
        <f t="shared" si="30"/>
        <v>0</v>
      </c>
      <c r="I128">
        <f t="shared" si="31"/>
        <v>0</v>
      </c>
      <c r="J128">
        <f t="shared" si="18"/>
        <v>0</v>
      </c>
      <c r="K128" t="e">
        <f t="shared" si="18"/>
        <v>#VALUE!</v>
      </c>
      <c r="L128" t="e">
        <f t="shared" si="26"/>
        <v>#VALUE!</v>
      </c>
      <c r="M128" t="e">
        <f t="shared" si="18"/>
        <v>#VALUE!</v>
      </c>
      <c r="N128" t="e">
        <f t="shared" si="18"/>
        <v>#VALUE!</v>
      </c>
    </row>
    <row r="129" spans="1:14" x14ac:dyDescent="0.25">
      <c r="A129">
        <f t="shared" si="27"/>
        <v>8200000000</v>
      </c>
      <c r="B129">
        <f t="shared" si="20"/>
        <v>0</v>
      </c>
      <c r="C129">
        <f t="shared" si="21"/>
        <v>0</v>
      </c>
      <c r="D129">
        <f t="shared" si="21"/>
        <v>0</v>
      </c>
      <c r="E129">
        <f t="shared" si="21"/>
        <v>0</v>
      </c>
      <c r="F129">
        <f t="shared" si="28"/>
        <v>0</v>
      </c>
      <c r="G129">
        <f t="shared" si="29"/>
        <v>0</v>
      </c>
      <c r="H129">
        <f t="shared" si="30"/>
        <v>0</v>
      </c>
      <c r="I129">
        <f t="shared" si="31"/>
        <v>0</v>
      </c>
      <c r="J129">
        <f t="shared" si="18"/>
        <v>0</v>
      </c>
      <c r="K129" t="e">
        <f t="shared" si="18"/>
        <v>#VALUE!</v>
      </c>
      <c r="L129" t="e">
        <f t="shared" si="26"/>
        <v>#VALUE!</v>
      </c>
      <c r="M129" t="e">
        <f t="shared" si="18"/>
        <v>#VALUE!</v>
      </c>
      <c r="N129" t="e">
        <f t="shared" si="18"/>
        <v>#VALUE!</v>
      </c>
    </row>
    <row r="130" spans="1:14" x14ac:dyDescent="0.25">
      <c r="A130">
        <f t="shared" si="27"/>
        <v>10000000000</v>
      </c>
      <c r="B130">
        <f t="shared" si="20"/>
        <v>0</v>
      </c>
      <c r="C130">
        <f t="shared" si="21"/>
        <v>0</v>
      </c>
      <c r="D130">
        <f t="shared" si="21"/>
        <v>0</v>
      </c>
      <c r="E130">
        <f t="shared" si="21"/>
        <v>0</v>
      </c>
      <c r="F130">
        <f t="shared" si="28"/>
        <v>0</v>
      </c>
      <c r="G130">
        <f t="shared" si="29"/>
        <v>0</v>
      </c>
      <c r="H130">
        <f t="shared" si="30"/>
        <v>0</v>
      </c>
      <c r="I130">
        <f t="shared" si="31"/>
        <v>0</v>
      </c>
      <c r="J130">
        <f t="shared" si="18"/>
        <v>0</v>
      </c>
      <c r="K130" t="e">
        <f t="shared" si="18"/>
        <v>#VALUE!</v>
      </c>
      <c r="L130" t="e">
        <f t="shared" si="26"/>
        <v>#VALUE!</v>
      </c>
      <c r="M130" t="e">
        <f t="shared" si="18"/>
        <v>#VALUE!</v>
      </c>
      <c r="N130" t="e">
        <f t="shared" si="18"/>
        <v>#VALUE!</v>
      </c>
    </row>
    <row r="131" spans="1:14" x14ac:dyDescent="0.25">
      <c r="A131">
        <f t="shared" si="27"/>
        <v>12000000000</v>
      </c>
      <c r="B131">
        <f t="shared" si="20"/>
        <v>0</v>
      </c>
      <c r="C131">
        <f t="shared" si="21"/>
        <v>0</v>
      </c>
      <c r="D131">
        <f t="shared" si="21"/>
        <v>0</v>
      </c>
      <c r="E131">
        <f t="shared" si="21"/>
        <v>0</v>
      </c>
      <c r="F131">
        <f t="shared" si="28"/>
        <v>0</v>
      </c>
      <c r="G131">
        <f t="shared" si="29"/>
        <v>0</v>
      </c>
      <c r="H131">
        <f t="shared" si="30"/>
        <v>0</v>
      </c>
      <c r="I131">
        <f t="shared" si="31"/>
        <v>0</v>
      </c>
      <c r="J131">
        <f t="shared" si="18"/>
        <v>0</v>
      </c>
      <c r="K131" t="e">
        <f t="shared" si="18"/>
        <v>#VALUE!</v>
      </c>
      <c r="L131" t="e">
        <f t="shared" si="26"/>
        <v>#VALUE!</v>
      </c>
      <c r="M131" t="e">
        <f t="shared" si="18"/>
        <v>#VALUE!</v>
      </c>
      <c r="N131" t="e">
        <f t="shared" si="18"/>
        <v>#VALUE!</v>
      </c>
    </row>
    <row r="132" spans="1:14" x14ac:dyDescent="0.25">
      <c r="A132">
        <f t="shared" si="27"/>
        <v>15000000000</v>
      </c>
      <c r="B132">
        <f t="shared" si="20"/>
        <v>0</v>
      </c>
      <c r="C132">
        <f t="shared" si="21"/>
        <v>0</v>
      </c>
      <c r="D132">
        <f t="shared" si="21"/>
        <v>0</v>
      </c>
      <c r="E132">
        <f t="shared" si="21"/>
        <v>0</v>
      </c>
      <c r="F132">
        <f t="shared" si="28"/>
        <v>0</v>
      </c>
      <c r="G132">
        <f t="shared" si="29"/>
        <v>0</v>
      </c>
      <c r="H132">
        <f t="shared" si="30"/>
        <v>0</v>
      </c>
      <c r="I132">
        <f t="shared" si="31"/>
        <v>0</v>
      </c>
      <c r="J132">
        <f t="shared" si="18"/>
        <v>0</v>
      </c>
      <c r="K132" t="e">
        <f>IF(IF((K$3*10^12-$A133)*(K$3*10^12-$A132)*-1&lt;0,0,1)*IF(ABS(K$3*10^12-$A133)&gt;(K$3*10^12-$A132),$A132,$A133)=K133,0,IF((K$3*10^12-$A133)*(K$3*10^12-$A132)*-1&lt;0,0,1)*IF(ABS(K$3*10^12-$A133)&gt;(K$3*10^12-$A132),$A132,$A133))</f>
        <v>#VALUE!</v>
      </c>
      <c r="L132" t="e">
        <f>IF(IF((L$3*10^12-$A133)*(L$3*10^12-$A132)*-1&lt;0,0,1)*IF(ABS(L$3*10^12-$A133)&gt;(L$3*10^12-$A132),$A132,$A133)=L133,0,IF((L$3*10^12-$A133)*(L$3*10^12-$A132)*-1&lt;0,0,1)*IF(ABS(L$3*10^12-$A133)&gt;(L$3*10^12-$A132),$A132,$A133))</f>
        <v>#VALUE!</v>
      </c>
      <c r="M132" t="e">
        <f t="shared" si="18"/>
        <v>#VALUE!</v>
      </c>
      <c r="N132" t="e">
        <f t="shared" si="18"/>
        <v>#VALUE!</v>
      </c>
    </row>
    <row r="133" spans="1:14" x14ac:dyDescent="0.25">
      <c r="A133">
        <f t="shared" si="27"/>
        <v>18000000000</v>
      </c>
      <c r="B133">
        <f t="shared" si="20"/>
        <v>0</v>
      </c>
      <c r="C133">
        <f t="shared" si="21"/>
        <v>0</v>
      </c>
      <c r="D133">
        <f t="shared" si="21"/>
        <v>0</v>
      </c>
      <c r="E133">
        <f t="shared" si="21"/>
        <v>0</v>
      </c>
      <c r="F133">
        <f t="shared" si="28"/>
        <v>0</v>
      </c>
      <c r="G133">
        <f t="shared" si="29"/>
        <v>0</v>
      </c>
      <c r="H133">
        <f t="shared" si="30"/>
        <v>0</v>
      </c>
      <c r="I133">
        <f t="shared" si="31"/>
        <v>0</v>
      </c>
      <c r="J133">
        <f t="shared" ref="J133:L134" si="32">IF(IF((J$3*10^12-$A134)*(J$3*10^12-$A133)*-1&lt;0,0,1)*IF(ABS(J$3*10^12-$A134)&gt;(J$3*10^12-$A133),$A133,$A134)=J134,0,IF((J$3*10^12-$A134)*(J$3*10^12-$A133)*-1&lt;0,0,1)*IF(ABS(J$3*10^12-$A134)&gt;(J$3*10^12-$A133),$A133,$A134))</f>
        <v>0</v>
      </c>
      <c r="K133" t="e">
        <f t="shared" si="32"/>
        <v>#VALUE!</v>
      </c>
      <c r="L133" t="e">
        <f t="shared" si="32"/>
        <v>#VALUE!</v>
      </c>
      <c r="M133" t="e">
        <f>IF(IF((M$3*10^12-$A134)*(M$3*10^12-$A133)*-1&lt;0,0,1)*IF(ABS(M$3*10^12-$A134)&gt;(M$3*10^12-$A133),$A133,$A134)=M134,0,IF((M$3*10^12-$A134)*(M$3*10^12-$A133)*-1&lt;0,0,1)*IF(ABS(M$3*10^12-$A134)&gt;(M$3*10^12-$A133),$A133,$A134))</f>
        <v>#VALUE!</v>
      </c>
      <c r="N133" t="e">
        <f>IF(IF((N$3*10^12-$A134)*(N$3*10^12-$A133)*-1&lt;0,0,1)*IF(ABS(N$3*10^12-$A134)&gt;(N$3*10^12-$A133),$A133,$A134)=N134,0,IF((N$3*10^12-$A134)*(N$3*10^12-$A133)*-1&lt;0,0,1)*IF(ABS(N$3*10^12-$A134)&gt;(N$3*10^12-$A133),$A133,$A134))</f>
        <v>#VALUE!</v>
      </c>
    </row>
    <row r="134" spans="1:14" x14ac:dyDescent="0.25">
      <c r="A134">
        <f t="shared" si="27"/>
        <v>22000000000</v>
      </c>
      <c r="B134">
        <f t="shared" si="20"/>
        <v>0</v>
      </c>
      <c r="C134">
        <f t="shared" si="21"/>
        <v>0</v>
      </c>
      <c r="D134">
        <f t="shared" si="21"/>
        <v>0</v>
      </c>
      <c r="E134">
        <f t="shared" ref="E134:N159" si="33">IF(IF((E$3*10^12-$A135)*(E$3*10^12-$A134)*-1&lt;0,0,1)*IF(ABS(E$3*10^12-$A135)&gt;(E$3*10^12-$A134),$A134,$A135)=E135,0,IF((E$3*10^12-$A135)*(E$3*10^12-$A134)*-1&lt;0,0,1)*IF(ABS(E$3*10^12-$A135)&gt;(E$3*10^12-$A134),$A134,$A135))</f>
        <v>0</v>
      </c>
      <c r="F134">
        <f t="shared" si="28"/>
        <v>0</v>
      </c>
      <c r="G134">
        <f t="shared" si="29"/>
        <v>0</v>
      </c>
      <c r="H134">
        <f t="shared" si="30"/>
        <v>0</v>
      </c>
      <c r="I134">
        <f t="shared" si="31"/>
        <v>0</v>
      </c>
      <c r="J134">
        <f t="shared" si="32"/>
        <v>0</v>
      </c>
      <c r="K134" t="e">
        <f t="shared" si="32"/>
        <v>#VALUE!</v>
      </c>
      <c r="L134" t="e">
        <f t="shared" si="32"/>
        <v>#VALUE!</v>
      </c>
      <c r="M134" t="e">
        <f>IF(IF((M$3*10^12-$A135)*(M$3*10^12-$A134)*-1&lt;0,0,1)*IF(ABS(M$3*10^12-$A135)&gt;(M$3*10^12-$A134),$A134,$A135)=M135,0,IF((M$3*10^12-$A135)*(M$3*10^12-$A134)*-1&lt;0,0,1)*IF(ABS(M$3*10^12-$A135)&gt;(M$3*10^12-$A134),$A134,$A135))</f>
        <v>#VALUE!</v>
      </c>
      <c r="N134" t="e">
        <f>IF(IF((N$3*10^12-$A135)*(N$3*10^12-$A134)*-1&lt;0,0,1)*IF(ABS(N$3*10^12-$A135)&gt;(N$3*10^12-$A134),$A134,$A135)=N135,0,IF((N$3*10^12-$A135)*(N$3*10^12-$A134)*-1&lt;0,0,1)*IF(ABS(N$3*10^12-$A135)&gt;(N$3*10^12-$A134),$A134,$A135))</f>
        <v>#VALUE!</v>
      </c>
    </row>
    <row r="135" spans="1:14" x14ac:dyDescent="0.25">
      <c r="A135">
        <f t="shared" si="27"/>
        <v>27000000000</v>
      </c>
      <c r="B135">
        <f t="shared" ref="B135:B159" si="34">IF(IF((B$3*10^12-$A136)*(B$3*10^12-$A135)*-1&lt;0,0,1)*IF(ABS(B$3*10^12-$A136)&gt;(B$3*10^12-$A135),$A135,$A136)=B136,0,IF((B$3*10^12-$A136)*(B$3*10^12-$A135)*-1&lt;0,0,1)*IF(ABS(B$3*10^12-$A136)&gt;(B$3*10^12-$A135),$A135,$A136))</f>
        <v>0</v>
      </c>
      <c r="C135">
        <f t="shared" ref="C135:D159" si="35">IF(IF((C$3*10^12-$A136)*(C$3*10^12-$A135)*-1&lt;0,0,1)*IF(ABS(C$3*10^12-$A136)&gt;(C$3*10^12-$A135),$A135,$A136)=C136,0,IF((C$3*10^12-$A136)*(C$3*10^12-$A135)*-1&lt;0,0,1)*IF(ABS(C$3*10^12-$A136)&gt;(C$3*10^12-$A135),$A135,$A136))</f>
        <v>0</v>
      </c>
      <c r="D135">
        <f t="shared" si="35"/>
        <v>0</v>
      </c>
      <c r="E135">
        <f t="shared" si="33"/>
        <v>0</v>
      </c>
      <c r="F135">
        <f t="shared" si="33"/>
        <v>0</v>
      </c>
      <c r="G135">
        <f t="shared" si="33"/>
        <v>0</v>
      </c>
      <c r="H135">
        <f t="shared" si="33"/>
        <v>0</v>
      </c>
      <c r="I135">
        <f t="shared" si="33"/>
        <v>0</v>
      </c>
      <c r="J135">
        <f t="shared" si="33"/>
        <v>0</v>
      </c>
      <c r="K135" t="e">
        <f t="shared" si="33"/>
        <v>#VALUE!</v>
      </c>
      <c r="L135" t="e">
        <f t="shared" si="33"/>
        <v>#VALUE!</v>
      </c>
      <c r="M135" t="e">
        <f t="shared" si="33"/>
        <v>#VALUE!</v>
      </c>
      <c r="N135" t="e">
        <f t="shared" si="33"/>
        <v>#VALUE!</v>
      </c>
    </row>
    <row r="136" spans="1:14" x14ac:dyDescent="0.25">
      <c r="A136">
        <f t="shared" si="27"/>
        <v>33000000000</v>
      </c>
      <c r="B136">
        <f t="shared" si="34"/>
        <v>0</v>
      </c>
      <c r="C136">
        <f t="shared" si="35"/>
        <v>0</v>
      </c>
      <c r="D136">
        <f t="shared" si="35"/>
        <v>0</v>
      </c>
      <c r="E136">
        <f t="shared" si="33"/>
        <v>0</v>
      </c>
      <c r="F136">
        <f t="shared" si="33"/>
        <v>0</v>
      </c>
      <c r="G136">
        <f t="shared" si="33"/>
        <v>0</v>
      </c>
      <c r="H136">
        <f t="shared" si="33"/>
        <v>0</v>
      </c>
      <c r="I136">
        <f t="shared" si="33"/>
        <v>0</v>
      </c>
      <c r="J136">
        <f t="shared" si="33"/>
        <v>0</v>
      </c>
      <c r="K136" t="e">
        <f t="shared" si="33"/>
        <v>#VALUE!</v>
      </c>
      <c r="L136" t="e">
        <f t="shared" si="33"/>
        <v>#VALUE!</v>
      </c>
      <c r="M136" t="e">
        <f t="shared" si="33"/>
        <v>#VALUE!</v>
      </c>
      <c r="N136" t="e">
        <f t="shared" si="33"/>
        <v>#VALUE!</v>
      </c>
    </row>
    <row r="137" spans="1:14" x14ac:dyDescent="0.25">
      <c r="A137">
        <f t="shared" si="27"/>
        <v>39000000000</v>
      </c>
      <c r="B137">
        <f t="shared" si="34"/>
        <v>0</v>
      </c>
      <c r="C137">
        <f t="shared" si="35"/>
        <v>0</v>
      </c>
      <c r="D137">
        <f t="shared" si="35"/>
        <v>0</v>
      </c>
      <c r="E137">
        <f t="shared" si="33"/>
        <v>0</v>
      </c>
      <c r="F137">
        <f t="shared" si="33"/>
        <v>0</v>
      </c>
      <c r="G137">
        <f t="shared" si="33"/>
        <v>0</v>
      </c>
      <c r="H137">
        <f t="shared" si="33"/>
        <v>0</v>
      </c>
      <c r="I137">
        <f t="shared" si="33"/>
        <v>0</v>
      </c>
      <c r="J137">
        <f t="shared" si="33"/>
        <v>0</v>
      </c>
      <c r="K137" t="e">
        <f t="shared" si="33"/>
        <v>#VALUE!</v>
      </c>
      <c r="L137" t="e">
        <f t="shared" si="33"/>
        <v>#VALUE!</v>
      </c>
      <c r="M137" t="e">
        <f t="shared" si="33"/>
        <v>#VALUE!</v>
      </c>
      <c r="N137" t="e">
        <f t="shared" si="33"/>
        <v>#VALUE!</v>
      </c>
    </row>
    <row r="138" spans="1:14" x14ac:dyDescent="0.25">
      <c r="A138">
        <f t="shared" si="27"/>
        <v>47000000000</v>
      </c>
      <c r="B138">
        <f t="shared" si="34"/>
        <v>0</v>
      </c>
      <c r="C138">
        <f t="shared" si="35"/>
        <v>0</v>
      </c>
      <c r="D138">
        <f t="shared" si="35"/>
        <v>0</v>
      </c>
      <c r="E138">
        <f t="shared" si="33"/>
        <v>0</v>
      </c>
      <c r="F138">
        <f t="shared" si="33"/>
        <v>0</v>
      </c>
      <c r="G138">
        <f t="shared" si="33"/>
        <v>0</v>
      </c>
      <c r="H138">
        <f t="shared" si="33"/>
        <v>0</v>
      </c>
      <c r="I138">
        <f t="shared" si="33"/>
        <v>0</v>
      </c>
      <c r="J138">
        <f t="shared" si="33"/>
        <v>0</v>
      </c>
      <c r="K138" t="e">
        <f t="shared" si="33"/>
        <v>#VALUE!</v>
      </c>
      <c r="L138" t="e">
        <f t="shared" si="33"/>
        <v>#VALUE!</v>
      </c>
      <c r="M138" t="e">
        <f t="shared" si="33"/>
        <v>#VALUE!</v>
      </c>
      <c r="N138" t="e">
        <f t="shared" si="33"/>
        <v>#VALUE!</v>
      </c>
    </row>
    <row r="139" spans="1:14" x14ac:dyDescent="0.25">
      <c r="A139">
        <f t="shared" si="27"/>
        <v>56000000000</v>
      </c>
      <c r="B139">
        <f t="shared" si="34"/>
        <v>0</v>
      </c>
      <c r="C139">
        <f t="shared" si="35"/>
        <v>0</v>
      </c>
      <c r="D139">
        <f t="shared" si="35"/>
        <v>0</v>
      </c>
      <c r="E139">
        <f t="shared" si="33"/>
        <v>0</v>
      </c>
      <c r="F139">
        <f t="shared" si="33"/>
        <v>0</v>
      </c>
      <c r="G139">
        <f t="shared" si="33"/>
        <v>0</v>
      </c>
      <c r="H139">
        <f t="shared" si="33"/>
        <v>0</v>
      </c>
      <c r="I139">
        <f t="shared" si="33"/>
        <v>0</v>
      </c>
      <c r="J139">
        <f t="shared" si="33"/>
        <v>0</v>
      </c>
      <c r="K139" t="e">
        <f t="shared" si="33"/>
        <v>#VALUE!</v>
      </c>
      <c r="L139" t="e">
        <f t="shared" si="33"/>
        <v>#VALUE!</v>
      </c>
      <c r="M139" t="e">
        <f t="shared" si="33"/>
        <v>#VALUE!</v>
      </c>
      <c r="N139" t="e">
        <f t="shared" si="33"/>
        <v>#VALUE!</v>
      </c>
    </row>
    <row r="140" spans="1:14" x14ac:dyDescent="0.25">
      <c r="A140">
        <f t="shared" si="27"/>
        <v>68000000000</v>
      </c>
      <c r="B140">
        <f t="shared" si="34"/>
        <v>0</v>
      </c>
      <c r="C140">
        <f t="shared" si="35"/>
        <v>0</v>
      </c>
      <c r="D140">
        <f t="shared" si="35"/>
        <v>0</v>
      </c>
      <c r="E140">
        <f t="shared" si="33"/>
        <v>0</v>
      </c>
      <c r="F140">
        <f t="shared" si="33"/>
        <v>0</v>
      </c>
      <c r="G140">
        <f t="shared" si="33"/>
        <v>0</v>
      </c>
      <c r="H140">
        <f t="shared" si="33"/>
        <v>0</v>
      </c>
      <c r="I140">
        <f t="shared" si="33"/>
        <v>0</v>
      </c>
      <c r="J140">
        <f t="shared" si="33"/>
        <v>0</v>
      </c>
      <c r="K140" t="e">
        <f t="shared" si="33"/>
        <v>#VALUE!</v>
      </c>
      <c r="L140" t="e">
        <f t="shared" si="33"/>
        <v>#VALUE!</v>
      </c>
      <c r="M140" t="e">
        <f t="shared" si="33"/>
        <v>#VALUE!</v>
      </c>
      <c r="N140" t="e">
        <f t="shared" si="33"/>
        <v>#VALUE!</v>
      </c>
    </row>
    <row r="141" spans="1:14" x14ac:dyDescent="0.25">
      <c r="A141">
        <f t="shared" si="27"/>
        <v>82000000000</v>
      </c>
      <c r="B141">
        <f t="shared" si="34"/>
        <v>0</v>
      </c>
      <c r="C141">
        <f t="shared" si="35"/>
        <v>0</v>
      </c>
      <c r="D141">
        <f t="shared" si="35"/>
        <v>0</v>
      </c>
      <c r="E141">
        <f t="shared" si="33"/>
        <v>0</v>
      </c>
      <c r="F141">
        <f t="shared" si="33"/>
        <v>0</v>
      </c>
      <c r="G141">
        <f t="shared" si="33"/>
        <v>0</v>
      </c>
      <c r="H141">
        <f t="shared" si="33"/>
        <v>0</v>
      </c>
      <c r="I141">
        <f t="shared" si="33"/>
        <v>0</v>
      </c>
      <c r="J141">
        <f t="shared" si="33"/>
        <v>0</v>
      </c>
      <c r="K141" t="e">
        <f t="shared" si="33"/>
        <v>#VALUE!</v>
      </c>
      <c r="L141" t="e">
        <f t="shared" si="33"/>
        <v>#VALUE!</v>
      </c>
      <c r="M141" t="e">
        <f t="shared" si="33"/>
        <v>#VALUE!</v>
      </c>
      <c r="N141" t="e">
        <f t="shared" si="33"/>
        <v>#VALUE!</v>
      </c>
    </row>
    <row r="142" spans="1:14" x14ac:dyDescent="0.25">
      <c r="A142">
        <f t="shared" si="27"/>
        <v>100000000000</v>
      </c>
      <c r="B142">
        <f t="shared" si="34"/>
        <v>0</v>
      </c>
      <c r="C142">
        <f t="shared" si="35"/>
        <v>0</v>
      </c>
      <c r="D142">
        <f t="shared" si="35"/>
        <v>0</v>
      </c>
      <c r="E142">
        <f t="shared" si="33"/>
        <v>0</v>
      </c>
      <c r="F142">
        <f t="shared" si="33"/>
        <v>0</v>
      </c>
      <c r="G142">
        <f t="shared" si="33"/>
        <v>0</v>
      </c>
      <c r="H142">
        <f t="shared" si="33"/>
        <v>0</v>
      </c>
      <c r="I142">
        <f t="shared" si="33"/>
        <v>0</v>
      </c>
      <c r="J142">
        <f t="shared" si="33"/>
        <v>0</v>
      </c>
      <c r="K142" t="e">
        <f t="shared" si="33"/>
        <v>#VALUE!</v>
      </c>
      <c r="L142" t="e">
        <f t="shared" si="33"/>
        <v>#VALUE!</v>
      </c>
      <c r="M142" t="e">
        <f t="shared" si="33"/>
        <v>#VALUE!</v>
      </c>
      <c r="N142" t="e">
        <f t="shared" si="33"/>
        <v>#VALUE!</v>
      </c>
    </row>
    <row r="143" spans="1:14" x14ac:dyDescent="0.25">
      <c r="A143">
        <f t="shared" si="27"/>
        <v>120000000000</v>
      </c>
      <c r="B143">
        <f t="shared" si="34"/>
        <v>0</v>
      </c>
      <c r="C143">
        <f t="shared" si="35"/>
        <v>0</v>
      </c>
      <c r="D143">
        <f t="shared" si="35"/>
        <v>0</v>
      </c>
      <c r="E143">
        <f t="shared" si="33"/>
        <v>0</v>
      </c>
      <c r="F143">
        <f t="shared" si="33"/>
        <v>0</v>
      </c>
      <c r="G143">
        <f t="shared" si="33"/>
        <v>0</v>
      </c>
      <c r="H143">
        <f t="shared" si="33"/>
        <v>0</v>
      </c>
      <c r="I143">
        <f t="shared" si="33"/>
        <v>0</v>
      </c>
      <c r="J143">
        <f t="shared" si="33"/>
        <v>0</v>
      </c>
      <c r="K143" t="e">
        <f t="shared" si="33"/>
        <v>#VALUE!</v>
      </c>
      <c r="L143" t="e">
        <f t="shared" si="33"/>
        <v>#VALUE!</v>
      </c>
      <c r="M143" t="e">
        <f t="shared" si="33"/>
        <v>#VALUE!</v>
      </c>
      <c r="N143" t="e">
        <f t="shared" si="33"/>
        <v>#VALUE!</v>
      </c>
    </row>
    <row r="144" spans="1:14" x14ac:dyDescent="0.25">
      <c r="A144">
        <f t="shared" si="27"/>
        <v>150000000000</v>
      </c>
      <c r="B144">
        <f t="shared" si="34"/>
        <v>0</v>
      </c>
      <c r="C144">
        <f t="shared" si="35"/>
        <v>0</v>
      </c>
      <c r="D144">
        <f t="shared" si="35"/>
        <v>0</v>
      </c>
      <c r="E144">
        <f t="shared" si="33"/>
        <v>0</v>
      </c>
      <c r="F144">
        <f t="shared" si="33"/>
        <v>0</v>
      </c>
      <c r="G144">
        <f t="shared" si="33"/>
        <v>0</v>
      </c>
      <c r="H144">
        <f t="shared" si="33"/>
        <v>0</v>
      </c>
      <c r="I144">
        <f t="shared" si="33"/>
        <v>0</v>
      </c>
      <c r="J144">
        <f t="shared" si="33"/>
        <v>0</v>
      </c>
      <c r="K144" t="e">
        <f t="shared" si="33"/>
        <v>#VALUE!</v>
      </c>
      <c r="L144" t="e">
        <f t="shared" si="33"/>
        <v>#VALUE!</v>
      </c>
      <c r="M144" t="e">
        <f t="shared" si="33"/>
        <v>#VALUE!</v>
      </c>
      <c r="N144" t="e">
        <f t="shared" si="33"/>
        <v>#VALUE!</v>
      </c>
    </row>
    <row r="145" spans="1:14" x14ac:dyDescent="0.25">
      <c r="A145">
        <f t="shared" si="27"/>
        <v>180000000000</v>
      </c>
      <c r="B145">
        <f t="shared" si="34"/>
        <v>0</v>
      </c>
      <c r="C145">
        <f t="shared" si="35"/>
        <v>0</v>
      </c>
      <c r="D145">
        <f t="shared" si="35"/>
        <v>0</v>
      </c>
      <c r="E145">
        <f t="shared" si="33"/>
        <v>0</v>
      </c>
      <c r="F145">
        <f t="shared" si="33"/>
        <v>0</v>
      </c>
      <c r="G145">
        <f t="shared" si="33"/>
        <v>0</v>
      </c>
      <c r="H145">
        <f t="shared" si="33"/>
        <v>0</v>
      </c>
      <c r="I145">
        <f t="shared" si="33"/>
        <v>0</v>
      </c>
      <c r="J145">
        <f t="shared" si="33"/>
        <v>0</v>
      </c>
      <c r="K145" t="e">
        <f t="shared" si="33"/>
        <v>#VALUE!</v>
      </c>
      <c r="L145" t="e">
        <f t="shared" si="33"/>
        <v>#VALUE!</v>
      </c>
      <c r="M145" t="e">
        <f t="shared" si="33"/>
        <v>#VALUE!</v>
      </c>
      <c r="N145" t="e">
        <f t="shared" si="33"/>
        <v>#VALUE!</v>
      </c>
    </row>
    <row r="146" spans="1:14" x14ac:dyDescent="0.25">
      <c r="A146">
        <f t="shared" si="27"/>
        <v>220000000000</v>
      </c>
      <c r="B146">
        <f t="shared" si="34"/>
        <v>0</v>
      </c>
      <c r="C146">
        <f t="shared" si="35"/>
        <v>0</v>
      </c>
      <c r="D146">
        <f t="shared" si="35"/>
        <v>0</v>
      </c>
      <c r="E146">
        <f t="shared" si="33"/>
        <v>0</v>
      </c>
      <c r="F146">
        <f t="shared" si="33"/>
        <v>0</v>
      </c>
      <c r="G146">
        <f t="shared" si="33"/>
        <v>0</v>
      </c>
      <c r="H146">
        <f t="shared" si="33"/>
        <v>0</v>
      </c>
      <c r="I146">
        <f t="shared" si="33"/>
        <v>0</v>
      </c>
      <c r="J146">
        <f t="shared" si="33"/>
        <v>0</v>
      </c>
      <c r="K146" t="e">
        <f t="shared" si="33"/>
        <v>#VALUE!</v>
      </c>
      <c r="L146" t="e">
        <f t="shared" si="33"/>
        <v>#VALUE!</v>
      </c>
      <c r="M146" t="e">
        <f t="shared" si="33"/>
        <v>#VALUE!</v>
      </c>
      <c r="N146" t="e">
        <f t="shared" si="33"/>
        <v>#VALUE!</v>
      </c>
    </row>
    <row r="147" spans="1:14" x14ac:dyDescent="0.25">
      <c r="A147">
        <f t="shared" si="27"/>
        <v>270000000000</v>
      </c>
      <c r="B147">
        <f t="shared" si="34"/>
        <v>0</v>
      </c>
      <c r="C147">
        <f t="shared" si="35"/>
        <v>0</v>
      </c>
      <c r="D147">
        <f t="shared" si="35"/>
        <v>0</v>
      </c>
      <c r="E147">
        <f t="shared" si="33"/>
        <v>0</v>
      </c>
      <c r="F147">
        <f t="shared" si="33"/>
        <v>0</v>
      </c>
      <c r="G147">
        <f t="shared" si="33"/>
        <v>0</v>
      </c>
      <c r="H147">
        <f t="shared" si="33"/>
        <v>0</v>
      </c>
      <c r="I147">
        <f t="shared" si="33"/>
        <v>0</v>
      </c>
      <c r="J147">
        <f t="shared" si="33"/>
        <v>0</v>
      </c>
      <c r="K147" t="e">
        <f t="shared" si="33"/>
        <v>#VALUE!</v>
      </c>
      <c r="L147" t="e">
        <f t="shared" si="33"/>
        <v>#VALUE!</v>
      </c>
      <c r="M147" t="e">
        <f t="shared" si="33"/>
        <v>#VALUE!</v>
      </c>
      <c r="N147" t="e">
        <f t="shared" si="33"/>
        <v>#VALUE!</v>
      </c>
    </row>
    <row r="148" spans="1:14" x14ac:dyDescent="0.25">
      <c r="A148">
        <f t="shared" si="27"/>
        <v>330000000000</v>
      </c>
      <c r="B148">
        <f t="shared" si="34"/>
        <v>0</v>
      </c>
      <c r="C148">
        <f t="shared" si="35"/>
        <v>0</v>
      </c>
      <c r="D148">
        <f t="shared" si="35"/>
        <v>0</v>
      </c>
      <c r="E148">
        <f t="shared" si="33"/>
        <v>0</v>
      </c>
      <c r="F148">
        <f t="shared" si="33"/>
        <v>0</v>
      </c>
      <c r="G148">
        <f t="shared" si="33"/>
        <v>0</v>
      </c>
      <c r="H148">
        <f t="shared" si="33"/>
        <v>0</v>
      </c>
      <c r="I148">
        <f t="shared" si="33"/>
        <v>0</v>
      </c>
      <c r="J148">
        <f t="shared" si="33"/>
        <v>0</v>
      </c>
      <c r="K148" t="e">
        <f t="shared" si="33"/>
        <v>#VALUE!</v>
      </c>
      <c r="L148" t="e">
        <f t="shared" si="33"/>
        <v>#VALUE!</v>
      </c>
      <c r="M148" t="e">
        <f t="shared" si="33"/>
        <v>#VALUE!</v>
      </c>
      <c r="N148" t="e">
        <f t="shared" si="33"/>
        <v>#VALUE!</v>
      </c>
    </row>
    <row r="149" spans="1:14" x14ac:dyDescent="0.25">
      <c r="A149">
        <f t="shared" si="27"/>
        <v>390000000000</v>
      </c>
      <c r="B149">
        <f t="shared" si="34"/>
        <v>0</v>
      </c>
      <c r="C149">
        <f t="shared" si="35"/>
        <v>0</v>
      </c>
      <c r="D149">
        <f t="shared" si="35"/>
        <v>0</v>
      </c>
      <c r="E149">
        <f t="shared" si="33"/>
        <v>0</v>
      </c>
      <c r="F149">
        <f t="shared" si="33"/>
        <v>0</v>
      </c>
      <c r="G149">
        <f t="shared" si="33"/>
        <v>0</v>
      </c>
      <c r="H149">
        <f t="shared" si="33"/>
        <v>0</v>
      </c>
      <c r="I149">
        <f t="shared" si="33"/>
        <v>0</v>
      </c>
      <c r="J149">
        <f t="shared" si="33"/>
        <v>0</v>
      </c>
      <c r="K149" t="e">
        <f t="shared" si="33"/>
        <v>#VALUE!</v>
      </c>
      <c r="L149" t="e">
        <f t="shared" si="33"/>
        <v>#VALUE!</v>
      </c>
      <c r="M149" t="e">
        <f t="shared" si="33"/>
        <v>#VALUE!</v>
      </c>
      <c r="N149" t="e">
        <f t="shared" si="33"/>
        <v>#VALUE!</v>
      </c>
    </row>
    <row r="150" spans="1:14" x14ac:dyDescent="0.25">
      <c r="A150">
        <f t="shared" si="27"/>
        <v>470000000000</v>
      </c>
      <c r="B150">
        <f t="shared" si="34"/>
        <v>0</v>
      </c>
      <c r="C150">
        <f t="shared" si="35"/>
        <v>0</v>
      </c>
      <c r="D150">
        <f t="shared" si="35"/>
        <v>0</v>
      </c>
      <c r="E150">
        <f t="shared" si="33"/>
        <v>0</v>
      </c>
      <c r="F150">
        <f t="shared" si="33"/>
        <v>0</v>
      </c>
      <c r="G150">
        <f t="shared" si="33"/>
        <v>0</v>
      </c>
      <c r="H150">
        <f t="shared" si="33"/>
        <v>0</v>
      </c>
      <c r="I150">
        <f t="shared" si="33"/>
        <v>0</v>
      </c>
      <c r="J150">
        <f t="shared" si="33"/>
        <v>0</v>
      </c>
      <c r="K150" t="e">
        <f t="shared" si="33"/>
        <v>#VALUE!</v>
      </c>
      <c r="L150" t="e">
        <f t="shared" si="33"/>
        <v>#VALUE!</v>
      </c>
      <c r="M150" t="e">
        <f t="shared" si="33"/>
        <v>#VALUE!</v>
      </c>
      <c r="N150" t="e">
        <f t="shared" si="33"/>
        <v>#VALUE!</v>
      </c>
    </row>
    <row r="151" spans="1:14" x14ac:dyDescent="0.25">
      <c r="A151">
        <f t="shared" si="27"/>
        <v>560000000000</v>
      </c>
      <c r="B151">
        <f t="shared" si="34"/>
        <v>0</v>
      </c>
      <c r="C151">
        <f t="shared" si="35"/>
        <v>0</v>
      </c>
      <c r="D151">
        <f t="shared" si="35"/>
        <v>0</v>
      </c>
      <c r="E151">
        <f t="shared" si="33"/>
        <v>0</v>
      </c>
      <c r="F151">
        <f t="shared" si="33"/>
        <v>0</v>
      </c>
      <c r="G151">
        <f t="shared" si="33"/>
        <v>0</v>
      </c>
      <c r="H151">
        <f t="shared" si="33"/>
        <v>0</v>
      </c>
      <c r="I151">
        <f t="shared" si="33"/>
        <v>0</v>
      </c>
      <c r="J151">
        <f t="shared" si="33"/>
        <v>0</v>
      </c>
      <c r="K151" t="e">
        <f t="shared" si="33"/>
        <v>#VALUE!</v>
      </c>
      <c r="L151" t="e">
        <f t="shared" si="33"/>
        <v>#VALUE!</v>
      </c>
      <c r="M151" t="e">
        <f t="shared" si="33"/>
        <v>#VALUE!</v>
      </c>
      <c r="N151" t="e">
        <f t="shared" si="33"/>
        <v>#VALUE!</v>
      </c>
    </row>
    <row r="152" spans="1:14" x14ac:dyDescent="0.25">
      <c r="A152">
        <f t="shared" si="27"/>
        <v>680000000000</v>
      </c>
      <c r="B152">
        <f t="shared" si="34"/>
        <v>0</v>
      </c>
      <c r="C152">
        <f t="shared" si="35"/>
        <v>0</v>
      </c>
      <c r="D152">
        <f t="shared" si="35"/>
        <v>0</v>
      </c>
      <c r="E152">
        <f t="shared" si="33"/>
        <v>0</v>
      </c>
      <c r="F152">
        <f t="shared" si="33"/>
        <v>0</v>
      </c>
      <c r="G152">
        <f t="shared" si="33"/>
        <v>0</v>
      </c>
      <c r="H152">
        <f t="shared" si="33"/>
        <v>0</v>
      </c>
      <c r="I152">
        <f t="shared" si="33"/>
        <v>0</v>
      </c>
      <c r="J152">
        <f t="shared" si="33"/>
        <v>0</v>
      </c>
      <c r="K152" t="e">
        <f t="shared" si="33"/>
        <v>#VALUE!</v>
      </c>
      <c r="L152" t="e">
        <f t="shared" si="33"/>
        <v>#VALUE!</v>
      </c>
      <c r="M152" t="e">
        <f t="shared" si="33"/>
        <v>#VALUE!</v>
      </c>
      <c r="N152" t="e">
        <f t="shared" si="33"/>
        <v>#VALUE!</v>
      </c>
    </row>
    <row r="153" spans="1:14" x14ac:dyDescent="0.25">
      <c r="A153">
        <f t="shared" si="27"/>
        <v>820000000000</v>
      </c>
      <c r="B153">
        <f t="shared" si="34"/>
        <v>0</v>
      </c>
      <c r="C153">
        <f t="shared" si="35"/>
        <v>0</v>
      </c>
      <c r="D153">
        <f t="shared" si="35"/>
        <v>0</v>
      </c>
      <c r="E153">
        <f t="shared" si="33"/>
        <v>0</v>
      </c>
      <c r="F153">
        <f t="shared" si="33"/>
        <v>0</v>
      </c>
      <c r="G153">
        <f t="shared" si="33"/>
        <v>0</v>
      </c>
      <c r="H153">
        <f t="shared" si="33"/>
        <v>0</v>
      </c>
      <c r="I153">
        <f t="shared" si="33"/>
        <v>0</v>
      </c>
      <c r="J153">
        <f t="shared" si="33"/>
        <v>0</v>
      </c>
      <c r="K153" t="e">
        <f t="shared" si="33"/>
        <v>#VALUE!</v>
      </c>
      <c r="L153" t="e">
        <f t="shared" si="33"/>
        <v>#VALUE!</v>
      </c>
      <c r="M153" t="e">
        <f t="shared" si="33"/>
        <v>#VALUE!</v>
      </c>
      <c r="N153" t="e">
        <f t="shared" si="33"/>
        <v>#VALUE!</v>
      </c>
    </row>
    <row r="154" spans="1:14" x14ac:dyDescent="0.25">
      <c r="A154">
        <f t="shared" si="27"/>
        <v>1000000000000</v>
      </c>
      <c r="B154">
        <f t="shared" si="34"/>
        <v>0</v>
      </c>
      <c r="C154">
        <f t="shared" si="35"/>
        <v>0</v>
      </c>
      <c r="D154">
        <f t="shared" si="35"/>
        <v>0</v>
      </c>
      <c r="E154">
        <f t="shared" si="33"/>
        <v>0</v>
      </c>
      <c r="F154">
        <f t="shared" si="33"/>
        <v>0</v>
      </c>
      <c r="G154">
        <f t="shared" si="33"/>
        <v>0</v>
      </c>
      <c r="H154">
        <f t="shared" si="33"/>
        <v>0</v>
      </c>
      <c r="I154">
        <f t="shared" si="33"/>
        <v>0</v>
      </c>
      <c r="J154">
        <f t="shared" si="33"/>
        <v>0</v>
      </c>
      <c r="K154" t="e">
        <f t="shared" si="33"/>
        <v>#VALUE!</v>
      </c>
      <c r="L154" t="e">
        <f t="shared" si="33"/>
        <v>#VALUE!</v>
      </c>
      <c r="M154" t="e">
        <f t="shared" si="33"/>
        <v>#VALUE!</v>
      </c>
      <c r="N154" t="e">
        <f t="shared" si="33"/>
        <v>#VALUE!</v>
      </c>
    </row>
    <row r="155" spans="1:14" x14ac:dyDescent="0.25">
      <c r="A155">
        <f t="shared" si="27"/>
        <v>1200000000000</v>
      </c>
      <c r="B155">
        <f t="shared" si="34"/>
        <v>0</v>
      </c>
      <c r="C155">
        <f t="shared" si="35"/>
        <v>0</v>
      </c>
      <c r="D155">
        <f t="shared" si="35"/>
        <v>0</v>
      </c>
      <c r="E155">
        <f t="shared" si="33"/>
        <v>0</v>
      </c>
      <c r="F155">
        <f t="shared" si="33"/>
        <v>0</v>
      </c>
      <c r="G155">
        <f t="shared" si="33"/>
        <v>0</v>
      </c>
      <c r="H155">
        <f t="shared" si="33"/>
        <v>0</v>
      </c>
      <c r="I155">
        <f t="shared" si="33"/>
        <v>0</v>
      </c>
      <c r="J155">
        <f t="shared" si="33"/>
        <v>0</v>
      </c>
      <c r="K155" t="e">
        <f t="shared" si="33"/>
        <v>#VALUE!</v>
      </c>
      <c r="L155" t="e">
        <f t="shared" si="33"/>
        <v>#VALUE!</v>
      </c>
      <c r="M155" t="e">
        <f t="shared" si="33"/>
        <v>#VALUE!</v>
      </c>
      <c r="N155" t="e">
        <f t="shared" si="33"/>
        <v>#VALUE!</v>
      </c>
    </row>
    <row r="156" spans="1:14" x14ac:dyDescent="0.25">
      <c r="A156">
        <f t="shared" si="27"/>
        <v>1500000000000</v>
      </c>
      <c r="B156">
        <f t="shared" si="34"/>
        <v>0</v>
      </c>
      <c r="C156">
        <f t="shared" si="35"/>
        <v>0</v>
      </c>
      <c r="D156">
        <f t="shared" si="35"/>
        <v>0</v>
      </c>
      <c r="E156">
        <f t="shared" si="33"/>
        <v>0</v>
      </c>
      <c r="F156">
        <f t="shared" si="33"/>
        <v>0</v>
      </c>
      <c r="G156">
        <f t="shared" si="33"/>
        <v>0</v>
      </c>
      <c r="H156">
        <f t="shared" si="33"/>
        <v>0</v>
      </c>
      <c r="I156">
        <f t="shared" si="33"/>
        <v>0</v>
      </c>
      <c r="J156">
        <f t="shared" si="33"/>
        <v>0</v>
      </c>
      <c r="K156" t="e">
        <f t="shared" si="33"/>
        <v>#VALUE!</v>
      </c>
      <c r="L156" t="e">
        <f t="shared" si="33"/>
        <v>#VALUE!</v>
      </c>
      <c r="M156" t="e">
        <f t="shared" si="33"/>
        <v>#VALUE!</v>
      </c>
      <c r="N156" t="e">
        <f t="shared" si="33"/>
        <v>#VALUE!</v>
      </c>
    </row>
    <row r="157" spans="1:14" x14ac:dyDescent="0.25">
      <c r="A157">
        <f t="shared" si="27"/>
        <v>1800000000000</v>
      </c>
      <c r="B157">
        <f t="shared" si="34"/>
        <v>0</v>
      </c>
      <c r="C157">
        <f t="shared" si="35"/>
        <v>0</v>
      </c>
      <c r="D157">
        <f t="shared" si="35"/>
        <v>0</v>
      </c>
      <c r="E157">
        <f t="shared" si="33"/>
        <v>0</v>
      </c>
      <c r="F157">
        <f t="shared" si="33"/>
        <v>0</v>
      </c>
      <c r="G157">
        <f t="shared" si="33"/>
        <v>0</v>
      </c>
      <c r="H157">
        <f t="shared" si="33"/>
        <v>0</v>
      </c>
      <c r="I157">
        <f t="shared" si="33"/>
        <v>0</v>
      </c>
      <c r="J157">
        <f t="shared" si="33"/>
        <v>0</v>
      </c>
      <c r="K157" t="e">
        <f t="shared" si="33"/>
        <v>#VALUE!</v>
      </c>
      <c r="L157" t="e">
        <f t="shared" si="33"/>
        <v>#VALUE!</v>
      </c>
      <c r="M157" t="e">
        <f t="shared" si="33"/>
        <v>#VALUE!</v>
      </c>
      <c r="N157" t="e">
        <f t="shared" si="33"/>
        <v>#VALUE!</v>
      </c>
    </row>
    <row r="158" spans="1:14" x14ac:dyDescent="0.25">
      <c r="A158">
        <f t="shared" si="27"/>
        <v>2200000000000</v>
      </c>
      <c r="B158">
        <f t="shared" si="34"/>
        <v>0</v>
      </c>
      <c r="C158">
        <f t="shared" si="35"/>
        <v>0</v>
      </c>
      <c r="D158">
        <f t="shared" si="35"/>
        <v>0</v>
      </c>
      <c r="E158">
        <f t="shared" si="33"/>
        <v>0</v>
      </c>
      <c r="F158">
        <f t="shared" si="33"/>
        <v>0</v>
      </c>
      <c r="G158">
        <f t="shared" si="33"/>
        <v>0</v>
      </c>
      <c r="H158">
        <f t="shared" si="33"/>
        <v>0</v>
      </c>
      <c r="I158">
        <f t="shared" si="33"/>
        <v>0</v>
      </c>
      <c r="J158">
        <f t="shared" si="33"/>
        <v>0</v>
      </c>
      <c r="K158" t="e">
        <f t="shared" si="33"/>
        <v>#VALUE!</v>
      </c>
      <c r="L158" t="e">
        <f t="shared" si="33"/>
        <v>#VALUE!</v>
      </c>
      <c r="M158" t="e">
        <f t="shared" si="33"/>
        <v>#VALUE!</v>
      </c>
      <c r="N158" t="e">
        <f t="shared" si="33"/>
        <v>#VALUE!</v>
      </c>
    </row>
    <row r="159" spans="1:14" x14ac:dyDescent="0.25">
      <c r="A159" s="43">
        <f t="shared" si="27"/>
        <v>2700000000000</v>
      </c>
      <c r="B159">
        <f t="shared" si="34"/>
        <v>2700000000000</v>
      </c>
      <c r="C159">
        <f t="shared" si="35"/>
        <v>2700000000000</v>
      </c>
      <c r="D159">
        <f t="shared" si="35"/>
        <v>2700000000000</v>
      </c>
      <c r="E159">
        <f t="shared" si="33"/>
        <v>2700000000000</v>
      </c>
      <c r="F159">
        <f t="shared" si="33"/>
        <v>2700000000000</v>
      </c>
      <c r="G159">
        <f t="shared" si="33"/>
        <v>2700000000000</v>
      </c>
      <c r="H159">
        <f t="shared" si="33"/>
        <v>2700000000000</v>
      </c>
      <c r="I159">
        <f t="shared" si="33"/>
        <v>2700000000000</v>
      </c>
      <c r="J159">
        <f t="shared" si="33"/>
        <v>2700000000000</v>
      </c>
      <c r="K159" t="e">
        <f t="shared" si="33"/>
        <v>#VALUE!</v>
      </c>
      <c r="L159" t="e">
        <f t="shared" si="33"/>
        <v>#VALUE!</v>
      </c>
      <c r="M159" t="e">
        <f t="shared" si="33"/>
        <v>#VALUE!</v>
      </c>
      <c r="N159" t="e">
        <f t="shared" si="33"/>
        <v>#VALUE!</v>
      </c>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E7"/>
  <sheetViews>
    <sheetView workbookViewId="0">
      <selection activeCell="B6" sqref="B6"/>
    </sheetView>
  </sheetViews>
  <sheetFormatPr defaultRowHeight="12.5" x14ac:dyDescent="0.25"/>
  <cols>
    <col min="1" max="1" width="18.54296875" customWidth="1"/>
    <col min="2" max="2" width="9.36328125" customWidth="1"/>
    <col min="4" max="4" width="11.08984375" customWidth="1"/>
  </cols>
  <sheetData>
    <row r="1" spans="1:5" x14ac:dyDescent="0.25">
      <c r="C1" t="s">
        <v>180</v>
      </c>
      <c r="D1" t="s">
        <v>179</v>
      </c>
    </row>
    <row r="2" spans="1:5" x14ac:dyDescent="0.25">
      <c r="A2" t="s">
        <v>177</v>
      </c>
      <c r="B2" s="47">
        <v>85</v>
      </c>
      <c r="C2" t="s">
        <v>178</v>
      </c>
      <c r="D2">
        <f>B2*1000000</f>
        <v>85000000</v>
      </c>
      <c r="E2" t="s">
        <v>9</v>
      </c>
    </row>
    <row r="3" spans="1:5" x14ac:dyDescent="0.25">
      <c r="A3" t="s">
        <v>181</v>
      </c>
      <c r="B3" s="47">
        <v>3000</v>
      </c>
      <c r="C3" t="s">
        <v>30</v>
      </c>
      <c r="D3">
        <f>B3*0.000000000001</f>
        <v>3E-9</v>
      </c>
      <c r="E3" t="s">
        <v>24</v>
      </c>
    </row>
    <row r="4" spans="1:5" x14ac:dyDescent="0.25">
      <c r="A4" t="s">
        <v>183</v>
      </c>
      <c r="B4" s="48">
        <f>1000000000*1/((D2*2*3.14159)^2*D3)</f>
        <v>1.1686430773614742</v>
      </c>
      <c r="C4" t="s">
        <v>184</v>
      </c>
      <c r="D4">
        <f>B4/1000000000</f>
        <v>1.1686430773614743E-9</v>
      </c>
      <c r="E4" t="s">
        <v>19</v>
      </c>
    </row>
    <row r="5" spans="1:5" x14ac:dyDescent="0.25">
      <c r="A5" t="s">
        <v>182</v>
      </c>
      <c r="B5">
        <f>4*B3</f>
        <v>12000</v>
      </c>
      <c r="C5" t="s">
        <v>30</v>
      </c>
      <c r="D5">
        <f>B5*0.000000000001</f>
        <v>1.2E-8</v>
      </c>
      <c r="E5" t="s">
        <v>24</v>
      </c>
    </row>
    <row r="6" spans="1:5" x14ac:dyDescent="0.25">
      <c r="A6" t="s">
        <v>185</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4:E17"/>
  <sheetViews>
    <sheetView workbookViewId="0">
      <selection activeCell="U50" sqref="U50"/>
    </sheetView>
  </sheetViews>
  <sheetFormatPr defaultRowHeight="12.5" x14ac:dyDescent="0.25"/>
  <sheetData>
    <row r="4" spans="1:5" x14ac:dyDescent="0.25">
      <c r="A4" t="s">
        <v>6</v>
      </c>
      <c r="B4">
        <f>Fsw</f>
        <v>405680</v>
      </c>
    </row>
    <row r="6" spans="1:5" x14ac:dyDescent="0.25">
      <c r="A6" t="s">
        <v>151</v>
      </c>
      <c r="B6" s="41">
        <v>20</v>
      </c>
      <c r="C6" t="s">
        <v>23</v>
      </c>
      <c r="D6">
        <f>B6/1000000</f>
        <v>2.0000000000000002E-5</v>
      </c>
      <c r="E6" t="s">
        <v>24</v>
      </c>
    </row>
    <row r="7" spans="1:5" x14ac:dyDescent="0.25">
      <c r="A7" t="s">
        <v>142</v>
      </c>
      <c r="B7" s="41">
        <v>0.5</v>
      </c>
      <c r="C7" t="s">
        <v>63</v>
      </c>
      <c r="D7">
        <f>B7/1000</f>
        <v>5.0000000000000001E-4</v>
      </c>
      <c r="E7" t="s">
        <v>20</v>
      </c>
    </row>
    <row r="9" spans="1:5" x14ac:dyDescent="0.25">
      <c r="A9" t="s">
        <v>152</v>
      </c>
      <c r="B9" s="41">
        <v>68</v>
      </c>
      <c r="C9" t="s">
        <v>23</v>
      </c>
      <c r="D9">
        <f>B9/1000000</f>
        <v>6.7999999999999999E-5</v>
      </c>
      <c r="E9" t="s">
        <v>24</v>
      </c>
    </row>
    <row r="10" spans="1:5" x14ac:dyDescent="0.25">
      <c r="A10" t="s">
        <v>143</v>
      </c>
      <c r="B10" s="41">
        <v>20</v>
      </c>
      <c r="C10" t="s">
        <v>63</v>
      </c>
      <c r="D10">
        <f>B10/1000</f>
        <v>0.02</v>
      </c>
      <c r="E10" t="s">
        <v>20</v>
      </c>
    </row>
    <row r="13" spans="1:5" x14ac:dyDescent="0.25">
      <c r="A13" t="s">
        <v>154</v>
      </c>
      <c r="B13">
        <f>(D6/(D6+D9))*SQRT((D10*D9*B4)^2+1)/SQRT((((D7+D10)*D6*D9/(D9+D6))*B4)^2+1)</f>
        <v>0.25745123601218944</v>
      </c>
      <c r="C13" t="s">
        <v>153</v>
      </c>
    </row>
    <row r="14" spans="1:5" x14ac:dyDescent="0.25">
      <c r="A14" t="s">
        <v>155</v>
      </c>
      <c r="B14">
        <f>1-B13</f>
        <v>0.74254876398781056</v>
      </c>
      <c r="C14" t="s">
        <v>153</v>
      </c>
    </row>
    <row r="16" spans="1:5" x14ac:dyDescent="0.25">
      <c r="A16" t="s">
        <v>154</v>
      </c>
      <c r="B16" t="e">
        <f>B13*(Iripple1/(2*SQRT(3)))</f>
        <v>#NAME?</v>
      </c>
      <c r="C16" t="s">
        <v>1</v>
      </c>
    </row>
    <row r="17" spans="1:3" x14ac:dyDescent="0.25">
      <c r="A17" t="s">
        <v>155</v>
      </c>
      <c r="B17" t="e">
        <f>B14*(Iripple1/(2*SQRT(3)))</f>
        <v>#NAME?</v>
      </c>
      <c r="C17"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297</vt:i4>
      </vt:variant>
    </vt:vector>
  </HeadingPairs>
  <TitlesOfParts>
    <vt:vector size="312" baseType="lpstr">
      <vt:lpstr>Design Regulator</vt:lpstr>
      <vt:lpstr>Input Filters</vt:lpstr>
      <vt:lpstr>Design Input Filter</vt:lpstr>
      <vt:lpstr>BOM &amp; Schematic</vt:lpstr>
      <vt:lpstr>EVM</vt:lpstr>
      <vt:lpstr>Variable Management</vt:lpstr>
      <vt:lpstr>Schematic Management</vt:lpstr>
      <vt:lpstr>Stability Calculations</vt:lpstr>
      <vt:lpstr>Bode Plot Management</vt:lpstr>
      <vt:lpstr>Efficiency Calculations</vt:lpstr>
      <vt:lpstr>Efficiency Plot Management</vt:lpstr>
      <vt:lpstr>Input Filter Calculations</vt:lpstr>
      <vt:lpstr>Standard Value Calculator</vt:lpstr>
      <vt:lpstr>Snubber</vt:lpstr>
      <vt:lpstr>Parallel Output Caps</vt:lpstr>
      <vt:lpstr>_Don1</vt:lpstr>
      <vt:lpstr>_Don2</vt:lpstr>
      <vt:lpstr>Acs</vt:lpstr>
      <vt:lpstr>Acs_Ch2</vt:lpstr>
      <vt:lpstr>Adc</vt:lpstr>
      <vt:lpstr>AEA</vt:lpstr>
      <vt:lpstr>Afb</vt:lpstr>
      <vt:lpstr>Afb_Ch2</vt:lpstr>
      <vt:lpstr>Afbr</vt:lpstr>
      <vt:lpstr>Am</vt:lpstr>
      <vt:lpstr>Am_buck</vt:lpstr>
      <vt:lpstr>Am_buck_Ch2</vt:lpstr>
      <vt:lpstr>Am_Ch2</vt:lpstr>
      <vt:lpstr>Attn_req</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Ccomp_AEF</vt:lpstr>
      <vt:lpstr>Cdamp_AEFstd</vt:lpstr>
      <vt:lpstr>Cdamp_PassiveStd</vt:lpstr>
      <vt:lpstr>CdampCom</vt:lpstr>
      <vt:lpstr>CdampPssv</vt:lpstr>
      <vt:lpstr>CdampSel</vt:lpstr>
      <vt:lpstr>Cdither</vt:lpstr>
      <vt:lpstr>Cdither_init</vt:lpstr>
      <vt:lpstr>Cfb</vt:lpstr>
      <vt:lpstr>Cff</vt:lpstr>
      <vt:lpstr>CfilterPssv</vt:lpstr>
      <vt:lpstr>Ch2_VOUT</vt:lpstr>
      <vt:lpstr>Cin</vt:lpstr>
      <vt:lpstr>Cin_PassiveStd</vt:lpstr>
      <vt:lpstr>CinEsrMax</vt:lpstr>
      <vt:lpstr>Cinj_AEF</vt:lpstr>
      <vt:lpstr>Cinj_AEFstd</vt:lpstr>
      <vt:lpstr>CinjCom</vt:lpstr>
      <vt:lpstr>CinjSel</vt:lpstr>
      <vt:lpstr>Cinmin</vt:lpstr>
      <vt:lpstr>COMP_TYPE</vt:lpstr>
      <vt:lpstr>Core_Loss_Ch1</vt:lpstr>
      <vt:lpstr>Coss_Q1</vt:lpstr>
      <vt:lpstr>Coss_Q2</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Csen_AEF</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Fx_infilter</vt:lpstr>
      <vt:lpstr>Fz1_u</vt:lpstr>
      <vt:lpstr>Fz1_u_Ch2</vt:lpstr>
      <vt:lpstr>GBW</vt:lpstr>
      <vt:lpstr>Gfs_Q1</vt:lpstr>
      <vt:lpstr>Gfs_Q2</vt:lpstr>
      <vt:lpstr>gm</vt:lpstr>
      <vt:lpstr>Gop_AEF</vt:lpstr>
      <vt:lpstr>Icoutrms</vt:lpstr>
      <vt:lpstr>Iin_Vinmax</vt:lpstr>
      <vt:lpstr>Iin_Vinmin</vt:lpstr>
      <vt:lpstr>Iin_Vinnom</vt:lpstr>
      <vt:lpstr>Ilimit_DC</vt:lpstr>
      <vt:lpstr>Ilimit2_DC</vt:lpstr>
      <vt:lpstr>INFILTER_TYPE</vt:lpstr>
      <vt:lpstr>Iout</vt:lpstr>
      <vt:lpstr>Iout_OCP_Vinmax</vt:lpstr>
      <vt:lpstr>Iout_OCP_Vinmin</vt:lpstr>
      <vt:lpstr>Iout_OCP_Vinnom</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L_infilter</vt:lpstr>
      <vt:lpstr>L_infilterStd</vt:lpstr>
      <vt:lpstr>LAEFCom</vt:lpstr>
      <vt:lpstr>Lf</vt:lpstr>
      <vt:lpstr>LinfilterPssv</vt:lpstr>
      <vt:lpstr>Lo_2</vt:lpstr>
      <vt:lpstr>loopPM</vt:lpstr>
      <vt:lpstr>loopxover</vt:lpstr>
      <vt:lpstr>Lopt</vt:lpstr>
      <vt:lpstr>Lopt2</vt:lpstr>
      <vt:lpstr>Ltc</vt:lpstr>
      <vt:lpstr>mc</vt:lpstr>
      <vt:lpstr>mc_buck</vt:lpstr>
      <vt:lpstr>mc_buck_Ch2</vt:lpstr>
      <vt:lpstr>mc_Ch2</vt:lpstr>
      <vt:lpstr>MODE</vt:lpstr>
      <vt:lpstr>nAEF</vt:lpstr>
      <vt:lpstr>No_RT</vt:lpstr>
      <vt:lpstr>Number_of_Phases</vt:lpstr>
      <vt:lpstr>OSC</vt:lpstr>
      <vt:lpstr>Pi</vt:lpstr>
      <vt:lpstr>Pin</vt:lpstr>
      <vt:lpstr>PLOT_TYPE</vt:lpstr>
      <vt:lpstr>pole1</vt:lpstr>
      <vt:lpstr>Pole2</vt:lpstr>
      <vt:lpstr>pole3</vt:lpstr>
      <vt:lpstr>pole4</vt:lpstr>
      <vt:lpstr>Pout</vt:lpstr>
      <vt:lpstr>'BOM &amp; Schematic'!Print_Area</vt:lpstr>
      <vt:lpstr>'Design Regulator'!Print_Area</vt:lpstr>
      <vt:lpstr>pterm1</vt:lpstr>
      <vt:lpstr>pterm2</vt:lpstr>
      <vt:lpstr>pterm3</vt:lpstr>
      <vt:lpstr>pterm4</vt:lpstr>
      <vt:lpstr>Q</vt:lpstr>
      <vt:lpstr>Q_Ch2</vt:lpstr>
      <vt:lpstr>Qg_Q1</vt:lpstr>
      <vt:lpstr>Qg_Q2</vt:lpstr>
      <vt:lpstr>Qgd_Q1</vt:lpstr>
      <vt:lpstr>Qgd_Q2</vt:lpstr>
      <vt:lpstr>Qgs_Q1</vt:lpstr>
      <vt:lpstr>Qgs_Q2</vt:lpstr>
      <vt:lpstr>Qoss_Q1</vt:lpstr>
      <vt:lpstr>Qoss_Q2</vt:lpstr>
      <vt:lpstr>Qrr_Q2</vt:lpstr>
      <vt:lpstr>QrrSky_Q2</vt:lpstr>
      <vt:lpstr>radconv</vt:lpstr>
      <vt:lpstr>Rcea1</vt:lpstr>
      <vt:lpstr>Rcea1_u</vt:lpstr>
      <vt:lpstr>Rcea2</vt:lpstr>
      <vt:lpstr>RCinEsr</vt:lpstr>
      <vt:lpstr>Rcomp_AEF</vt:lpstr>
      <vt:lpstr>RCoutEsr</vt:lpstr>
      <vt:lpstr>Rdamp_AEFstd</vt:lpstr>
      <vt:lpstr>Rdamp_PassiveStd</vt:lpstr>
      <vt:lpstr>RdampCom</vt:lpstr>
      <vt:lpstr>RdampPssv</vt:lpstr>
      <vt:lpstr>RdampSel</vt:lpstr>
      <vt:lpstr>Rdcr</vt:lpstr>
      <vt:lpstr>Rdcr2</vt:lpstr>
      <vt:lpstr>Rdson1</vt:lpstr>
      <vt:lpstr>Rdson2</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Rff</vt:lpstr>
      <vt:lpstr>Rgate1</vt:lpstr>
      <vt:lpstr>Rgate2</vt:lpstr>
      <vt:lpstr>Ri</vt:lpstr>
      <vt:lpstr>Ri_Ch2</vt:lpstr>
      <vt:lpstr>Ro</vt:lpstr>
      <vt:lpstr>Ro_Ch2</vt:lpstr>
      <vt:lpstr>RoEA</vt:lpstr>
      <vt:lpstr>Rout</vt:lpstr>
      <vt:lpstr>Rout2</vt:lpstr>
      <vt:lpstr>Rpg</vt:lpstr>
      <vt:lpstr>Rs</vt:lpstr>
      <vt:lpstr>Rs_Ch2</vt:lpstr>
      <vt:lpstr>Rs_ideal</vt:lpstr>
      <vt:lpstr>Rs2_ideal</vt:lpstr>
      <vt:lpstr>Sch_AdjVout_ExtComp_AEF</vt:lpstr>
      <vt:lpstr>Sch_AdjVout_ExtComp_nAEF</vt:lpstr>
      <vt:lpstr>Sch_AdjVout_IntComp_AEF</vt:lpstr>
      <vt:lpstr>Sch_AdjVout_IntComp_nAEF</vt:lpstr>
      <vt:lpstr>SCH_MODE</vt:lpstr>
      <vt:lpstr>SCH_SETTING</vt:lpstr>
      <vt:lpstr>Sch_SetVout_ExtComp_AEF</vt:lpstr>
      <vt:lpstr>Sch_SetVout_ExtComp_nAEF</vt:lpstr>
      <vt:lpstr>Sch_SetVout_IntComp_AEF</vt:lpstr>
      <vt:lpstr>Sch_SetVout_IntComp_nAEF</vt:lpstr>
      <vt:lpstr>Se_ext</vt:lpstr>
      <vt:lpstr>Sf</vt:lpstr>
      <vt:lpstr>Sf_Ch2</vt:lpstr>
      <vt:lpstr>SINGLE_OUTPUT</vt:lpstr>
      <vt:lpstr>Sn</vt:lpstr>
      <vt:lpstr>Sn_Ch2</vt:lpstr>
      <vt:lpstr>Ta</vt:lpstr>
      <vt:lpstr>Tf_buck</vt:lpstr>
      <vt:lpstr>Tf_Ch2</vt:lpstr>
      <vt:lpstr>ThetaCa</vt:lpstr>
      <vt:lpstr>ThetaJA_Q1</vt:lpstr>
      <vt:lpstr>ThetaJA_Q2</vt:lpstr>
      <vt:lpstr>ThetaJaCtrl</vt:lpstr>
      <vt:lpstr>TL</vt:lpstr>
      <vt:lpstr>Tr_buck</vt:lpstr>
      <vt:lpstr>Tr_Ch2</vt:lpstr>
      <vt:lpstr>Tres</vt:lpstr>
      <vt:lpstr>Trr_Q1</vt:lpstr>
      <vt:lpstr>Trr_Q2</vt:lpstr>
      <vt:lpstr>Ts</vt:lpstr>
      <vt:lpstr>Tss</vt:lpstr>
      <vt:lpstr>UVLO_TYPE</vt:lpstr>
      <vt:lpstr>VARIANT</vt:lpstr>
      <vt:lpstr>VCC</vt:lpstr>
      <vt:lpstr>VfdSky_Q2</vt:lpstr>
      <vt:lpstr>Vin</vt:lpstr>
      <vt:lpstr>VIN_max</vt:lpstr>
      <vt:lpstr>VIN_MAX_RATING</vt:lpstr>
      <vt:lpstr>VIN_min</vt:lpstr>
      <vt:lpstr>VIN_nom</vt:lpstr>
      <vt:lpstr>VinRipple_dBuV</vt:lpstr>
      <vt:lpstr>Vinripple1</vt:lpstr>
      <vt:lpstr>Vinripple2</vt:lpstr>
      <vt:lpstr>Vo1_ripple</vt:lpstr>
      <vt:lpstr>Vo2_ripple</vt:lpstr>
      <vt:lpstr>Vout</vt:lpstr>
      <vt:lpstr>VOUT_MAX_RATING</vt:lpstr>
      <vt:lpstr>VOUT_setting</vt:lpstr>
      <vt:lpstr>Vout2</vt:lpstr>
      <vt:lpstr>Vref</vt:lpstr>
      <vt:lpstr>Vsd_Q1</vt:lpstr>
      <vt:lpstr>Vsd_Q2</vt:lpstr>
      <vt:lpstr>Vsp_Q1</vt:lpstr>
      <vt:lpstr>Vsp_Q2</vt:lpstr>
      <vt:lpstr>Vth_Q1</vt:lpstr>
      <vt:lpstr>Vth_Q2</vt:lpstr>
      <vt:lpstr>w_fbff</vt:lpstr>
      <vt:lpstr>w_fbffHz</vt:lpstr>
      <vt:lpstr>wfbbHz</vt:lpstr>
      <vt:lpstr>wfbtHz</vt:lpstr>
      <vt:lpstr>wffHz</vt:lpstr>
      <vt:lpstr>wfftHz</vt:lpstr>
      <vt:lpstr>z_RHP</vt:lpstr>
      <vt:lpstr>Zero1</vt:lpstr>
      <vt:lpstr>Zero2</vt:lpstr>
      <vt:lpstr>zterm1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LM5148-Q1 Quickstart Tool</dc:title>
  <dc:creator>Timothy Hegarty;Murray, Orlando</dc:creator>
  <cp:keywords>LM5148-Q1, LM25148-Q1, LM5148, LM25148, PWM controller, current mode, PCB layout</cp:keywords>
  <cp:lastModifiedBy>Gleydura, Madison M.</cp:lastModifiedBy>
  <cp:lastPrinted>2019-05-04T17:54:08Z</cp:lastPrinted>
  <dcterms:created xsi:type="dcterms:W3CDTF">1996-10-14T23:33:28Z</dcterms:created>
  <dcterms:modified xsi:type="dcterms:W3CDTF">2025-03-16T03:19:02Z</dcterms:modified>
</cp:coreProperties>
</file>