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vedantiwari/Downloads/CE657_FINAL_PROJECT/"/>
    </mc:Choice>
  </mc:AlternateContent>
  <xr:revisionPtr revIDLastSave="0" documentId="8_{84C72F0D-D008-B54B-9AD3-56FE1A99293E}" xr6:coauthVersionLast="47" xr6:coauthVersionMax="47" xr10:uidLastSave="{00000000-0000-0000-0000-000000000000}"/>
  <bookViews>
    <workbookView xWindow="0" yWindow="680" windowWidth="28800" windowHeight="17960" xr2:uid="{E446DD25-4425-BD41-BA89-1A395981EB4F}"/>
  </bookViews>
  <sheets>
    <sheet name="Basic Assumption and Data " sheetId="1" r:id="rId1"/>
    <sheet name="Operating Cash Flow" sheetId="2" r:id="rId2"/>
    <sheet name="Debt Service" sheetId="4" r:id="rId3"/>
    <sheet name="Revenue distribution" sheetId="5" r:id="rId4"/>
    <sheet name="Sensitivity Analysis " sheetId="8" r:id="rId5"/>
  </sheets>
  <definedNames>
    <definedName name="_2006–2016__10_years__Non_Aero_revenue">'Basic Assumption and Data '!$C$113</definedName>
    <definedName name="_2016_2026__10_year__Non_Aero_Revenue">'Basic Assumption and Data '!$C$114</definedName>
    <definedName name="_2027–2036__10_years__Non_Aero_Revenue">'Basic Assumption and Data '!$C$115</definedName>
    <definedName name="AAI_before_2015">'Basic Assumption and Data '!$C$5</definedName>
    <definedName name="AAI_before_2015_2015">'Basic Assumption and Data '!$C$10</definedName>
    <definedName name="AAI_before_after_2015">'Basic Assumption and Data '!$C$14</definedName>
    <definedName name="AAI_Investment">'Basic Assumption and Data '!$D$5</definedName>
    <definedName name="AAI_Revenue_after_2015">'Basic Assumption and Data '!$G$10</definedName>
    <definedName name="AAI_Revenue_after_2025">'Basic Assumption and Data '!$G$14</definedName>
    <definedName name="AAI_Revenue_before_2015">'Basic Assumption and Data '!$G$4</definedName>
    <definedName name="Airport_Landing_Charges">'Basic Assumption and Data '!$G$25</definedName>
    <definedName name="Airport_PSF___UDF">'Basic Assumption and Data '!$G$26</definedName>
    <definedName name="Average_fare_Growth">'Basic Assumption and Data '!$C$44</definedName>
    <definedName name="Average_Fare_price_per_people">'Basic Assumption and Data '!$C$43</definedName>
    <definedName name="Base_Fare">'Basic Assumption and Data '!$G$23</definedName>
    <definedName name="depreciation_every_year_using_SL_method">'Debt Service'!$N$5</definedName>
    <definedName name="Development_Fee__charged_to_user">'Basic Assumption and Data '!$C$57</definedName>
    <definedName name="Development_Fee_yearl_equal_for_20_year">'Basic Assumption and Data '!$C$58</definedName>
    <definedName name="Discount_Rate">'Basic Assumption and Data '!$C$56</definedName>
    <definedName name="Domestic_Loan">'Basic Assumption and Data '!$C$30</definedName>
    <definedName name="Domestic_Trffic">'Basic Assumption and Data '!$C$45</definedName>
    <definedName name="Equity">'Basic Assumption and Data '!$C$22</definedName>
    <definedName name="Fare_Reveneue_cash_flow">'Operating Cash Flow'!$Q$10:$Q$40</definedName>
    <definedName name="Fragport_INvestment">'Basic Assumption and Data '!$D$6</definedName>
    <definedName name="Fraport_AG_2015_2025">'Basic Assumption and Data '!$C$11</definedName>
    <definedName name="Fraport_AG_before_2015">'Basic Assumption and Data '!$C$6</definedName>
    <definedName name="Fraport_AG_Revenue__after_2015">'Basic Assumption and Data '!$G$11</definedName>
    <definedName name="Fraport_AG_Revenue__before_2015">'Basic Assumption and Data '!$G$5</definedName>
    <definedName name="Fuel_Surcharge">'Basic Assumption and Data '!$G$24</definedName>
    <definedName name="GMR_Airport_2015___2025">'Basic Assumption and Data '!$C$9</definedName>
    <definedName name="GMR_Airport_after_2025">'Basic Assumption and Data '!$C$13</definedName>
    <definedName name="GMR_Airport_before_2015">'Basic Assumption and Data '!$C$4</definedName>
    <definedName name="GMR_Investment">'Basic Assumption and Data '!$D$4</definedName>
    <definedName name="GMR_Reveneue_after_2015">'Basic Assumption and Data '!$G$9</definedName>
    <definedName name="GMR_Reveneue_after_2025">'Basic Assumption and Data '!$G$13</definedName>
    <definedName name="GMR_Reveneue_before_2015">'Basic Assumption and Data '!$G$3</definedName>
    <definedName name="Interest_Year">'Basic Assumption and Data '!$C$32</definedName>
    <definedName name="Internal_Accruals">'Basic Assumption and Data '!$C$25</definedName>
    <definedName name="Internation_Loan_Maturity_Period">'Basic Assumption and Data '!$C$36</definedName>
    <definedName name="International_Loan">'Basic Assumption and Data '!$C$35</definedName>
    <definedName name="International_Trffic">'Basic Assumption and Data '!$C$46</definedName>
    <definedName name="Loan_Maturity_Period">'Basic Assumption and Data '!$C$31</definedName>
    <definedName name="Loan_Repayement_Domestic_Yearly">'Basic Assumption and Data '!$C$33</definedName>
    <definedName name="Loan_Repayement_Internatinal_Yearly">'Basic Assumption and Data '!$C$37</definedName>
    <definedName name="Loans">'Basic Assumption and Data '!$C$23</definedName>
    <definedName name="MAHB_investment">'Basic Assumption and Data '!$D$7</definedName>
    <definedName name="Malaysia_Airports_Holdings__MAHB__before_2015">'Basic Assumption and Data '!$C$7</definedName>
    <definedName name="Malaysia_Airports_Revenue___MAHB__before_2015">'Basic Assumption and Data '!$G$6</definedName>
    <definedName name="Net_cash_23">'Operating Cash Flow'!$S$10:$S$27</definedName>
    <definedName name="Net_cash_flow">'Operating Cash Flow'!$S$10:$S$39</definedName>
    <definedName name="Net_profit_loss">'Debt Service'!$W$10:$W$26</definedName>
    <definedName name="Non_Aero_Revenue">'Basic Assumption and Data '!$B$121:$B$151</definedName>
    <definedName name="Non_Aero_Revenue_per_acre">'Basic Assumption and Data '!$C$109</definedName>
    <definedName name="ONM_Cost__Cr">'Basic Assumption and Data '!$C$73:$C$102</definedName>
    <definedName name="PPI">'Basic Assumption and Data '!$C$45</definedName>
    <definedName name="Salvage_value__After_60_yr">'Debt Service'!$N$4</definedName>
    <definedName name="Security_Deposit">'Basic Assumption and Data '!$C$24</definedName>
    <definedName name="Security_Fee">'Basic Assumption and Data '!$G$27</definedName>
    <definedName name="Tax">'Debt Service'!$M$2</definedName>
    <definedName name="Taxes__GST">'Basic Assumption and Data '!$G$28</definedName>
    <definedName name="Total">'Basic Assumption and Data '!$C$27</definedName>
    <definedName name="Total_land">'Basic Assumption and Data '!$C$108</definedName>
    <definedName name="Total_Non_aero_Revenue_in_58_year__originally_data">'Basic Assumption and Data '!$C$110</definedName>
    <definedName name="Total_Traffic">'Basic Assumption and Data '!$C$41</definedName>
    <definedName name="Traffic_Average_CAGR">'Basic Assumption and Data '!$C$42</definedName>
    <definedName name="User_Development_cash_flow">'Operating Cash Flow'!$R$10:$R$40</definedName>
    <definedName name="User_development_fee">'Operating Cash Flow'!$R$10:$R$40</definedName>
    <definedName name="User_development_fee_Domestic">'Basic Assumption and Data '!$C$59</definedName>
    <definedName name="User_development_fee_International">'Basic Assumption and Data '!$C$60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0" i="1" l="1"/>
  <c r="B149" i="1"/>
  <c r="B148" i="1"/>
  <c r="B147" i="1"/>
  <c r="B146" i="1"/>
  <c r="B145" i="1"/>
  <c r="B144" i="1"/>
  <c r="B143" i="1"/>
  <c r="B142" i="1"/>
  <c r="B140" i="1"/>
  <c r="B139" i="1"/>
  <c r="B138" i="1"/>
  <c r="B137" i="1"/>
  <c r="B136" i="1"/>
  <c r="B135" i="1"/>
  <c r="B134" i="1"/>
  <c r="B133" i="1"/>
  <c r="B132" i="1"/>
  <c r="B130" i="1"/>
  <c r="B129" i="1"/>
  <c r="B128" i="1"/>
  <c r="B127" i="1"/>
  <c r="B126" i="1"/>
  <c r="B125" i="1"/>
  <c r="B124" i="1"/>
  <c r="B123" i="1"/>
  <c r="B122" i="1"/>
  <c r="B121" i="1"/>
  <c r="R10" i="2"/>
  <c r="R11" i="2" s="1"/>
  <c r="N10" i="2"/>
  <c r="W9" i="4"/>
  <c r="G5" i="1"/>
  <c r="G9" i="1"/>
  <c r="G3" i="1"/>
  <c r="R15" i="4"/>
  <c r="R16" i="4"/>
  <c r="R17" i="4"/>
  <c r="N5" i="4"/>
  <c r="R11" i="4" s="1"/>
  <c r="O24" i="4"/>
  <c r="Q24" i="4" s="1"/>
  <c r="J10" i="4"/>
  <c r="F10" i="4"/>
  <c r="G10" i="4"/>
  <c r="K11" i="4"/>
  <c r="K12" i="4"/>
  <c r="K13" i="4"/>
  <c r="K14" i="4"/>
  <c r="O14" i="4" s="1"/>
  <c r="Q14" i="4" s="1"/>
  <c r="K15" i="4"/>
  <c r="O15" i="4" s="1"/>
  <c r="Q15" i="4" s="1"/>
  <c r="K16" i="4"/>
  <c r="O16" i="4" s="1"/>
  <c r="Q16" i="4" s="1"/>
  <c r="K17" i="4"/>
  <c r="K18" i="4"/>
  <c r="K19" i="4"/>
  <c r="K20" i="4"/>
  <c r="K21" i="4"/>
  <c r="K22" i="4"/>
  <c r="O22" i="4" s="1"/>
  <c r="Q22" i="4" s="1"/>
  <c r="K23" i="4"/>
  <c r="O23" i="4" s="1"/>
  <c r="Q23" i="4" s="1"/>
  <c r="K10" i="4"/>
  <c r="L10" i="4" s="1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O25" i="4" s="1"/>
  <c r="Q25" i="4" s="1"/>
  <c r="G26" i="4"/>
  <c r="O26" i="4" s="1"/>
  <c r="Q26" i="4" s="1"/>
  <c r="G2" i="4"/>
  <c r="J3" i="4"/>
  <c r="J2" i="4"/>
  <c r="C37" i="1"/>
  <c r="J4" i="4" s="1"/>
  <c r="C33" i="1"/>
  <c r="G4" i="4" s="1"/>
  <c r="G3" i="4"/>
  <c r="N11" i="2" l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Q10" i="2"/>
  <c r="R23" i="4"/>
  <c r="R12" i="2"/>
  <c r="R25" i="4"/>
  <c r="R24" i="4"/>
  <c r="O17" i="4"/>
  <c r="Q17" i="4" s="1"/>
  <c r="P10" i="4"/>
  <c r="R26" i="4"/>
  <c r="R18" i="4"/>
  <c r="O21" i="4"/>
  <c r="Q21" i="4" s="1"/>
  <c r="O13" i="4"/>
  <c r="Q13" i="4" s="1"/>
  <c r="R22" i="4"/>
  <c r="R14" i="4"/>
  <c r="R13" i="4"/>
  <c r="R10" i="4"/>
  <c r="R20" i="4"/>
  <c r="R12" i="4"/>
  <c r="R21" i="4"/>
  <c r="O18" i="4"/>
  <c r="Q18" i="4" s="1"/>
  <c r="H11" i="4"/>
  <c r="H12" i="4" s="1"/>
  <c r="H13" i="4" s="1"/>
  <c r="I13" i="4" s="1"/>
  <c r="F14" i="4" s="1"/>
  <c r="R19" i="4"/>
  <c r="O12" i="4"/>
  <c r="Q12" i="4" s="1"/>
  <c r="O20" i="4"/>
  <c r="Q20" i="4" s="1"/>
  <c r="O19" i="4"/>
  <c r="Q19" i="4" s="1"/>
  <c r="O11" i="4"/>
  <c r="Q11" i="4" s="1"/>
  <c r="M10" i="4"/>
  <c r="J11" i="4" s="1"/>
  <c r="L11" i="4"/>
  <c r="O10" i="4"/>
  <c r="Q10" i="4" s="1"/>
  <c r="I11" i="4"/>
  <c r="F12" i="4" s="1"/>
  <c r="H10" i="4"/>
  <c r="I10" i="4" s="1"/>
  <c r="F11" i="4" s="1"/>
  <c r="Q11" i="2" l="1"/>
  <c r="Q12" i="2"/>
  <c r="R13" i="2"/>
  <c r="H14" i="4"/>
  <c r="V10" i="4"/>
  <c r="I12" i="4"/>
  <c r="F13" i="4" s="1"/>
  <c r="H15" i="4"/>
  <c r="I14" i="4"/>
  <c r="F15" i="4" s="1"/>
  <c r="L12" i="4"/>
  <c r="M11" i="4"/>
  <c r="J12" i="4" s="1"/>
  <c r="P12" i="4" s="1"/>
  <c r="V12" i="4" s="1"/>
  <c r="P11" i="4"/>
  <c r="V11" i="4" s="1"/>
  <c r="Q13" i="2" l="1"/>
  <c r="R14" i="2"/>
  <c r="L13" i="4"/>
  <c r="M12" i="4"/>
  <c r="J13" i="4" s="1"/>
  <c r="P13" i="4" s="1"/>
  <c r="V13" i="4" s="1"/>
  <c r="H16" i="4"/>
  <c r="I15" i="4"/>
  <c r="F16" i="4" s="1"/>
  <c r="Q14" i="2" l="1"/>
  <c r="R15" i="2"/>
  <c r="H17" i="4"/>
  <c r="I16" i="4"/>
  <c r="F17" i="4" s="1"/>
  <c r="L14" i="4"/>
  <c r="M13" i="4"/>
  <c r="J14" i="4" s="1"/>
  <c r="P14" i="4" s="1"/>
  <c r="V14" i="4" s="1"/>
  <c r="Q15" i="2" l="1"/>
  <c r="R16" i="2"/>
  <c r="L15" i="4"/>
  <c r="M14" i="4"/>
  <c r="J15" i="4" s="1"/>
  <c r="P15" i="4" s="1"/>
  <c r="V15" i="4" s="1"/>
  <c r="H18" i="4"/>
  <c r="I17" i="4"/>
  <c r="F18" i="4" s="1"/>
  <c r="Q16" i="2" l="1"/>
  <c r="R17" i="2"/>
  <c r="H19" i="4"/>
  <c r="I18" i="4"/>
  <c r="F19" i="4" s="1"/>
  <c r="L16" i="4"/>
  <c r="M15" i="4"/>
  <c r="J16" i="4" s="1"/>
  <c r="P16" i="4" s="1"/>
  <c r="V16" i="4" s="1"/>
  <c r="Q17" i="2" l="1"/>
  <c r="R18" i="2"/>
  <c r="L17" i="4"/>
  <c r="M16" i="4"/>
  <c r="J17" i="4" s="1"/>
  <c r="P17" i="4" s="1"/>
  <c r="V17" i="4" s="1"/>
  <c r="H20" i="4"/>
  <c r="I19" i="4"/>
  <c r="F20" i="4" s="1"/>
  <c r="Q18" i="2" l="1"/>
  <c r="R19" i="2"/>
  <c r="H21" i="4"/>
  <c r="I20" i="4"/>
  <c r="F21" i="4" s="1"/>
  <c r="L18" i="4"/>
  <c r="M17" i="4"/>
  <c r="J18" i="4" s="1"/>
  <c r="P18" i="4" s="1"/>
  <c r="V18" i="4" s="1"/>
  <c r="Q19" i="2" l="1"/>
  <c r="R20" i="2"/>
  <c r="L19" i="4"/>
  <c r="M18" i="4"/>
  <c r="J19" i="4" s="1"/>
  <c r="P19" i="4" s="1"/>
  <c r="V19" i="4" s="1"/>
  <c r="H22" i="4"/>
  <c r="I21" i="4"/>
  <c r="F22" i="4" s="1"/>
  <c r="Q20" i="2" l="1"/>
  <c r="R21" i="2"/>
  <c r="H23" i="4"/>
  <c r="I22" i="4"/>
  <c r="F23" i="4" s="1"/>
  <c r="L20" i="4"/>
  <c r="M19" i="4"/>
  <c r="J20" i="4" s="1"/>
  <c r="P20" i="4" s="1"/>
  <c r="V20" i="4" s="1"/>
  <c r="Q21" i="2" l="1"/>
  <c r="R22" i="2"/>
  <c r="L21" i="4"/>
  <c r="M20" i="4"/>
  <c r="J21" i="4" s="1"/>
  <c r="P21" i="4" s="1"/>
  <c r="V21" i="4" s="1"/>
  <c r="H24" i="4"/>
  <c r="I23" i="4"/>
  <c r="F24" i="4" s="1"/>
  <c r="P24" i="4" s="1"/>
  <c r="V24" i="4" s="1"/>
  <c r="Q22" i="2" l="1"/>
  <c r="R23" i="2"/>
  <c r="H25" i="4"/>
  <c r="I24" i="4"/>
  <c r="F25" i="4" s="1"/>
  <c r="P25" i="4" s="1"/>
  <c r="V25" i="4" s="1"/>
  <c r="L22" i="4"/>
  <c r="M22" i="4" s="1"/>
  <c r="J23" i="4" s="1"/>
  <c r="P23" i="4" s="1"/>
  <c r="V23" i="4" s="1"/>
  <c r="M21" i="4"/>
  <c r="J22" i="4" s="1"/>
  <c r="P22" i="4" s="1"/>
  <c r="V22" i="4" s="1"/>
  <c r="Q23" i="2" l="1"/>
  <c r="R24" i="2"/>
  <c r="H26" i="4"/>
  <c r="I26" i="4" s="1"/>
  <c r="F27" i="4" s="1"/>
  <c r="I25" i="4"/>
  <c r="F26" i="4" s="1"/>
  <c r="P26" i="4" s="1"/>
  <c r="V26" i="4" s="1"/>
  <c r="Q24" i="2" l="1"/>
  <c r="R25" i="2"/>
  <c r="Q25" i="2" l="1"/>
  <c r="R26" i="2"/>
  <c r="Q26" i="2" l="1"/>
  <c r="R27" i="2"/>
  <c r="Q27" i="2" l="1"/>
  <c r="R28" i="2"/>
  <c r="Q28" i="2" l="1"/>
  <c r="R29" i="2"/>
  <c r="Q29" i="2" l="1"/>
  <c r="R30" i="2"/>
  <c r="Q30" i="2" l="1"/>
  <c r="R31" i="2"/>
  <c r="Q31" i="2" l="1"/>
  <c r="R32" i="2"/>
  <c r="Q32" i="2" l="1"/>
  <c r="R33" i="2"/>
  <c r="Q33" i="2" l="1"/>
  <c r="R34" i="2"/>
  <c r="Q34" i="2" l="1"/>
  <c r="R35" i="2"/>
  <c r="Q35" i="2" l="1"/>
  <c r="R36" i="2"/>
  <c r="P10" i="2" a="1"/>
  <c r="P10" i="2" s="1"/>
  <c r="O10" i="2" a="1"/>
  <c r="F10" i="2"/>
  <c r="G10" i="2"/>
  <c r="H10" i="2"/>
  <c r="M10" i="2"/>
  <c r="D7" i="1"/>
  <c r="K10" i="2" s="1"/>
  <c r="D6" i="1"/>
  <c r="L10" i="2" s="1"/>
  <c r="D5" i="1"/>
  <c r="J10" i="2" s="1"/>
  <c r="D4" i="1"/>
  <c r="I10" i="2" s="1"/>
  <c r="G13" i="1"/>
  <c r="G11" i="1"/>
  <c r="G6" i="1"/>
  <c r="C110" i="1"/>
  <c r="O10" i="2" l="1"/>
  <c r="S10" i="2" s="1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6" i="2"/>
  <c r="Q36" i="2"/>
  <c r="S35" i="2"/>
  <c r="R37" i="2"/>
  <c r="E10" i="4" l="1" a="1"/>
  <c r="S23" i="4" s="1"/>
  <c r="S37" i="2"/>
  <c r="Q37" i="2"/>
  <c r="R38" i="2"/>
  <c r="U23" i="4" l="1"/>
  <c r="X23" i="4"/>
  <c r="Y23" i="4" s="1"/>
  <c r="W23" i="4" s="1"/>
  <c r="T23" i="4"/>
  <c r="S12" i="4"/>
  <c r="S26" i="4"/>
  <c r="S14" i="4"/>
  <c r="S20" i="4"/>
  <c r="E10" i="4"/>
  <c r="S10" i="4" s="1"/>
  <c r="S11" i="4"/>
  <c r="S21" i="4"/>
  <c r="S19" i="4"/>
  <c r="S18" i="4"/>
  <c r="S24" i="4"/>
  <c r="S16" i="4"/>
  <c r="S22" i="4"/>
  <c r="S17" i="4"/>
  <c r="S13" i="4"/>
  <c r="S15" i="4"/>
  <c r="S25" i="4"/>
  <c r="S38" i="2"/>
  <c r="Q38" i="2"/>
  <c r="R39" i="2"/>
  <c r="U17" i="4" l="1"/>
  <c r="X17" i="4"/>
  <c r="Y17" i="4" s="1"/>
  <c r="W17" i="4" s="1"/>
  <c r="T17" i="4"/>
  <c r="U22" i="4"/>
  <c r="X22" i="4"/>
  <c r="Y22" i="4" s="1"/>
  <c r="W22" i="4" s="1"/>
  <c r="T22" i="4"/>
  <c r="U20" i="4"/>
  <c r="T20" i="4"/>
  <c r="X20" i="4"/>
  <c r="Y20" i="4" s="1"/>
  <c r="W20" i="4" s="1"/>
  <c r="U16" i="4"/>
  <c r="T16" i="4"/>
  <c r="X16" i="4"/>
  <c r="Y16" i="4" s="1"/>
  <c r="W16" i="4" s="1"/>
  <c r="U14" i="4"/>
  <c r="X14" i="4"/>
  <c r="Y14" i="4" s="1"/>
  <c r="W14" i="4" s="1"/>
  <c r="T14" i="4"/>
  <c r="U24" i="4"/>
  <c r="T24" i="4"/>
  <c r="X24" i="4"/>
  <c r="Y24" i="4" s="1"/>
  <c r="W24" i="4" s="1"/>
  <c r="U19" i="4"/>
  <c r="X19" i="4"/>
  <c r="Y19" i="4" s="1"/>
  <c r="W19" i="4" s="1"/>
  <c r="T19" i="4"/>
  <c r="U10" i="4"/>
  <c r="X10" i="4"/>
  <c r="Y10" i="4" s="1"/>
  <c r="W10" i="4" s="1"/>
  <c r="T10" i="4"/>
  <c r="U26" i="4"/>
  <c r="X26" i="4"/>
  <c r="Y26" i="4" s="1"/>
  <c r="W26" i="4" s="1"/>
  <c r="T26" i="4"/>
  <c r="U18" i="4"/>
  <c r="X18" i="4"/>
  <c r="Y18" i="4" s="1"/>
  <c r="W18" i="4" s="1"/>
  <c r="T18" i="4"/>
  <c r="U25" i="4"/>
  <c r="X25" i="4"/>
  <c r="Y25" i="4" s="1"/>
  <c r="W25" i="4" s="1"/>
  <c r="T25" i="4"/>
  <c r="U15" i="4"/>
  <c r="X15" i="4"/>
  <c r="Y15" i="4" s="1"/>
  <c r="W15" i="4" s="1"/>
  <c r="T15" i="4"/>
  <c r="U21" i="4"/>
  <c r="X21" i="4"/>
  <c r="Y21" i="4" s="1"/>
  <c r="W21" i="4" s="1"/>
  <c r="T21" i="4"/>
  <c r="U12" i="4"/>
  <c r="T12" i="4"/>
  <c r="X12" i="4"/>
  <c r="Y12" i="4" s="1"/>
  <c r="W12" i="4" s="1"/>
  <c r="U13" i="4"/>
  <c r="X13" i="4"/>
  <c r="Y13" i="4" s="1"/>
  <c r="W13" i="4" s="1"/>
  <c r="T13" i="4"/>
  <c r="U11" i="4"/>
  <c r="X11" i="4"/>
  <c r="Y11" i="4" s="1"/>
  <c r="W11" i="4" s="1"/>
  <c r="T11" i="4"/>
  <c r="S39" i="2"/>
  <c r="Q39" i="2"/>
  <c r="W31" i="4" l="1"/>
  <c r="W30" i="4"/>
  <c r="E8" i="5" a="1"/>
  <c r="I11" i="5" s="1"/>
  <c r="F16" i="5" l="1"/>
  <c r="H15" i="5"/>
  <c r="G23" i="5"/>
  <c r="I12" i="5"/>
  <c r="H11" i="5"/>
  <c r="G22" i="5"/>
  <c r="G17" i="5"/>
  <c r="H17" i="5"/>
  <c r="I19" i="5"/>
  <c r="I21" i="5"/>
  <c r="G10" i="5"/>
  <c r="H10" i="5"/>
  <c r="F19" i="5"/>
  <c r="I9" i="5"/>
  <c r="I18" i="5"/>
  <c r="H14" i="5"/>
  <c r="G20" i="5"/>
  <c r="I22" i="5"/>
  <c r="F12" i="5"/>
  <c r="G12" i="5"/>
  <c r="F9" i="5"/>
  <c r="G15" i="5"/>
  <c r="G21" i="5"/>
  <c r="G16" i="5"/>
  <c r="I13" i="5"/>
  <c r="F24" i="5"/>
  <c r="F14" i="5"/>
  <c r="I24" i="5"/>
  <c r="F10" i="5"/>
  <c r="F13" i="5"/>
  <c r="H9" i="5"/>
  <c r="H18" i="5"/>
  <c r="G24" i="5"/>
  <c r="G18" i="5"/>
  <c r="G13" i="5"/>
  <c r="H13" i="5"/>
  <c r="F20" i="5"/>
  <c r="G11" i="5"/>
  <c r="G14" i="5"/>
  <c r="G19" i="5"/>
  <c r="I14" i="5"/>
  <c r="F11" i="5"/>
  <c r="I23" i="5"/>
  <c r="F17" i="5"/>
  <c r="I16" i="5"/>
  <c r="G9" i="5"/>
  <c r="F21" i="5"/>
  <c r="I17" i="5"/>
  <c r="E8" i="5"/>
  <c r="I8" i="5" s="1"/>
  <c r="I20" i="5"/>
  <c r="F23" i="5"/>
  <c r="H12" i="5"/>
  <c r="F18" i="5"/>
  <c r="I10" i="5"/>
  <c r="H16" i="5"/>
  <c r="I15" i="5"/>
  <c r="F15" i="5"/>
  <c r="F22" i="5"/>
  <c r="F8" i="5" l="1"/>
  <c r="H8" i="5"/>
  <c r="G8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<sst xmlns="http://schemas.openxmlformats.org/spreadsheetml/2006/main" count="298" uniqueCount="201">
  <si>
    <t xml:space="preserve">Information / Reason </t>
  </si>
  <si>
    <t xml:space="preserve">Ownership </t>
  </si>
  <si>
    <t xml:space="preserve">Revenue share </t>
  </si>
  <si>
    <t>Partner</t>
  </si>
  <si>
    <t>Equity (2006)</t>
  </si>
  <si>
    <t xml:space="preserve">Amount </t>
  </si>
  <si>
    <t xml:space="preserve">GMR Reveneue before 2015 </t>
  </si>
  <si>
    <t>54% of 54 %</t>
  </si>
  <si>
    <t>Role</t>
  </si>
  <si>
    <t xml:space="preserve">GMR Airport before 2015 </t>
  </si>
  <si>
    <t>AAI Revenue before 2015</t>
  </si>
  <si>
    <t>Active (Project Manager, EPC Oversight)</t>
  </si>
  <si>
    <t>AAI before 2015</t>
  </si>
  <si>
    <t>Fraport AG Revenue  before 2015</t>
  </si>
  <si>
    <t>10% of 54%</t>
  </si>
  <si>
    <t>Public Regulator, JV Partner</t>
  </si>
  <si>
    <t>Fraport AG before 2015</t>
  </si>
  <si>
    <t>Malaysia Airports Revenue  (MAHB) before 2015</t>
  </si>
  <si>
    <t>Passive Equity, Operational Advice</t>
  </si>
  <si>
    <t>Malaysia Airports Holdings (MAHB) before 2015</t>
  </si>
  <si>
    <t>Passive Equity, Technical Input</t>
  </si>
  <si>
    <t>2015-2025</t>
  </si>
  <si>
    <t>GMR Airport 2015 - 2025</t>
  </si>
  <si>
    <t xml:space="preserve">GMR Reveneue after 2015 </t>
  </si>
  <si>
    <t>64% of 54%</t>
  </si>
  <si>
    <t>AAI before 2015-2015</t>
  </si>
  <si>
    <t>AAI Revenue after 2015</t>
  </si>
  <si>
    <t>Fraport AG 2015-2025</t>
  </si>
  <si>
    <t>Fraport AG Revenue  after 2015</t>
  </si>
  <si>
    <t>After 2025</t>
  </si>
  <si>
    <t>after 2025</t>
  </si>
  <si>
    <t>GMR Airport after 2025</t>
  </si>
  <si>
    <t xml:space="preserve">GMR Reveneue after 2025 </t>
  </si>
  <si>
    <t>74% of 54%</t>
  </si>
  <si>
    <t>AAI before after 2015</t>
  </si>
  <si>
    <t>AAI Revenue after 2025</t>
  </si>
  <si>
    <t xml:space="preserve">Fare distribution of Airport per Passenger </t>
  </si>
  <si>
    <t xml:space="preserve">FUNDING </t>
  </si>
  <si>
    <t>Funding Source</t>
  </si>
  <si>
    <t>Amount (Rs. Crore)</t>
  </si>
  <si>
    <t>% of Total</t>
  </si>
  <si>
    <t>Suppose a passenger pays ₹10,000 ticket fare:</t>
  </si>
  <si>
    <t>Equity</t>
  </si>
  <si>
    <t>Item</t>
  </si>
  <si>
    <t>Amount (₹)</t>
  </si>
  <si>
    <t>Received By</t>
  </si>
  <si>
    <t>Loans</t>
  </si>
  <si>
    <t>Base Fare</t>
  </si>
  <si>
    <t>Airline</t>
  </si>
  <si>
    <t>Security Deposit</t>
  </si>
  <si>
    <t>Fuel Surcharge</t>
  </si>
  <si>
    <t>Internal Accruals</t>
  </si>
  <si>
    <t>Airport Landing Charges</t>
  </si>
  <si>
    <t>Airport (via airline)</t>
  </si>
  <si>
    <t>Development Fee (charged to user)</t>
  </si>
  <si>
    <t>Airport PSF + UDF</t>
  </si>
  <si>
    <t>Airport (via airline collection)</t>
  </si>
  <si>
    <t>Total</t>
  </si>
  <si>
    <t>Security Fee</t>
  </si>
  <si>
    <t>CISF (via airport)</t>
  </si>
  <si>
    <t>Loan</t>
  </si>
  <si>
    <t>Loan Terms(Domestic)</t>
  </si>
  <si>
    <t>Domestic Loan</t>
  </si>
  <si>
    <t>Cr</t>
  </si>
  <si>
    <t>Loan Maturity Period</t>
  </si>
  <si>
    <t>year</t>
  </si>
  <si>
    <t xml:space="preserve">Interest Year </t>
  </si>
  <si>
    <t>Loan Repayement Domestic Yearly</t>
  </si>
  <si>
    <t>Loan Term(International)</t>
  </si>
  <si>
    <t xml:space="preserve">International Loan </t>
  </si>
  <si>
    <t>cr</t>
  </si>
  <si>
    <t>Internation Loan Maturity Period</t>
  </si>
  <si>
    <t>Loan Repayement Internatinal Yearly</t>
  </si>
  <si>
    <t xml:space="preserve">Revenue &amp; Expenditure </t>
  </si>
  <si>
    <t xml:space="preserve">Traffic </t>
  </si>
  <si>
    <t>Major Projects Executed After SPV Formation</t>
  </si>
  <si>
    <t>Phase 1A (2006–2008):</t>
  </si>
  <si>
    <t>million</t>
  </si>
  <si>
    <t>Refurbishment of Terminals 1 and 2</t>
  </si>
  <si>
    <t>Traffic Average CAGR</t>
  </si>
  <si>
    <t>pa</t>
  </si>
  <si>
    <t>New Runway (11/29), associated taxiways</t>
  </si>
  <si>
    <t>Construction of T1D and cargo facility</t>
  </si>
  <si>
    <t>Phase 1B (2008–2010):</t>
  </si>
  <si>
    <t>Domestic Traffic</t>
  </si>
  <si>
    <t>Construction of Terminal 3 (T3) – 34 MPPA capacity</t>
  </si>
  <si>
    <t>International Traffic</t>
  </si>
  <si>
    <t>Apron expansion, MLCP, ATC tower base</t>
  </si>
  <si>
    <t>Metro connectivity, Airport Service buildings</t>
  </si>
  <si>
    <t>Post-2010 (Ongoing Expansion):</t>
  </si>
  <si>
    <t>Commercialization of land (duty-free, retail, hotels)</t>
  </si>
  <si>
    <t>Planning for Phase II and IV (targeting 100 MPPA by 2030)</t>
  </si>
  <si>
    <t>Implementation of Development Fee (DF) and PSF-funded expansions</t>
  </si>
  <si>
    <t>User Development Fee(will be considered in revenue)</t>
  </si>
  <si>
    <t xml:space="preserve">Discount Rate </t>
  </si>
  <si>
    <t>User development fee Domestic</t>
  </si>
  <si>
    <t>rupees</t>
  </si>
  <si>
    <t>User development fee International</t>
  </si>
  <si>
    <t>Operation and Maintainance cost</t>
  </si>
  <si>
    <t>Year</t>
  </si>
  <si>
    <t>O&amp;M Cost (Cr ₹)</t>
  </si>
  <si>
    <t>Notes</t>
  </si>
  <si>
    <t>Operation Support to AAI (OMDA Schedule 23)</t>
  </si>
  <si>
    <t>Operation Support to AAI</t>
  </si>
  <si>
    <t>Transition year (employee absorption)</t>
  </si>
  <si>
    <t>Start of T3 operations (estimated)</t>
  </si>
  <si>
    <t>5% escalation</t>
  </si>
  <si>
    <t>COVID impact (10% cut)</t>
  </si>
  <si>
    <t>Recovery year</t>
  </si>
  <si>
    <t>Normal</t>
  </si>
  <si>
    <t>Projected O&amp;M Cost (Cr ₹) after 2025</t>
  </si>
  <si>
    <t xml:space="preserve">Non Aero Revenue </t>
  </si>
  <si>
    <t xml:space="preserve">Total land </t>
  </si>
  <si>
    <t>acre</t>
  </si>
  <si>
    <t xml:space="preserve">Non Aero Revenue per acre </t>
  </si>
  <si>
    <t>Total Non aero Revenue in 58 year (originally data)</t>
  </si>
  <si>
    <t>Phase</t>
  </si>
  <si>
    <t>Period</t>
  </si>
  <si>
    <t>Revenue Captured (₹ Cr)</t>
  </si>
  <si>
    <t>Phase 1</t>
  </si>
  <si>
    <t xml:space="preserve">2006–2016 (10 years) Non Aero revenue </t>
  </si>
  <si>
    <t>(15% of total)</t>
  </si>
  <si>
    <t>Phase 2</t>
  </si>
  <si>
    <t xml:space="preserve">2016-2026 (10 year) Non Aero Revenue </t>
  </si>
  <si>
    <t>(25% of total)</t>
  </si>
  <si>
    <t>Phase 3</t>
  </si>
  <si>
    <t xml:space="preserve">2027–2036 (10 years) Non Aero Revenue </t>
  </si>
  <si>
    <t>(30% of total)</t>
  </si>
  <si>
    <t>Revenue (Cr ₹)</t>
  </si>
  <si>
    <t>CAPITAL</t>
  </si>
  <si>
    <t>REVENUE</t>
  </si>
  <si>
    <t>INFLOW</t>
  </si>
  <si>
    <t xml:space="preserve">End of Year </t>
  </si>
  <si>
    <t>Security</t>
  </si>
  <si>
    <t>Loan Amount</t>
  </si>
  <si>
    <t>Equitys</t>
  </si>
  <si>
    <t>GMR Equity</t>
  </si>
  <si>
    <t>AAI Equity</t>
  </si>
  <si>
    <t>MBHA Equity</t>
  </si>
  <si>
    <t>Fragport Equity</t>
  </si>
  <si>
    <t>interna accural</t>
  </si>
  <si>
    <t xml:space="preserve">User development fee Domestic </t>
  </si>
  <si>
    <t>ONM cost</t>
  </si>
  <si>
    <t>Total user development fee</t>
  </si>
  <si>
    <t xml:space="preserve">Net cash flow </t>
  </si>
  <si>
    <t xml:space="preserve">Domestic </t>
  </si>
  <si>
    <t xml:space="preserve">International </t>
  </si>
  <si>
    <t>Tax</t>
  </si>
  <si>
    <t>Corporate TAX</t>
  </si>
  <si>
    <t>interest</t>
  </si>
  <si>
    <t>EMI</t>
  </si>
  <si>
    <t>Salvage value (After 60 yr)</t>
  </si>
  <si>
    <t xml:space="preserve">Maturity period </t>
  </si>
  <si>
    <t xml:space="preserve">17 year </t>
  </si>
  <si>
    <t xml:space="preserve">13 year </t>
  </si>
  <si>
    <t>depreciation(every year using SL method)</t>
  </si>
  <si>
    <t>Interest coverage ration</t>
  </si>
  <si>
    <t>Debt coverage ratio</t>
  </si>
  <si>
    <t xml:space="preserve">Total debt service </t>
  </si>
  <si>
    <t>Net cash flows</t>
  </si>
  <si>
    <t>End of Year</t>
  </si>
  <si>
    <t>Net cash flow/EBITA</t>
  </si>
  <si>
    <t>Interest payment_D</t>
  </si>
  <si>
    <t>Principal Payment_D</t>
  </si>
  <si>
    <t>Cummulative Principal_D</t>
  </si>
  <si>
    <t xml:space="preserve">End of Year Remaining Principal </t>
  </si>
  <si>
    <t>Interest Payment_I</t>
  </si>
  <si>
    <t>Principal Payment_I</t>
  </si>
  <si>
    <t>Cummulative Principal_I</t>
  </si>
  <si>
    <t>End of year Principal Remaining</t>
  </si>
  <si>
    <t xml:space="preserve">Total Principal paid </t>
  </si>
  <si>
    <t xml:space="preserve">Total Interest paid </t>
  </si>
  <si>
    <t>Tax adj principal</t>
  </si>
  <si>
    <t>Depreciation</t>
  </si>
  <si>
    <t xml:space="preserve">EBIT/Interest payment </t>
  </si>
  <si>
    <t>NPV</t>
  </si>
  <si>
    <t>IRR</t>
  </si>
  <si>
    <t>Net Cash flows</t>
  </si>
  <si>
    <t>Allocation to GMR</t>
  </si>
  <si>
    <t>Allocation to AAI</t>
  </si>
  <si>
    <t>Allocation to HBMH</t>
  </si>
  <si>
    <t xml:space="preserve">Allocation to Fragport </t>
  </si>
  <si>
    <t xml:space="preserve">Sensitivity Analysis </t>
  </si>
  <si>
    <t xml:space="preserve">Loan Interest rate change </t>
  </si>
  <si>
    <t xml:space="preserve">Rate </t>
  </si>
  <si>
    <t xml:space="preserve"> IRR</t>
  </si>
  <si>
    <t xml:space="preserve"> NPV</t>
  </si>
  <si>
    <t xml:space="preserve">User development fee International </t>
  </si>
  <si>
    <t>Non Aero  Revenue Data</t>
  </si>
  <si>
    <t xml:space="preserve">Non Aero </t>
  </si>
  <si>
    <t>OMC</t>
  </si>
  <si>
    <t xml:space="preserve">Revenue Distribution </t>
  </si>
  <si>
    <t>FOR 30 YEAR ,Ramp up method</t>
  </si>
  <si>
    <t xml:space="preserve">   =&gt;</t>
  </si>
  <si>
    <t xml:space="preserve">Revenue share distribution </t>
  </si>
  <si>
    <t>Total Traffic (2010)</t>
  </si>
  <si>
    <t>EBIT</t>
  </si>
  <si>
    <t>Taxable incone</t>
  </si>
  <si>
    <t>income after Tax</t>
  </si>
  <si>
    <t>Crores</t>
  </si>
  <si>
    <t>ALL AMOUNT in Crores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</si>
</sst>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₹&quot;#,##0_);[Red]\(&quot;₹&quot;#,##0\)"/>
    <numFmt numFmtId="8" formatCode="&quot;₹&quot;#,##0.00_);[Red]\(&quot;₹&quot;#,##0.00\)"/>
  </numFmts>
  <fonts count="1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 Narrow"/>
    </font>
    <font>
      <sz val="24"/>
      <color theme="5" tint="0.59999389629810485"/>
      <name val="Aptos Narrow"/>
      <scheme val="minor"/>
    </font>
    <font>
      <b/>
      <sz val="14"/>
      <color theme="1"/>
      <name val="Aptos Narrow"/>
      <scheme val="minor"/>
    </font>
    <font>
      <b/>
      <sz val="11"/>
      <color rgb="FF000000"/>
      <name val="Aptos Narrow"/>
      <family val="2"/>
      <scheme val="minor"/>
    </font>
    <font>
      <sz val="20"/>
      <color theme="1"/>
      <name val="Aptos Narrow (Body)"/>
    </font>
    <font>
      <sz val="22"/>
      <color theme="1"/>
      <name val="Aptos Narrow (Body)"/>
    </font>
    <font>
      <b/>
      <sz val="28"/>
      <color theme="1"/>
      <name val="Aptos Narrow"/>
      <scheme val="minor"/>
    </font>
    <font>
      <sz val="28"/>
      <color theme="1"/>
      <name val="Aptos Narrow"/>
      <scheme val="minor"/>
    </font>
    <font>
      <sz val="22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4EA72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8">
    <xf numFmtId="0" fontId="0" fillId="0" borderId="0" xfId="0"/>
    <xf numFmtId="0" fontId="4" fillId="0" borderId="0" xfId="0" applyFont="1"/>
    <xf numFmtId="9" fontId="0" fillId="0" borderId="0" xfId="0" applyNumberFormat="1"/>
    <xf numFmtId="0" fontId="5" fillId="0" borderId="0" xfId="0" applyFont="1"/>
    <xf numFmtId="0" fontId="5" fillId="2" borderId="0" xfId="0" applyFont="1" applyFill="1"/>
    <xf numFmtId="0" fontId="0" fillId="2" borderId="0" xfId="0" applyFill="1"/>
    <xf numFmtId="0" fontId="0" fillId="3" borderId="0" xfId="0" applyFill="1"/>
    <xf numFmtId="0" fontId="7" fillId="0" borderId="0" xfId="0" applyFont="1"/>
    <xf numFmtId="9" fontId="7" fillId="0" borderId="0" xfId="0" applyNumberFormat="1" applyFont="1"/>
    <xf numFmtId="0" fontId="3" fillId="2" borderId="0" xfId="0" applyFont="1" applyFill="1"/>
    <xf numFmtId="6" fontId="0" fillId="0" borderId="0" xfId="0" applyNumberFormat="1"/>
    <xf numFmtId="0" fontId="8" fillId="0" borderId="0" xfId="0" applyFont="1"/>
    <xf numFmtId="0" fontId="0" fillId="8" borderId="0" xfId="0" applyFill="1"/>
    <xf numFmtId="0" fontId="9" fillId="9" borderId="0" xfId="0" applyFont="1" applyFill="1"/>
    <xf numFmtId="0" fontId="0" fillId="0" borderId="3" xfId="0" applyBorder="1"/>
    <xf numFmtId="0" fontId="14" fillId="2" borderId="0" xfId="0" applyFont="1" applyFill="1"/>
    <xf numFmtId="8" fontId="15" fillId="12" borderId="0" xfId="0" applyNumberFormat="1" applyFont="1" applyFill="1"/>
    <xf numFmtId="9" fontId="15" fillId="12" borderId="0" xfId="0" applyNumberFormat="1" applyFont="1" applyFill="1"/>
    <xf numFmtId="0" fontId="5" fillId="8" borderId="0" xfId="0" applyFont="1" applyFill="1"/>
    <xf numFmtId="8" fontId="0" fillId="0" borderId="0" xfId="0" applyNumberFormat="1"/>
    <xf numFmtId="0" fontId="0" fillId="0" borderId="4" xfId="0" applyBorder="1"/>
    <xf numFmtId="0" fontId="0" fillId="7" borderId="4" xfId="0" applyFill="1" applyBorder="1"/>
    <xf numFmtId="0" fontId="2" fillId="8" borderId="0" xfId="0" applyFont="1" applyFill="1"/>
    <xf numFmtId="0" fontId="7" fillId="0" borderId="4" xfId="0" applyFont="1" applyBorder="1" applyAlignment="1">
      <alignment wrapText="1"/>
    </xf>
    <xf numFmtId="0" fontId="3" fillId="0" borderId="4" xfId="0" applyFont="1" applyBorder="1"/>
    <xf numFmtId="6" fontId="0" fillId="0" borderId="4" xfId="0" applyNumberFormat="1" applyBorder="1"/>
    <xf numFmtId="0" fontId="0" fillId="2" borderId="4" xfId="0" applyFill="1" applyBorder="1"/>
    <xf numFmtId="0" fontId="7" fillId="0" borderId="4" xfId="0" applyFont="1" applyBorder="1"/>
    <xf numFmtId="9" fontId="7" fillId="0" borderId="4" xfId="0" applyNumberFormat="1" applyFont="1" applyBorder="1"/>
    <xf numFmtId="10" fontId="0" fillId="0" borderId="4" xfId="0" applyNumberFormat="1" applyBorder="1"/>
    <xf numFmtId="0" fontId="7" fillId="3" borderId="4" xfId="0" applyFont="1" applyFill="1" applyBorder="1"/>
    <xf numFmtId="0" fontId="5" fillId="2" borderId="4" xfId="0" applyFont="1" applyFill="1" applyBorder="1"/>
    <xf numFmtId="0" fontId="4" fillId="0" borderId="4" xfId="0" applyFont="1" applyBorder="1"/>
    <xf numFmtId="9" fontId="0" fillId="0" borderId="4" xfId="0" applyNumberFormat="1" applyBorder="1"/>
    <xf numFmtId="2" fontId="0" fillId="0" borderId="4" xfId="0" applyNumberFormat="1" applyBorder="1"/>
    <xf numFmtId="0" fontId="0" fillId="3" borderId="4" xfId="0" applyFill="1" applyBorder="1"/>
    <xf numFmtId="0" fontId="6" fillId="0" borderId="4" xfId="0" applyFont="1" applyBorder="1"/>
    <xf numFmtId="9" fontId="0" fillId="0" borderId="4" xfId="1" applyFont="1" applyBorder="1"/>
    <xf numFmtId="8" fontId="0" fillId="0" borderId="4" xfId="0" applyNumberFormat="1" applyBorder="1"/>
    <xf numFmtId="0" fontId="10" fillId="2" borderId="4" xfId="0" applyFont="1" applyFill="1" applyBorder="1"/>
    <xf numFmtId="4" fontId="0" fillId="0" borderId="4" xfId="0" applyNumberFormat="1" applyBorder="1"/>
    <xf numFmtId="0" fontId="8" fillId="0" borderId="4" xfId="0" applyFont="1" applyBorder="1"/>
    <xf numFmtId="0" fontId="0" fillId="4" borderId="4" xfId="0" applyFill="1" applyBorder="1"/>
    <xf numFmtId="0" fontId="0" fillId="5" borderId="4" xfId="0" applyFill="1" applyBorder="1"/>
    <xf numFmtId="0" fontId="5" fillId="2" borderId="5" xfId="0" applyFont="1" applyFill="1" applyBorder="1"/>
    <xf numFmtId="0" fontId="0" fillId="0" borderId="6" xfId="0" applyBorder="1"/>
    <xf numFmtId="0" fontId="4" fillId="0" borderId="6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3" xfId="0" applyFont="1" applyBorder="1"/>
    <xf numFmtId="0" fontId="0" fillId="0" borderId="5" xfId="0" applyBorder="1"/>
    <xf numFmtId="0" fontId="0" fillId="13" borderId="4" xfId="0" applyFill="1" applyBorder="1"/>
    <xf numFmtId="10" fontId="0" fillId="13" borderId="4" xfId="0" applyNumberFormat="1" applyFill="1" applyBorder="1"/>
    <xf numFmtId="9" fontId="0" fillId="13" borderId="4" xfId="0" applyNumberFormat="1" applyFill="1" applyBorder="1"/>
    <xf numFmtId="8" fontId="0" fillId="13" borderId="4" xfId="0" applyNumberFormat="1" applyFill="1" applyBorder="1"/>
    <xf numFmtId="0" fontId="0" fillId="6" borderId="4" xfId="0" applyFill="1" applyBorder="1"/>
    <xf numFmtId="0" fontId="13" fillId="7" borderId="4" xfId="0" applyFont="1" applyFill="1" applyBorder="1"/>
    <xf numFmtId="0" fontId="7" fillId="10" borderId="4" xfId="0" applyFont="1" applyFill="1" applyBorder="1"/>
    <xf numFmtId="10" fontId="7" fillId="0" borderId="4" xfId="0" applyNumberFormat="1" applyFont="1" applyBorder="1"/>
    <xf numFmtId="0" fontId="11" fillId="0" borderId="4" xfId="0" applyFont="1" applyBorder="1"/>
    <xf numFmtId="0" fontId="12" fillId="0" borderId="4" xfId="0" applyFont="1" applyBorder="1"/>
    <xf numFmtId="0" fontId="7" fillId="11" borderId="4" xfId="0" applyFont="1" applyFill="1" applyBorder="1"/>
    <xf numFmtId="4" fontId="0" fillId="13" borderId="4" xfId="0" applyNumberFormat="1" applyFill="1" applyBorder="1"/>
    <xf numFmtId="0" fontId="0" fillId="8" borderId="2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16" fillId="12" borderId="0" xfId="0" applyFont="1" applyFill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945B4-DA86-7B4D-B79E-9F5DA8E0ED01}">
  <dimension ref="A1:J151"/>
  <sheetViews>
    <sheetView tabSelected="1" zoomScale="84" workbookViewId="0">
      <selection activeCell="E42" sqref="E42"/>
    </sheetView>
  </sheetViews>
  <sheetFormatPr baseColWidth="10" defaultColWidth="11" defaultRowHeight="16" x14ac:dyDescent="0.2"/>
  <cols>
    <col min="1" max="1" width="19" customWidth="1"/>
    <col min="2" max="2" width="46.6640625" customWidth="1"/>
    <col min="3" max="3" width="20.33203125" customWidth="1"/>
    <col min="4" max="4" width="15.83203125" customWidth="1"/>
    <col min="6" max="6" width="41.5" customWidth="1"/>
    <col min="8" max="8" width="25" bestFit="1" customWidth="1"/>
    <col min="10" max="10" width="65.5" customWidth="1"/>
  </cols>
  <sheetData>
    <row r="1" spans="2:10" ht="17" thickBot="1" x14ac:dyDescent="0.25">
      <c r="J1" s="44" t="s">
        <v>0</v>
      </c>
    </row>
    <row r="2" spans="2:10" ht="18" thickTop="1" thickBot="1" x14ac:dyDescent="0.25">
      <c r="B2" s="31" t="s">
        <v>1</v>
      </c>
      <c r="C2" s="32"/>
      <c r="D2" s="20"/>
      <c r="F2" s="26" t="s">
        <v>2</v>
      </c>
      <c r="G2" s="20"/>
      <c r="H2" s="20"/>
      <c r="J2" s="45"/>
    </row>
    <row r="3" spans="2:10" ht="18" thickTop="1" thickBot="1" x14ac:dyDescent="0.25">
      <c r="B3" s="32" t="s">
        <v>3</v>
      </c>
      <c r="C3" s="32" t="s">
        <v>4</v>
      </c>
      <c r="D3" s="32" t="s">
        <v>5</v>
      </c>
      <c r="E3" s="1"/>
      <c r="F3" s="27" t="s">
        <v>6</v>
      </c>
      <c r="G3" s="28">
        <f>(100-45.99)*(0.54)%</f>
        <v>0.29165400000000002</v>
      </c>
      <c r="H3" s="29" t="s">
        <v>7</v>
      </c>
      <c r="J3" s="46" t="s">
        <v>8</v>
      </c>
    </row>
    <row r="4" spans="2:10" ht="18" thickTop="1" thickBot="1" x14ac:dyDescent="0.25">
      <c r="B4" s="20" t="s">
        <v>9</v>
      </c>
      <c r="C4" s="33">
        <v>0.54</v>
      </c>
      <c r="D4" s="34">
        <f>(GMR_Airport_before_2015)*Domestic_Loan</f>
        <v>1971.0000000000002</v>
      </c>
      <c r="E4" s="2"/>
      <c r="F4" s="27" t="s">
        <v>10</v>
      </c>
      <c r="G4" s="28">
        <v>0.45989999999999998</v>
      </c>
      <c r="H4" s="29">
        <v>0.45989999999999998</v>
      </c>
      <c r="J4" s="45" t="s">
        <v>11</v>
      </c>
    </row>
    <row r="5" spans="2:10" ht="18" thickTop="1" thickBot="1" x14ac:dyDescent="0.25">
      <c r="B5" s="20" t="s">
        <v>12</v>
      </c>
      <c r="C5" s="33">
        <v>0.26</v>
      </c>
      <c r="D5" s="34">
        <f>AAI_before_2015*Equity</f>
        <v>598</v>
      </c>
      <c r="E5" s="2"/>
      <c r="F5" s="27" t="s">
        <v>13</v>
      </c>
      <c r="G5" s="28">
        <f>(100-45.99)*(0.01)%</f>
        <v>5.4010000000000004E-3</v>
      </c>
      <c r="H5" s="20" t="s">
        <v>14</v>
      </c>
      <c r="J5" s="45" t="s">
        <v>15</v>
      </c>
    </row>
    <row r="6" spans="2:10" ht="18" thickTop="1" thickBot="1" x14ac:dyDescent="0.25">
      <c r="B6" s="20" t="s">
        <v>16</v>
      </c>
      <c r="C6" s="33">
        <v>0.1</v>
      </c>
      <c r="D6" s="34">
        <f>Fraport_AG_before_2015*Equity</f>
        <v>230</v>
      </c>
      <c r="E6" s="2"/>
      <c r="F6" s="27" t="s">
        <v>17</v>
      </c>
      <c r="G6" s="28">
        <f>(100-45.99)*(0.01)%</f>
        <v>5.4010000000000004E-3</v>
      </c>
      <c r="H6" s="20" t="s">
        <v>14</v>
      </c>
      <c r="J6" s="45" t="s">
        <v>18</v>
      </c>
    </row>
    <row r="7" spans="2:10" ht="18" thickTop="1" thickBot="1" x14ac:dyDescent="0.25">
      <c r="B7" s="20" t="s">
        <v>19</v>
      </c>
      <c r="C7" s="33">
        <v>0.1</v>
      </c>
      <c r="D7" s="34">
        <f>Malaysia_Airports_Holdings__MAHB__before_2015*Equity</f>
        <v>230</v>
      </c>
      <c r="E7" s="2"/>
      <c r="F7" s="20"/>
      <c r="G7" s="20"/>
      <c r="H7" s="20"/>
      <c r="J7" s="14" t="s">
        <v>20</v>
      </c>
    </row>
    <row r="8" spans="2:10" ht="18" thickTop="1" thickBot="1" x14ac:dyDescent="0.25">
      <c r="B8" s="35" t="s">
        <v>21</v>
      </c>
      <c r="C8" s="33"/>
      <c r="D8" s="33"/>
      <c r="E8" s="2"/>
      <c r="F8" s="30" t="s">
        <v>21</v>
      </c>
      <c r="G8" s="20"/>
      <c r="H8" s="20"/>
    </row>
    <row r="9" spans="2:10" ht="18" thickTop="1" thickBot="1" x14ac:dyDescent="0.25">
      <c r="B9" s="27" t="s">
        <v>22</v>
      </c>
      <c r="C9" s="28">
        <v>0.64</v>
      </c>
      <c r="D9" s="33"/>
      <c r="E9" s="2"/>
      <c r="F9" s="27" t="s">
        <v>23</v>
      </c>
      <c r="G9" s="28">
        <f>(100-45.99)*(0.64)%</f>
        <v>0.34566400000000003</v>
      </c>
      <c r="H9" s="20" t="s">
        <v>24</v>
      </c>
    </row>
    <row r="10" spans="2:10" ht="18" thickTop="1" thickBot="1" x14ac:dyDescent="0.25">
      <c r="B10" s="27" t="s">
        <v>25</v>
      </c>
      <c r="C10" s="28">
        <v>0.26</v>
      </c>
      <c r="D10" s="33"/>
      <c r="E10" s="2"/>
      <c r="F10" s="27" t="s">
        <v>26</v>
      </c>
      <c r="G10" s="28">
        <v>0.46</v>
      </c>
      <c r="H10" s="20"/>
    </row>
    <row r="11" spans="2:10" ht="18" thickTop="1" thickBot="1" x14ac:dyDescent="0.25">
      <c r="B11" s="27" t="s">
        <v>27</v>
      </c>
      <c r="C11" s="28">
        <v>0.1</v>
      </c>
      <c r="D11" s="33"/>
      <c r="E11" s="2"/>
      <c r="F11" s="27" t="s">
        <v>28</v>
      </c>
      <c r="G11" s="28">
        <f>(100-45.99)*(0.01)%</f>
        <v>5.4010000000000004E-3</v>
      </c>
      <c r="H11" s="20" t="s">
        <v>14</v>
      </c>
    </row>
    <row r="12" spans="2:10" ht="18" thickTop="1" thickBot="1" x14ac:dyDescent="0.25">
      <c r="B12" s="30" t="s">
        <v>29</v>
      </c>
      <c r="C12" s="28"/>
      <c r="D12" s="33"/>
      <c r="E12" s="2"/>
      <c r="F12" s="30" t="s">
        <v>30</v>
      </c>
      <c r="G12" s="28"/>
      <c r="H12" s="20"/>
    </row>
    <row r="13" spans="2:10" ht="18" thickTop="1" thickBot="1" x14ac:dyDescent="0.25">
      <c r="B13" s="27" t="s">
        <v>31</v>
      </c>
      <c r="C13" s="28">
        <v>0.74</v>
      </c>
      <c r="D13" s="33"/>
      <c r="E13" s="2"/>
      <c r="F13" s="27" t="s">
        <v>32</v>
      </c>
      <c r="G13" s="28">
        <f>(100-45.99)*(0.74)%</f>
        <v>0.39967400000000003</v>
      </c>
      <c r="H13" s="20" t="s">
        <v>33</v>
      </c>
    </row>
    <row r="14" spans="2:10" ht="18" thickTop="1" thickBot="1" x14ac:dyDescent="0.25">
      <c r="B14" s="27" t="s">
        <v>34</v>
      </c>
      <c r="C14" s="28">
        <v>0.26</v>
      </c>
      <c r="D14" s="33"/>
      <c r="E14" s="2"/>
      <c r="F14" s="27" t="s">
        <v>35</v>
      </c>
      <c r="G14" s="28">
        <v>0.46</v>
      </c>
      <c r="H14" s="20"/>
    </row>
    <row r="15" spans="2:10" ht="17" thickTop="1" x14ac:dyDescent="0.2">
      <c r="B15" s="7"/>
      <c r="C15" s="8"/>
      <c r="D15" s="2"/>
      <c r="E15" s="2"/>
    </row>
    <row r="16" spans="2:10" x14ac:dyDescent="0.2">
      <c r="C16" s="2"/>
      <c r="D16" s="2"/>
      <c r="E16" s="2"/>
    </row>
    <row r="17" spans="1:8" x14ac:dyDescent="0.2">
      <c r="C17" s="2"/>
      <c r="D17" s="2"/>
      <c r="E17" s="2"/>
    </row>
    <row r="18" spans="1:8" x14ac:dyDescent="0.2">
      <c r="C18" s="2"/>
      <c r="D18" s="2"/>
    </row>
    <row r="19" spans="1:8" ht="17" thickBot="1" x14ac:dyDescent="0.25">
      <c r="F19" s="9" t="s">
        <v>36</v>
      </c>
    </row>
    <row r="20" spans="1:8" ht="18" thickTop="1" thickBot="1" x14ac:dyDescent="0.25">
      <c r="B20" s="31" t="s">
        <v>37</v>
      </c>
      <c r="C20" s="20"/>
      <c r="D20" s="20"/>
    </row>
    <row r="21" spans="1:8" ht="19" thickTop="1" thickBot="1" x14ac:dyDescent="0.25">
      <c r="B21" s="32" t="s">
        <v>38</v>
      </c>
      <c r="C21" s="20" t="s">
        <v>39</v>
      </c>
      <c r="D21" s="20" t="s">
        <v>40</v>
      </c>
      <c r="F21" s="23" t="s">
        <v>41</v>
      </c>
      <c r="G21" s="20"/>
      <c r="H21" s="20"/>
    </row>
    <row r="22" spans="1:8" ht="18" thickTop="1" thickBot="1" x14ac:dyDescent="0.25">
      <c r="B22" s="20" t="s">
        <v>42</v>
      </c>
      <c r="C22" s="20">
        <v>2300</v>
      </c>
      <c r="D22" s="29">
        <v>0.184</v>
      </c>
      <c r="F22" s="24" t="s">
        <v>43</v>
      </c>
      <c r="G22" s="24" t="s">
        <v>44</v>
      </c>
      <c r="H22" s="24" t="s">
        <v>45</v>
      </c>
    </row>
    <row r="23" spans="1:8" ht="18" thickTop="1" thickBot="1" x14ac:dyDescent="0.25">
      <c r="B23" s="20" t="s">
        <v>46</v>
      </c>
      <c r="C23" s="20">
        <v>5266</v>
      </c>
      <c r="D23" s="29">
        <v>0.42109999999999997</v>
      </c>
      <c r="F23" s="20" t="s">
        <v>47</v>
      </c>
      <c r="G23" s="25">
        <v>7000</v>
      </c>
      <c r="H23" s="20" t="s">
        <v>48</v>
      </c>
    </row>
    <row r="24" spans="1:8" ht="18" thickTop="1" thickBot="1" x14ac:dyDescent="0.25">
      <c r="B24" s="20" t="s">
        <v>49</v>
      </c>
      <c r="C24" s="20">
        <v>1471</v>
      </c>
      <c r="D24" s="29">
        <v>0.1177</v>
      </c>
      <c r="F24" s="20" t="s">
        <v>50</v>
      </c>
      <c r="G24" s="25">
        <v>500</v>
      </c>
      <c r="H24" s="20" t="s">
        <v>48</v>
      </c>
    </row>
    <row r="25" spans="1:8" ht="18" thickTop="1" thickBot="1" x14ac:dyDescent="0.25">
      <c r="B25" s="20" t="s">
        <v>51</v>
      </c>
      <c r="C25" s="20">
        <v>50</v>
      </c>
      <c r="D25" s="29">
        <v>4.0000000000000001E-3</v>
      </c>
      <c r="F25" s="20" t="s">
        <v>52</v>
      </c>
      <c r="G25" s="25">
        <v>300</v>
      </c>
      <c r="H25" s="20" t="s">
        <v>53</v>
      </c>
    </row>
    <row r="26" spans="1:8" ht="18" thickTop="1" thickBot="1" x14ac:dyDescent="0.25">
      <c r="B26" s="20" t="s">
        <v>54</v>
      </c>
      <c r="C26" s="20">
        <v>3415</v>
      </c>
      <c r="D26" s="29">
        <v>0.2732</v>
      </c>
      <c r="F26" s="20" t="s">
        <v>55</v>
      </c>
      <c r="G26" s="25">
        <v>600</v>
      </c>
      <c r="H26" s="20" t="s">
        <v>56</v>
      </c>
    </row>
    <row r="27" spans="1:8" ht="18" thickTop="1" thickBot="1" x14ac:dyDescent="0.25">
      <c r="B27" s="20" t="s">
        <v>57</v>
      </c>
      <c r="C27" s="20">
        <v>12505</v>
      </c>
      <c r="D27" s="33">
        <v>1</v>
      </c>
      <c r="F27" s="20" t="s">
        <v>58</v>
      </c>
      <c r="G27" s="25">
        <v>100</v>
      </c>
      <c r="H27" s="20" t="s">
        <v>59</v>
      </c>
    </row>
    <row r="28" spans="1:8" ht="18" thickTop="1" thickBot="1" x14ac:dyDescent="0.25">
      <c r="A28" s="6" t="s">
        <v>60</v>
      </c>
      <c r="G28" s="10"/>
    </row>
    <row r="29" spans="1:8" ht="18" thickTop="1" thickBot="1" x14ac:dyDescent="0.25">
      <c r="B29" s="31" t="s">
        <v>61</v>
      </c>
      <c r="C29" s="20"/>
      <c r="D29" s="20"/>
    </row>
    <row r="30" spans="1:8" ht="18" thickTop="1" thickBot="1" x14ac:dyDescent="0.25">
      <c r="B30" s="20" t="s">
        <v>62</v>
      </c>
      <c r="C30" s="20">
        <v>3650</v>
      </c>
      <c r="D30" s="20" t="s">
        <v>63</v>
      </c>
    </row>
    <row r="31" spans="1:8" ht="18" thickTop="1" thickBot="1" x14ac:dyDescent="0.25">
      <c r="B31" s="36" t="s">
        <v>64</v>
      </c>
      <c r="C31" s="20">
        <v>17</v>
      </c>
      <c r="D31" s="20" t="s">
        <v>65</v>
      </c>
    </row>
    <row r="32" spans="1:8" ht="18" thickTop="1" thickBot="1" x14ac:dyDescent="0.25">
      <c r="B32" s="20" t="s">
        <v>66</v>
      </c>
      <c r="C32" s="37">
        <v>0.105</v>
      </c>
      <c r="D32" s="20"/>
    </row>
    <row r="33" spans="1:10" ht="18" thickTop="1" thickBot="1" x14ac:dyDescent="0.25">
      <c r="B33" s="20" t="s">
        <v>67</v>
      </c>
      <c r="C33" s="38">
        <f>-(PMT(Interest_Year,Loan_Maturity_Period,Domestic_Loan,0))</f>
        <v>469.18870915930268</v>
      </c>
      <c r="D33" s="20" t="s">
        <v>63</v>
      </c>
    </row>
    <row r="34" spans="1:10" ht="18" thickTop="1" thickBot="1" x14ac:dyDescent="0.25">
      <c r="B34" s="31" t="s">
        <v>68</v>
      </c>
      <c r="C34" s="20"/>
      <c r="D34" s="20"/>
    </row>
    <row r="35" spans="1:10" ht="18" thickTop="1" thickBot="1" x14ac:dyDescent="0.25">
      <c r="B35" s="20" t="s">
        <v>69</v>
      </c>
      <c r="C35" s="20">
        <v>1616</v>
      </c>
      <c r="D35" s="20" t="s">
        <v>70</v>
      </c>
    </row>
    <row r="36" spans="1:10" ht="18" thickTop="1" thickBot="1" x14ac:dyDescent="0.25">
      <c r="B36" s="36" t="s">
        <v>71</v>
      </c>
      <c r="C36" s="20">
        <v>13</v>
      </c>
      <c r="D36" s="20" t="s">
        <v>65</v>
      </c>
    </row>
    <row r="37" spans="1:10" ht="18" thickTop="1" thickBot="1" x14ac:dyDescent="0.25">
      <c r="B37" s="36" t="s">
        <v>72</v>
      </c>
      <c r="C37" s="38">
        <f>-PMT(Interest_Year,Internation_Loan_Maturity_Period,International_Loan,0)</f>
        <v>233.42330950624293</v>
      </c>
      <c r="D37" s="20" t="s">
        <v>70</v>
      </c>
    </row>
    <row r="38" spans="1:10" ht="18" thickTop="1" thickBot="1" x14ac:dyDescent="0.25">
      <c r="A38" s="6" t="s">
        <v>73</v>
      </c>
      <c r="J38" s="3"/>
    </row>
    <row r="39" spans="1:10" ht="18" thickTop="1" thickBot="1" x14ac:dyDescent="0.25">
      <c r="B39" s="31" t="s">
        <v>74</v>
      </c>
      <c r="C39" s="20"/>
      <c r="D39" s="20"/>
      <c r="J39" s="47" t="s">
        <v>75</v>
      </c>
    </row>
    <row r="40" spans="1:10" ht="18" thickTop="1" thickBot="1" x14ac:dyDescent="0.25">
      <c r="B40" s="20"/>
      <c r="C40" s="20"/>
      <c r="D40" s="20"/>
      <c r="J40" s="48" t="s">
        <v>76</v>
      </c>
    </row>
    <row r="41" spans="1:10" ht="18" thickTop="1" thickBot="1" x14ac:dyDescent="0.25">
      <c r="B41" s="20" t="s">
        <v>195</v>
      </c>
      <c r="C41" s="20">
        <v>23</v>
      </c>
      <c r="D41" s="20" t="s">
        <v>77</v>
      </c>
      <c r="J41" s="48" t="s">
        <v>78</v>
      </c>
    </row>
    <row r="42" spans="1:10" ht="18" thickTop="1" thickBot="1" x14ac:dyDescent="0.25">
      <c r="B42" s="36" t="s">
        <v>79</v>
      </c>
      <c r="C42" s="33">
        <v>6.5000000000000002E-2</v>
      </c>
      <c r="D42" s="20" t="s">
        <v>80</v>
      </c>
      <c r="J42" s="48" t="s">
        <v>81</v>
      </c>
    </row>
    <row r="43" spans="1:10" ht="18" thickTop="1" thickBot="1" x14ac:dyDescent="0.25">
      <c r="B43" s="36"/>
      <c r="C43" s="36"/>
      <c r="D43" s="20"/>
      <c r="J43" s="48" t="s">
        <v>82</v>
      </c>
    </row>
    <row r="44" spans="1:10" ht="18" thickTop="1" thickBot="1" x14ac:dyDescent="0.25">
      <c r="B44" s="36"/>
      <c r="C44" s="33"/>
      <c r="D44" s="20"/>
      <c r="J44" s="48" t="s">
        <v>83</v>
      </c>
    </row>
    <row r="45" spans="1:10" ht="18" thickTop="1" thickBot="1" x14ac:dyDescent="0.25">
      <c r="B45" s="36" t="s">
        <v>84</v>
      </c>
      <c r="C45" s="34">
        <v>0.67</v>
      </c>
      <c r="D45" s="20"/>
      <c r="J45" s="48" t="s">
        <v>85</v>
      </c>
    </row>
    <row r="46" spans="1:10" ht="18" thickTop="1" thickBot="1" x14ac:dyDescent="0.25">
      <c r="B46" s="36" t="s">
        <v>86</v>
      </c>
      <c r="C46" s="34">
        <v>0.33</v>
      </c>
      <c r="D46" s="20"/>
      <c r="J46" s="48" t="s">
        <v>87</v>
      </c>
    </row>
    <row r="47" spans="1:10" ht="17" thickTop="1" x14ac:dyDescent="0.2">
      <c r="J47" s="48" t="s">
        <v>88</v>
      </c>
    </row>
    <row r="48" spans="1:10" x14ac:dyDescent="0.2">
      <c r="J48" s="48" t="s">
        <v>89</v>
      </c>
    </row>
    <row r="49" spans="2:10" x14ac:dyDescent="0.2">
      <c r="B49" s="3"/>
      <c r="J49" s="48" t="s">
        <v>90</v>
      </c>
    </row>
    <row r="50" spans="2:10" x14ac:dyDescent="0.2">
      <c r="J50" s="48" t="s">
        <v>91</v>
      </c>
    </row>
    <row r="51" spans="2:10" ht="17" thickBot="1" x14ac:dyDescent="0.25">
      <c r="J51" s="49" t="s">
        <v>92</v>
      </c>
    </row>
    <row r="54" spans="2:10" ht="17" thickBot="1" x14ac:dyDescent="0.25"/>
    <row r="55" spans="2:10" ht="18" thickTop="1" thickBot="1" x14ac:dyDescent="0.25">
      <c r="B55" s="31" t="s">
        <v>93</v>
      </c>
      <c r="C55" s="20"/>
      <c r="D55" s="20"/>
    </row>
    <row r="56" spans="2:10" ht="18" thickTop="1" thickBot="1" x14ac:dyDescent="0.25">
      <c r="B56" s="20" t="s">
        <v>94</v>
      </c>
      <c r="C56" s="33">
        <v>0.12</v>
      </c>
      <c r="D56" s="20"/>
    </row>
    <row r="57" spans="2:10" ht="18" thickTop="1" thickBot="1" x14ac:dyDescent="0.25">
      <c r="B57" s="20" t="s">
        <v>54</v>
      </c>
      <c r="C57" s="20">
        <v>3415</v>
      </c>
      <c r="D57" s="20" t="s">
        <v>70</v>
      </c>
    </row>
    <row r="58" spans="2:10" ht="18" thickTop="1" thickBot="1" x14ac:dyDescent="0.25">
      <c r="B58" s="20"/>
      <c r="C58" s="38"/>
      <c r="D58" s="20"/>
    </row>
    <row r="59" spans="2:10" ht="18" thickTop="1" thickBot="1" x14ac:dyDescent="0.25">
      <c r="B59" s="20" t="s">
        <v>95</v>
      </c>
      <c r="C59" s="20">
        <v>275</v>
      </c>
      <c r="D59" s="20" t="s">
        <v>96</v>
      </c>
    </row>
    <row r="60" spans="2:10" ht="18" thickTop="1" thickBot="1" x14ac:dyDescent="0.25">
      <c r="B60" s="20" t="s">
        <v>97</v>
      </c>
      <c r="C60" s="20">
        <v>650</v>
      </c>
      <c r="D60" s="20" t="s">
        <v>96</v>
      </c>
    </row>
    <row r="61" spans="2:10" ht="17" thickTop="1" x14ac:dyDescent="0.2"/>
    <row r="62" spans="2:10" x14ac:dyDescent="0.2">
      <c r="B62" s="3"/>
    </row>
    <row r="67" spans="1:10" x14ac:dyDescent="0.2">
      <c r="A67" s="6" t="s">
        <v>190</v>
      </c>
      <c r="B67" s="4" t="s">
        <v>98</v>
      </c>
    </row>
    <row r="71" spans="1:10" ht="17" thickBot="1" x14ac:dyDescent="0.25"/>
    <row r="72" spans="1:10" ht="18" thickTop="1" thickBot="1" x14ac:dyDescent="0.25">
      <c r="B72" s="35" t="s">
        <v>99</v>
      </c>
      <c r="C72" s="35" t="s">
        <v>100</v>
      </c>
      <c r="J72" s="50" t="s">
        <v>101</v>
      </c>
    </row>
    <row r="73" spans="1:10" ht="18" thickTop="1" thickBot="1" x14ac:dyDescent="0.25">
      <c r="B73" s="20">
        <v>2010</v>
      </c>
      <c r="C73" s="20">
        <v>96</v>
      </c>
      <c r="J73" s="45" t="s">
        <v>102</v>
      </c>
    </row>
    <row r="74" spans="1:10" ht="18" thickTop="1" thickBot="1" x14ac:dyDescent="0.25">
      <c r="B74" s="20">
        <v>2011</v>
      </c>
      <c r="C74" s="20">
        <v>119</v>
      </c>
      <c r="J74" s="45" t="s">
        <v>103</v>
      </c>
    </row>
    <row r="75" spans="1:10" ht="18" thickTop="1" thickBot="1" x14ac:dyDescent="0.25">
      <c r="B75" s="20">
        <v>2012</v>
      </c>
      <c r="C75" s="20">
        <v>128</v>
      </c>
      <c r="J75" s="45" t="s">
        <v>103</v>
      </c>
    </row>
    <row r="76" spans="1:10" ht="18" thickTop="1" thickBot="1" x14ac:dyDescent="0.25">
      <c r="B76" s="20">
        <v>2013</v>
      </c>
      <c r="C76" s="20">
        <v>60</v>
      </c>
      <c r="J76" s="45" t="s">
        <v>104</v>
      </c>
    </row>
    <row r="77" spans="1:10" ht="18" thickTop="1" thickBot="1" x14ac:dyDescent="0.25">
      <c r="B77" s="20">
        <v>2014</v>
      </c>
      <c r="C77" s="20">
        <v>120</v>
      </c>
      <c r="J77" s="45" t="s">
        <v>105</v>
      </c>
    </row>
    <row r="78" spans="1:10" ht="18" thickTop="1" thickBot="1" x14ac:dyDescent="0.25">
      <c r="B78" s="20">
        <v>2015</v>
      </c>
      <c r="C78" s="20">
        <v>126</v>
      </c>
      <c r="J78" s="45" t="s">
        <v>106</v>
      </c>
    </row>
    <row r="79" spans="1:10" ht="18" thickTop="1" thickBot="1" x14ac:dyDescent="0.25">
      <c r="B79" s="20">
        <v>2016</v>
      </c>
      <c r="C79" s="20">
        <v>132.30000000000001</v>
      </c>
      <c r="J79" s="45" t="s">
        <v>106</v>
      </c>
    </row>
    <row r="80" spans="1:10" ht="18" thickTop="1" thickBot="1" x14ac:dyDescent="0.25">
      <c r="B80" s="20">
        <v>2017</v>
      </c>
      <c r="C80" s="20">
        <v>138.9</v>
      </c>
      <c r="J80" s="45" t="s">
        <v>106</v>
      </c>
    </row>
    <row r="81" spans="2:10" ht="18" thickTop="1" thickBot="1" x14ac:dyDescent="0.25">
      <c r="B81" s="20">
        <v>2018</v>
      </c>
      <c r="C81" s="20">
        <v>145.80000000000001</v>
      </c>
      <c r="J81" s="45" t="s">
        <v>106</v>
      </c>
    </row>
    <row r="82" spans="2:10" ht="18" thickTop="1" thickBot="1" x14ac:dyDescent="0.25">
      <c r="B82" s="20">
        <v>2019</v>
      </c>
      <c r="C82" s="20">
        <v>153.1</v>
      </c>
      <c r="J82" s="45" t="s">
        <v>106</v>
      </c>
    </row>
    <row r="83" spans="2:10" ht="18" thickTop="1" thickBot="1" x14ac:dyDescent="0.25">
      <c r="B83" s="20">
        <v>2020</v>
      </c>
      <c r="C83" s="20">
        <v>160.80000000000001</v>
      </c>
      <c r="J83" s="45" t="s">
        <v>106</v>
      </c>
    </row>
    <row r="84" spans="2:10" ht="18" thickTop="1" thickBot="1" x14ac:dyDescent="0.25">
      <c r="B84" s="20">
        <v>2021</v>
      </c>
      <c r="C84" s="20">
        <v>168.8</v>
      </c>
      <c r="J84" s="45" t="s">
        <v>106</v>
      </c>
    </row>
    <row r="85" spans="2:10" ht="18" thickTop="1" thickBot="1" x14ac:dyDescent="0.25">
      <c r="B85" s="20">
        <v>2022</v>
      </c>
      <c r="C85" s="20">
        <v>177.2</v>
      </c>
      <c r="J85" s="45" t="s">
        <v>106</v>
      </c>
    </row>
    <row r="86" spans="2:10" ht="18" thickTop="1" thickBot="1" x14ac:dyDescent="0.25">
      <c r="B86" s="20">
        <v>2023</v>
      </c>
      <c r="C86" s="20">
        <v>186.1</v>
      </c>
      <c r="J86" s="45" t="s">
        <v>106</v>
      </c>
    </row>
    <row r="87" spans="2:10" ht="18" thickTop="1" thickBot="1" x14ac:dyDescent="0.25">
      <c r="B87" s="20">
        <v>2024</v>
      </c>
      <c r="C87" s="20">
        <v>167.5</v>
      </c>
      <c r="J87" s="45" t="s">
        <v>107</v>
      </c>
    </row>
    <row r="88" spans="2:10" ht="18" thickTop="1" thickBot="1" x14ac:dyDescent="0.25">
      <c r="B88" s="20">
        <v>2025</v>
      </c>
      <c r="C88" s="20">
        <v>176</v>
      </c>
      <c r="J88" s="45" t="s">
        <v>108</v>
      </c>
    </row>
    <row r="89" spans="2:10" ht="18" thickTop="1" thickBot="1" x14ac:dyDescent="0.25">
      <c r="B89" s="20">
        <v>2026</v>
      </c>
      <c r="C89" s="20">
        <v>185</v>
      </c>
      <c r="J89" s="45" t="s">
        <v>109</v>
      </c>
    </row>
    <row r="90" spans="2:10" ht="18" thickTop="1" thickBot="1" x14ac:dyDescent="0.25">
      <c r="B90" s="20">
        <v>2027</v>
      </c>
      <c r="C90" s="20">
        <v>194.2</v>
      </c>
      <c r="J90" s="45" t="s">
        <v>109</v>
      </c>
    </row>
    <row r="91" spans="2:10" ht="18" thickTop="1" thickBot="1" x14ac:dyDescent="0.25">
      <c r="B91" s="27">
        <v>2028</v>
      </c>
      <c r="C91" s="27">
        <v>203.9</v>
      </c>
      <c r="J91" s="14" t="s">
        <v>110</v>
      </c>
    </row>
    <row r="92" spans="2:10" ht="18" thickTop="1" thickBot="1" x14ac:dyDescent="0.25">
      <c r="B92" s="27">
        <v>2029</v>
      </c>
      <c r="C92" s="27">
        <v>214.1</v>
      </c>
    </row>
    <row r="93" spans="2:10" ht="18" thickTop="1" thickBot="1" x14ac:dyDescent="0.25">
      <c r="B93" s="27">
        <v>2030</v>
      </c>
      <c r="C93" s="27">
        <v>224.8</v>
      </c>
    </row>
    <row r="94" spans="2:10" ht="18" thickTop="1" thickBot="1" x14ac:dyDescent="0.25">
      <c r="B94" s="27">
        <v>2031</v>
      </c>
      <c r="C94" s="27">
        <v>236</v>
      </c>
    </row>
    <row r="95" spans="2:10" ht="18" thickTop="1" thickBot="1" x14ac:dyDescent="0.25">
      <c r="B95" s="27">
        <v>2032</v>
      </c>
      <c r="C95" s="27">
        <v>247.8</v>
      </c>
    </row>
    <row r="96" spans="2:10" ht="18" thickTop="1" thickBot="1" x14ac:dyDescent="0.25">
      <c r="B96" s="27">
        <v>2033</v>
      </c>
      <c r="C96" s="27">
        <v>260.10000000000002</v>
      </c>
    </row>
    <row r="97" spans="1:4" ht="18" thickTop="1" thickBot="1" x14ac:dyDescent="0.25">
      <c r="B97" s="27">
        <v>2034</v>
      </c>
      <c r="C97" s="27">
        <v>273.10000000000002</v>
      </c>
    </row>
    <row r="98" spans="1:4" ht="18" thickTop="1" thickBot="1" x14ac:dyDescent="0.25">
      <c r="B98" s="27">
        <v>2035</v>
      </c>
      <c r="C98" s="27">
        <v>286.8</v>
      </c>
    </row>
    <row r="99" spans="1:4" ht="18" thickTop="1" thickBot="1" x14ac:dyDescent="0.25">
      <c r="B99" s="27">
        <v>2036</v>
      </c>
      <c r="C99" s="27">
        <v>301.2</v>
      </c>
    </row>
    <row r="100" spans="1:4" ht="18" thickTop="1" thickBot="1" x14ac:dyDescent="0.25">
      <c r="B100" s="27">
        <v>2037</v>
      </c>
      <c r="C100" s="27">
        <v>316.3</v>
      </c>
    </row>
    <row r="101" spans="1:4" ht="18" thickTop="1" thickBot="1" x14ac:dyDescent="0.25">
      <c r="B101" s="27">
        <v>2038</v>
      </c>
      <c r="C101" s="27">
        <v>332.1</v>
      </c>
    </row>
    <row r="102" spans="1:4" ht="18" thickTop="1" thickBot="1" x14ac:dyDescent="0.25">
      <c r="B102" s="27">
        <v>2039</v>
      </c>
      <c r="C102" s="27">
        <v>348.7</v>
      </c>
    </row>
    <row r="103" spans="1:4" ht="17" thickTop="1" x14ac:dyDescent="0.2">
      <c r="B103" s="7"/>
      <c r="C103" s="7"/>
    </row>
    <row r="105" spans="1:4" ht="17" thickBot="1" x14ac:dyDescent="0.25"/>
    <row r="106" spans="1:4" ht="21" thickTop="1" thickBot="1" x14ac:dyDescent="0.3">
      <c r="A106" s="6" t="s">
        <v>189</v>
      </c>
      <c r="B106" s="39" t="s">
        <v>188</v>
      </c>
      <c r="C106" s="20"/>
      <c r="D106" s="20"/>
    </row>
    <row r="107" spans="1:4" ht="18" thickTop="1" thickBot="1" x14ac:dyDescent="0.25">
      <c r="B107" s="20"/>
      <c r="C107" s="20"/>
      <c r="D107" s="20"/>
    </row>
    <row r="108" spans="1:4" ht="18" thickTop="1" thickBot="1" x14ac:dyDescent="0.25">
      <c r="B108" s="20" t="s">
        <v>112</v>
      </c>
      <c r="C108" s="20">
        <v>240</v>
      </c>
      <c r="D108" s="20" t="s">
        <v>113</v>
      </c>
    </row>
    <row r="109" spans="1:4" ht="18" thickTop="1" thickBot="1" x14ac:dyDescent="0.25">
      <c r="B109" s="20" t="s">
        <v>114</v>
      </c>
      <c r="C109" s="20">
        <v>681.63</v>
      </c>
      <c r="D109" s="20" t="s">
        <v>70</v>
      </c>
    </row>
    <row r="110" spans="1:4" ht="18" thickTop="1" thickBot="1" x14ac:dyDescent="0.25">
      <c r="B110" s="20" t="s">
        <v>115</v>
      </c>
      <c r="C110" s="20">
        <f>C108*C109</f>
        <v>163591.20000000001</v>
      </c>
      <c r="D110" s="20" t="s">
        <v>70</v>
      </c>
    </row>
    <row r="111" spans="1:4" ht="18" thickTop="1" thickBot="1" x14ac:dyDescent="0.25">
      <c r="B111" s="20"/>
      <c r="C111" s="20"/>
      <c r="D111" s="20"/>
    </row>
    <row r="112" spans="1:4" ht="18" thickTop="1" thickBot="1" x14ac:dyDescent="0.25">
      <c r="A112" s="20" t="s">
        <v>116</v>
      </c>
      <c r="B112" s="20" t="s">
        <v>117</v>
      </c>
      <c r="C112" s="20" t="s">
        <v>118</v>
      </c>
      <c r="D112" s="20"/>
    </row>
    <row r="113" spans="1:5" ht="18" thickTop="1" thickBot="1" x14ac:dyDescent="0.25">
      <c r="A113" s="20" t="s">
        <v>119</v>
      </c>
      <c r="B113" s="20" t="s">
        <v>120</v>
      </c>
      <c r="C113" s="40">
        <v>24538.68</v>
      </c>
      <c r="D113" s="41" t="s">
        <v>121</v>
      </c>
      <c r="E113" s="11"/>
    </row>
    <row r="114" spans="1:5" ht="18" thickTop="1" thickBot="1" x14ac:dyDescent="0.25">
      <c r="A114" s="20" t="s">
        <v>122</v>
      </c>
      <c r="B114" s="20" t="s">
        <v>123</v>
      </c>
      <c r="C114" s="40">
        <v>40897.800000000003</v>
      </c>
      <c r="D114" s="41" t="s">
        <v>124</v>
      </c>
      <c r="E114" s="11"/>
    </row>
    <row r="115" spans="1:5" ht="18" thickTop="1" thickBot="1" x14ac:dyDescent="0.25">
      <c r="A115" s="20" t="s">
        <v>125</v>
      </c>
      <c r="B115" s="20" t="s">
        <v>126</v>
      </c>
      <c r="C115" s="40">
        <v>49077.36</v>
      </c>
      <c r="D115" s="41" t="s">
        <v>127</v>
      </c>
      <c r="E115" s="11"/>
    </row>
    <row r="116" spans="1:5" ht="17" thickTop="1" x14ac:dyDescent="0.2">
      <c r="E116" s="11"/>
    </row>
    <row r="118" spans="1:5" x14ac:dyDescent="0.2">
      <c r="B118" t="s">
        <v>192</v>
      </c>
    </row>
    <row r="119" spans="1:5" ht="17" thickBot="1" x14ac:dyDescent="0.25"/>
    <row r="120" spans="1:5" ht="18" thickTop="1" thickBot="1" x14ac:dyDescent="0.25">
      <c r="A120" s="20" t="s">
        <v>99</v>
      </c>
      <c r="B120" s="20" t="s">
        <v>128</v>
      </c>
      <c r="C120" s="20" t="s">
        <v>116</v>
      </c>
    </row>
    <row r="121" spans="1:5" ht="18" thickTop="1" thickBot="1" x14ac:dyDescent="0.25">
      <c r="A121" s="20">
        <v>2010</v>
      </c>
      <c r="B121" s="20">
        <f>C113/10</f>
        <v>2453.8679999999999</v>
      </c>
      <c r="C121" s="42" t="s">
        <v>119</v>
      </c>
    </row>
    <row r="122" spans="1:5" ht="18" thickTop="1" thickBot="1" x14ac:dyDescent="0.25">
      <c r="A122" s="20">
        <v>2011</v>
      </c>
      <c r="B122" s="20">
        <f>C113/10</f>
        <v>2453.8679999999999</v>
      </c>
      <c r="C122" s="42" t="s">
        <v>119</v>
      </c>
    </row>
    <row r="123" spans="1:5" ht="18" thickTop="1" thickBot="1" x14ac:dyDescent="0.25">
      <c r="A123" s="20">
        <v>2012</v>
      </c>
      <c r="B123" s="20">
        <f>C113/10</f>
        <v>2453.8679999999999</v>
      </c>
      <c r="C123" s="42" t="s">
        <v>119</v>
      </c>
    </row>
    <row r="124" spans="1:5" ht="18" thickTop="1" thickBot="1" x14ac:dyDescent="0.25">
      <c r="A124" s="20">
        <v>2013</v>
      </c>
      <c r="B124" s="20">
        <f>C113/10</f>
        <v>2453.8679999999999</v>
      </c>
      <c r="C124" s="42" t="s">
        <v>119</v>
      </c>
    </row>
    <row r="125" spans="1:5" ht="18" thickTop="1" thickBot="1" x14ac:dyDescent="0.25">
      <c r="A125" s="20">
        <v>2014</v>
      </c>
      <c r="B125" s="20">
        <f>C113/10</f>
        <v>2453.8679999999999</v>
      </c>
      <c r="C125" s="42" t="s">
        <v>119</v>
      </c>
    </row>
    <row r="126" spans="1:5" ht="18" thickTop="1" thickBot="1" x14ac:dyDescent="0.25">
      <c r="A126" s="20">
        <v>2015</v>
      </c>
      <c r="B126" s="20">
        <f>C113/10</f>
        <v>2453.8679999999999</v>
      </c>
      <c r="C126" s="42" t="s">
        <v>119</v>
      </c>
    </row>
    <row r="127" spans="1:5" ht="18" thickTop="1" thickBot="1" x14ac:dyDescent="0.25">
      <c r="A127" s="20">
        <v>2016</v>
      </c>
      <c r="B127" s="20">
        <f>C113/10</f>
        <v>2453.8679999999999</v>
      </c>
      <c r="C127" s="42" t="s">
        <v>119</v>
      </c>
    </row>
    <row r="128" spans="1:5" ht="18" thickTop="1" thickBot="1" x14ac:dyDescent="0.25">
      <c r="A128" s="20">
        <v>2017</v>
      </c>
      <c r="B128" s="20">
        <f>C113/10</f>
        <v>2453.8679999999999</v>
      </c>
      <c r="C128" s="42" t="s">
        <v>119</v>
      </c>
    </row>
    <row r="129" spans="1:3" ht="18" thickTop="1" thickBot="1" x14ac:dyDescent="0.25">
      <c r="A129" s="20">
        <v>2018</v>
      </c>
      <c r="B129" s="20">
        <f>C113/10</f>
        <v>2453.8679999999999</v>
      </c>
      <c r="C129" s="42" t="s">
        <v>119</v>
      </c>
    </row>
    <row r="130" spans="1:3" ht="18" thickTop="1" thickBot="1" x14ac:dyDescent="0.25">
      <c r="A130" s="20">
        <v>2019</v>
      </c>
      <c r="B130" s="20">
        <f>C113/10</f>
        <v>2453.8679999999999</v>
      </c>
      <c r="C130" s="42" t="s">
        <v>119</v>
      </c>
    </row>
    <row r="131" spans="1:3" ht="18" thickTop="1" thickBot="1" x14ac:dyDescent="0.25">
      <c r="A131" s="20">
        <v>2020</v>
      </c>
      <c r="B131" s="27">
        <v>4089.78</v>
      </c>
      <c r="C131" s="42" t="s">
        <v>119</v>
      </c>
    </row>
    <row r="132" spans="1:3" ht="18" thickTop="1" thickBot="1" x14ac:dyDescent="0.25">
      <c r="A132" s="20">
        <v>2021</v>
      </c>
      <c r="B132" s="20">
        <f>C114/10</f>
        <v>4089.78</v>
      </c>
      <c r="C132" s="35" t="s">
        <v>122</v>
      </c>
    </row>
    <row r="133" spans="1:3" ht="18" thickTop="1" thickBot="1" x14ac:dyDescent="0.25">
      <c r="A133" s="20">
        <v>2022</v>
      </c>
      <c r="B133" s="20">
        <f>C114/10</f>
        <v>4089.78</v>
      </c>
      <c r="C133" s="35" t="s">
        <v>122</v>
      </c>
    </row>
    <row r="134" spans="1:3" ht="18" thickTop="1" thickBot="1" x14ac:dyDescent="0.25">
      <c r="A134" s="20">
        <v>2023</v>
      </c>
      <c r="B134" s="20">
        <f>C114/10</f>
        <v>4089.78</v>
      </c>
      <c r="C134" s="35" t="s">
        <v>122</v>
      </c>
    </row>
    <row r="135" spans="1:3" ht="18" thickTop="1" thickBot="1" x14ac:dyDescent="0.25">
      <c r="A135" s="20">
        <v>2024</v>
      </c>
      <c r="B135" s="20">
        <f>C114/10</f>
        <v>4089.78</v>
      </c>
      <c r="C135" s="35" t="s">
        <v>122</v>
      </c>
    </row>
    <row r="136" spans="1:3" ht="18" thickTop="1" thickBot="1" x14ac:dyDescent="0.25">
      <c r="A136" s="20">
        <v>2025</v>
      </c>
      <c r="B136" s="20">
        <f>C114/10</f>
        <v>4089.78</v>
      </c>
      <c r="C136" s="35" t="s">
        <v>122</v>
      </c>
    </row>
    <row r="137" spans="1:3" ht="18" thickTop="1" thickBot="1" x14ac:dyDescent="0.25">
      <c r="A137" s="20">
        <v>2026</v>
      </c>
      <c r="B137" s="20">
        <f>C114/10</f>
        <v>4089.78</v>
      </c>
      <c r="C137" s="35" t="s">
        <v>122</v>
      </c>
    </row>
    <row r="138" spans="1:3" ht="18" thickTop="1" thickBot="1" x14ac:dyDescent="0.25">
      <c r="A138" s="20">
        <v>2027</v>
      </c>
      <c r="B138" s="20">
        <f>C114/10</f>
        <v>4089.78</v>
      </c>
      <c r="C138" s="35" t="s">
        <v>122</v>
      </c>
    </row>
    <row r="139" spans="1:3" ht="18" thickTop="1" thickBot="1" x14ac:dyDescent="0.25">
      <c r="A139" s="20">
        <v>2028</v>
      </c>
      <c r="B139" s="20">
        <f>C114/10</f>
        <v>4089.78</v>
      </c>
      <c r="C139" s="35" t="s">
        <v>122</v>
      </c>
    </row>
    <row r="140" spans="1:3" ht="18" thickTop="1" thickBot="1" x14ac:dyDescent="0.25">
      <c r="A140" s="20">
        <v>2029</v>
      </c>
      <c r="B140" s="20">
        <f>C114/10</f>
        <v>4089.78</v>
      </c>
      <c r="C140" s="35" t="s">
        <v>122</v>
      </c>
    </row>
    <row r="141" spans="1:3" ht="18" thickTop="1" thickBot="1" x14ac:dyDescent="0.25">
      <c r="A141" s="20">
        <v>2030</v>
      </c>
      <c r="B141" s="27">
        <v>4907.7359999999999</v>
      </c>
      <c r="C141" s="35" t="s">
        <v>122</v>
      </c>
    </row>
    <row r="142" spans="1:3" ht="18" thickTop="1" thickBot="1" x14ac:dyDescent="0.25">
      <c r="A142" s="20">
        <v>2031</v>
      </c>
      <c r="B142" s="20">
        <f>C115/10</f>
        <v>4907.7359999999999</v>
      </c>
      <c r="C142" s="43" t="s">
        <v>125</v>
      </c>
    </row>
    <row r="143" spans="1:3" ht="18" thickTop="1" thickBot="1" x14ac:dyDescent="0.25">
      <c r="A143" s="20">
        <v>2032</v>
      </c>
      <c r="B143" s="20">
        <f>C115/10</f>
        <v>4907.7359999999999</v>
      </c>
      <c r="C143" s="43" t="s">
        <v>125</v>
      </c>
    </row>
    <row r="144" spans="1:3" ht="18" thickTop="1" thickBot="1" x14ac:dyDescent="0.25">
      <c r="A144" s="20">
        <v>2033</v>
      </c>
      <c r="B144" s="20">
        <f>C115/10</f>
        <v>4907.7359999999999</v>
      </c>
      <c r="C144" s="43" t="s">
        <v>125</v>
      </c>
    </row>
    <row r="145" spans="1:3" ht="18" thickTop="1" thickBot="1" x14ac:dyDescent="0.25">
      <c r="A145" s="20">
        <v>2034</v>
      </c>
      <c r="B145" s="20">
        <f>C115/10</f>
        <v>4907.7359999999999</v>
      </c>
      <c r="C145" s="43" t="s">
        <v>125</v>
      </c>
    </row>
    <row r="146" spans="1:3" ht="18" thickTop="1" thickBot="1" x14ac:dyDescent="0.25">
      <c r="A146" s="20">
        <v>2035</v>
      </c>
      <c r="B146" s="20">
        <f>C115/10</f>
        <v>4907.7359999999999</v>
      </c>
      <c r="C146" s="43" t="s">
        <v>125</v>
      </c>
    </row>
    <row r="147" spans="1:3" ht="18" thickTop="1" thickBot="1" x14ac:dyDescent="0.25">
      <c r="A147" s="20">
        <v>2036</v>
      </c>
      <c r="B147" s="20">
        <f>C115/10</f>
        <v>4907.7359999999999</v>
      </c>
      <c r="C147" s="43" t="s">
        <v>125</v>
      </c>
    </row>
    <row r="148" spans="1:3" ht="18" thickTop="1" thickBot="1" x14ac:dyDescent="0.25">
      <c r="A148" s="20">
        <v>2037</v>
      </c>
      <c r="B148" s="20">
        <f>C115/10</f>
        <v>4907.7359999999999</v>
      </c>
      <c r="C148" s="43" t="s">
        <v>125</v>
      </c>
    </row>
    <row r="149" spans="1:3" ht="18" thickTop="1" thickBot="1" x14ac:dyDescent="0.25">
      <c r="A149" s="20">
        <v>2038</v>
      </c>
      <c r="B149" s="20">
        <f>C115/10</f>
        <v>4907.7359999999999</v>
      </c>
      <c r="C149" s="43" t="s">
        <v>125</v>
      </c>
    </row>
    <row r="150" spans="1:3" ht="18" thickTop="1" thickBot="1" x14ac:dyDescent="0.25">
      <c r="A150" s="20">
        <v>2039</v>
      </c>
      <c r="B150" s="20">
        <f>C115/10</f>
        <v>4907.7359999999999</v>
      </c>
      <c r="C150" s="43" t="s">
        <v>125</v>
      </c>
    </row>
    <row r="151" spans="1:3" ht="17" thickTop="1" x14ac:dyDescent="0.2">
      <c r="C151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B79-E866-8B47-ABDF-537B43169884}">
  <dimension ref="E4:AL41"/>
  <sheetViews>
    <sheetView topLeftCell="F2" workbookViewId="0">
      <selection activeCell="H4" sqref="H4"/>
    </sheetView>
  </sheetViews>
  <sheetFormatPr baseColWidth="10" defaultColWidth="11" defaultRowHeight="16" x14ac:dyDescent="0.2"/>
  <cols>
    <col min="8" max="8" width="19.1640625" bestFit="1" customWidth="1"/>
    <col min="12" max="12" width="12.6640625" customWidth="1"/>
    <col min="13" max="13" width="12.83203125" customWidth="1"/>
    <col min="14" max="14" width="28" customWidth="1"/>
    <col min="15" max="15" width="16.6640625" customWidth="1"/>
    <col min="17" max="17" width="22.33203125" customWidth="1"/>
    <col min="18" max="18" width="28.33203125" customWidth="1"/>
    <col min="19" max="19" width="16.6640625" customWidth="1"/>
    <col min="26" max="26" width="14.5" bestFit="1" customWidth="1"/>
  </cols>
  <sheetData>
    <row r="4" spans="5:38" x14ac:dyDescent="0.2">
      <c r="H4" s="5" t="s">
        <v>200</v>
      </c>
      <c r="J4" s="22"/>
    </row>
    <row r="6" spans="5:38" ht="17" thickBot="1" x14ac:dyDescent="0.25"/>
    <row r="7" spans="5:38" ht="29" customHeight="1" thickTop="1" thickBot="1" x14ac:dyDescent="0.25">
      <c r="E7" s="66" t="s">
        <v>129</v>
      </c>
      <c r="F7" s="66"/>
      <c r="G7" s="66"/>
      <c r="H7" s="66"/>
      <c r="I7" s="66"/>
      <c r="J7" s="66"/>
      <c r="K7" s="66"/>
      <c r="L7" s="66"/>
      <c r="M7" s="66"/>
      <c r="N7" s="66"/>
      <c r="O7" s="66" t="s">
        <v>130</v>
      </c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3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</row>
    <row r="8" spans="5:38" ht="16" customHeight="1" thickTop="1" thickBot="1" x14ac:dyDescent="0.25">
      <c r="E8" s="65" t="s">
        <v>131</v>
      </c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21"/>
    </row>
    <row r="9" spans="5:38" ht="18" thickTop="1" thickBot="1" x14ac:dyDescent="0.25">
      <c r="E9" s="21" t="s">
        <v>132</v>
      </c>
      <c r="F9" s="21" t="s">
        <v>133</v>
      </c>
      <c r="G9" s="21" t="s">
        <v>134</v>
      </c>
      <c r="H9" s="21" t="s">
        <v>135</v>
      </c>
      <c r="I9" s="21" t="s">
        <v>136</v>
      </c>
      <c r="J9" s="21" t="s">
        <v>137</v>
      </c>
      <c r="K9" s="21" t="s">
        <v>138</v>
      </c>
      <c r="L9" s="21" t="s">
        <v>139</v>
      </c>
      <c r="M9" s="21" t="s">
        <v>140</v>
      </c>
      <c r="N9" s="21" t="s">
        <v>141</v>
      </c>
      <c r="O9" s="21" t="s">
        <v>111</v>
      </c>
      <c r="P9" s="21" t="s">
        <v>142</v>
      </c>
      <c r="Q9" s="21" t="s">
        <v>143</v>
      </c>
      <c r="R9" s="21" t="s">
        <v>97</v>
      </c>
      <c r="S9" s="21" t="s">
        <v>144</v>
      </c>
      <c r="T9" s="21"/>
      <c r="U9" s="21"/>
      <c r="V9" s="21"/>
      <c r="W9" s="21"/>
      <c r="X9" s="21"/>
      <c r="Y9" s="21"/>
      <c r="Z9" s="21"/>
    </row>
    <row r="10" spans="5:38" ht="18" thickTop="1" thickBot="1" x14ac:dyDescent="0.25">
      <c r="E10" s="20">
        <v>2010</v>
      </c>
      <c r="F10" s="20">
        <f>-Security_Deposit</f>
        <v>-1471</v>
      </c>
      <c r="G10" s="20">
        <f>-Loans</f>
        <v>-5266</v>
      </c>
      <c r="H10" s="20">
        <f>-Equity</f>
        <v>-2300</v>
      </c>
      <c r="I10" s="20">
        <f>-GMR_Investment</f>
        <v>-1971.0000000000002</v>
      </c>
      <c r="J10" s="20">
        <f>-AAI_Investment</f>
        <v>-598</v>
      </c>
      <c r="K10" s="20">
        <f>-MAHB_investment</f>
        <v>-230</v>
      </c>
      <c r="L10" s="20">
        <f>-Fragport_INvestment</f>
        <v>-230</v>
      </c>
      <c r="M10" s="20">
        <f>-Internal_Accruals</f>
        <v>-50</v>
      </c>
      <c r="N10" s="20">
        <f>Total_Traffic*Domestic_Trffic*User_development_fee_Domestic*0.1</f>
        <v>423.77500000000003</v>
      </c>
      <c r="O10" s="20" cm="1">
        <f t="array" ref="O10:O40">Non_Aero_Revenue</f>
        <v>2453.8679999999999</v>
      </c>
      <c r="P10" s="20" cm="1">
        <f t="array" ref="P10:P39">ONM_Cost__Cr</f>
        <v>96</v>
      </c>
      <c r="Q10" s="20">
        <f>R10+N10</f>
        <v>917.12500000000023</v>
      </c>
      <c r="R10" s="20">
        <f>Total_Traffic*International_Trffic*User_development_fee_International*0.1</f>
        <v>493.35000000000014</v>
      </c>
      <c r="S10" s="20">
        <f>R10+O10-P10+N10</f>
        <v>3274.9929999999999</v>
      </c>
      <c r="T10" s="20"/>
      <c r="U10" s="20"/>
      <c r="V10" s="20"/>
      <c r="W10" s="20"/>
      <c r="X10" s="20"/>
      <c r="Y10" s="20"/>
      <c r="Z10" s="20"/>
    </row>
    <row r="11" spans="5:38" ht="18" thickTop="1" thickBot="1" x14ac:dyDescent="0.25">
      <c r="E11" s="20">
        <v>2011</v>
      </c>
      <c r="F11" s="20"/>
      <c r="G11" s="20"/>
      <c r="H11" s="20"/>
      <c r="I11" s="20"/>
      <c r="J11" s="20"/>
      <c r="K11" s="20"/>
      <c r="L11" s="20"/>
      <c r="M11" s="20"/>
      <c r="N11" s="20">
        <f t="shared" ref="N11:N39" si="0">N10*(1+Traffic_Average_CAGR)</f>
        <v>451.32037500000001</v>
      </c>
      <c r="O11" s="20">
        <v>2453.8679999999999</v>
      </c>
      <c r="P11" s="20">
        <v>119</v>
      </c>
      <c r="Q11" s="20">
        <f t="shared" ref="Q11:Q39" si="1">R11+N11</f>
        <v>976.73812500000008</v>
      </c>
      <c r="R11" s="20">
        <f t="shared" ref="R11:R39" si="2">R10*(1+Traffic_Average_CAGR)</f>
        <v>525.41775000000007</v>
      </c>
      <c r="S11" s="20">
        <f t="shared" ref="S11:S39" si="3">R11+O11-P11+N11</f>
        <v>3311.6061250000002</v>
      </c>
      <c r="T11" s="20"/>
      <c r="U11" s="20"/>
      <c r="V11" s="20"/>
      <c r="W11" s="20"/>
      <c r="X11" s="20"/>
      <c r="Y11" s="20"/>
      <c r="Z11" s="20"/>
    </row>
    <row r="12" spans="5:38" ht="18" thickTop="1" thickBot="1" x14ac:dyDescent="0.25">
      <c r="E12" s="20">
        <v>2012</v>
      </c>
      <c r="F12" s="20"/>
      <c r="G12" s="20"/>
      <c r="H12" s="20"/>
      <c r="I12" s="20"/>
      <c r="J12" s="20"/>
      <c r="K12" s="20"/>
      <c r="L12" s="20"/>
      <c r="M12" s="20"/>
      <c r="N12" s="20">
        <f t="shared" si="0"/>
        <v>480.65619937499997</v>
      </c>
      <c r="O12" s="20">
        <v>2453.8679999999999</v>
      </c>
      <c r="P12" s="20">
        <v>128</v>
      </c>
      <c r="Q12" s="20">
        <f t="shared" si="1"/>
        <v>1040.226103125</v>
      </c>
      <c r="R12" s="20">
        <f t="shared" si="2"/>
        <v>559.56990375000009</v>
      </c>
      <c r="S12" s="20">
        <f t="shared" si="3"/>
        <v>3366.0941031250004</v>
      </c>
      <c r="T12" s="20"/>
      <c r="U12" s="20"/>
      <c r="V12" s="20"/>
      <c r="W12" s="20"/>
      <c r="X12" s="20"/>
      <c r="Y12" s="20"/>
      <c r="Z12" s="20"/>
    </row>
    <row r="13" spans="5:38" ht="18" thickTop="1" thickBot="1" x14ac:dyDescent="0.25">
      <c r="E13" s="20">
        <v>2013</v>
      </c>
      <c r="F13" s="20"/>
      <c r="G13" s="20"/>
      <c r="H13" s="20"/>
      <c r="I13" s="20"/>
      <c r="J13" s="20"/>
      <c r="K13" s="20"/>
      <c r="L13" s="20"/>
      <c r="M13" s="20"/>
      <c r="N13" s="20">
        <f t="shared" si="0"/>
        <v>511.89885233437496</v>
      </c>
      <c r="O13" s="20">
        <v>2453.8679999999999</v>
      </c>
      <c r="P13" s="20">
        <v>60</v>
      </c>
      <c r="Q13" s="20">
        <f t="shared" si="1"/>
        <v>1107.840799828125</v>
      </c>
      <c r="R13" s="20">
        <f t="shared" si="2"/>
        <v>595.94194749375004</v>
      </c>
      <c r="S13" s="20">
        <f t="shared" si="3"/>
        <v>3501.7087998281249</v>
      </c>
      <c r="T13" s="20"/>
      <c r="U13" s="20"/>
      <c r="V13" s="20"/>
      <c r="W13" s="20"/>
      <c r="X13" s="20"/>
      <c r="Y13" s="20"/>
      <c r="Z13" s="20"/>
    </row>
    <row r="14" spans="5:38" ht="18" thickTop="1" thickBot="1" x14ac:dyDescent="0.25">
      <c r="E14" s="20">
        <v>2014</v>
      </c>
      <c r="F14" s="20"/>
      <c r="G14" s="20"/>
      <c r="H14" s="20"/>
      <c r="I14" s="20"/>
      <c r="J14" s="20"/>
      <c r="K14" s="20"/>
      <c r="L14" s="20"/>
      <c r="M14" s="20"/>
      <c r="N14" s="20">
        <f t="shared" si="0"/>
        <v>545.17227773610932</v>
      </c>
      <c r="O14" s="20">
        <v>2453.8679999999999</v>
      </c>
      <c r="P14" s="20">
        <v>120</v>
      </c>
      <c r="Q14" s="20">
        <f t="shared" si="1"/>
        <v>1179.850451816953</v>
      </c>
      <c r="R14" s="20">
        <f t="shared" si="2"/>
        <v>634.67817408084375</v>
      </c>
      <c r="S14" s="20">
        <f t="shared" si="3"/>
        <v>3513.7184518169529</v>
      </c>
      <c r="T14" s="20"/>
      <c r="U14" s="20"/>
      <c r="V14" s="20"/>
      <c r="W14" s="20"/>
      <c r="X14" s="20"/>
      <c r="Y14" s="20"/>
      <c r="Z14" s="20"/>
    </row>
    <row r="15" spans="5:38" ht="18" thickTop="1" thickBot="1" x14ac:dyDescent="0.25">
      <c r="E15" s="20">
        <v>2015</v>
      </c>
      <c r="F15" s="20"/>
      <c r="G15" s="20"/>
      <c r="H15" s="20"/>
      <c r="I15" s="20"/>
      <c r="J15" s="20"/>
      <c r="K15" s="20"/>
      <c r="L15" s="20"/>
      <c r="M15" s="20"/>
      <c r="N15" s="20">
        <f t="shared" si="0"/>
        <v>580.60847578895641</v>
      </c>
      <c r="O15" s="20">
        <v>2453.8679999999999</v>
      </c>
      <c r="P15" s="20">
        <v>126</v>
      </c>
      <c r="Q15" s="20">
        <f t="shared" si="1"/>
        <v>1256.5407311850549</v>
      </c>
      <c r="R15" s="20">
        <f t="shared" si="2"/>
        <v>675.93225539609853</v>
      </c>
      <c r="S15" s="20">
        <f t="shared" si="3"/>
        <v>3584.4087311850553</v>
      </c>
      <c r="T15" s="20"/>
      <c r="U15" s="20"/>
      <c r="V15" s="20"/>
      <c r="W15" s="20"/>
      <c r="X15" s="20"/>
      <c r="Y15" s="20"/>
      <c r="Z15" s="20"/>
    </row>
    <row r="16" spans="5:38" ht="18" thickTop="1" thickBot="1" x14ac:dyDescent="0.25">
      <c r="E16" s="20">
        <v>2016</v>
      </c>
      <c r="F16" s="20"/>
      <c r="G16" s="20"/>
      <c r="H16" s="20"/>
      <c r="I16" s="20"/>
      <c r="J16" s="20"/>
      <c r="K16" s="20"/>
      <c r="L16" s="20"/>
      <c r="M16" s="20"/>
      <c r="N16" s="20">
        <f t="shared" si="0"/>
        <v>618.34802671523857</v>
      </c>
      <c r="O16" s="20">
        <v>2453.8679999999999</v>
      </c>
      <c r="P16" s="20">
        <v>132.30000000000001</v>
      </c>
      <c r="Q16" s="20">
        <f t="shared" si="1"/>
        <v>1338.2158787120834</v>
      </c>
      <c r="R16" s="20">
        <f t="shared" si="2"/>
        <v>719.86785199684493</v>
      </c>
      <c r="S16" s="20">
        <f t="shared" si="3"/>
        <v>3659.7838787120832</v>
      </c>
      <c r="T16" s="20"/>
      <c r="U16" s="20"/>
      <c r="V16" s="20"/>
      <c r="W16" s="20"/>
      <c r="X16" s="20"/>
      <c r="Y16" s="20"/>
      <c r="Z16" s="20"/>
    </row>
    <row r="17" spans="5:26" ht="18" thickTop="1" thickBot="1" x14ac:dyDescent="0.25">
      <c r="E17" s="20">
        <v>2017</v>
      </c>
      <c r="F17" s="20"/>
      <c r="G17" s="20"/>
      <c r="H17" s="20"/>
      <c r="I17" s="20"/>
      <c r="J17" s="20"/>
      <c r="K17" s="20"/>
      <c r="L17" s="20"/>
      <c r="M17" s="20"/>
      <c r="N17" s="20">
        <f t="shared" si="0"/>
        <v>658.540648451729</v>
      </c>
      <c r="O17" s="20">
        <v>2453.8679999999999</v>
      </c>
      <c r="P17" s="20">
        <v>138.9</v>
      </c>
      <c r="Q17" s="20">
        <f t="shared" si="1"/>
        <v>1425.199910828369</v>
      </c>
      <c r="R17" s="20">
        <f t="shared" si="2"/>
        <v>766.65926237663984</v>
      </c>
      <c r="S17" s="20">
        <f t="shared" si="3"/>
        <v>3740.1679108283683</v>
      </c>
      <c r="T17" s="20"/>
      <c r="U17" s="20"/>
      <c r="V17" s="20"/>
      <c r="W17" s="20"/>
      <c r="X17" s="20"/>
      <c r="Y17" s="20"/>
      <c r="Z17" s="20"/>
    </row>
    <row r="18" spans="5:26" ht="18" thickTop="1" thickBot="1" x14ac:dyDescent="0.25">
      <c r="E18" s="20">
        <v>2018</v>
      </c>
      <c r="F18" s="20"/>
      <c r="G18" s="20"/>
      <c r="H18" s="20"/>
      <c r="I18" s="20"/>
      <c r="J18" s="20"/>
      <c r="K18" s="20"/>
      <c r="L18" s="20"/>
      <c r="M18" s="20"/>
      <c r="N18" s="20">
        <f t="shared" si="0"/>
        <v>701.34579060109138</v>
      </c>
      <c r="O18" s="20">
        <v>2453.8679999999999</v>
      </c>
      <c r="P18" s="20">
        <v>145.80000000000001</v>
      </c>
      <c r="Q18" s="20">
        <f t="shared" si="1"/>
        <v>1517.8379050322128</v>
      </c>
      <c r="R18" s="20">
        <f t="shared" si="2"/>
        <v>816.49211443112142</v>
      </c>
      <c r="S18" s="20">
        <f t="shared" si="3"/>
        <v>3825.9059050322126</v>
      </c>
      <c r="T18" s="20"/>
      <c r="U18" s="20"/>
      <c r="V18" s="20"/>
      <c r="W18" s="20"/>
      <c r="X18" s="20"/>
      <c r="Y18" s="20"/>
      <c r="Z18" s="20"/>
    </row>
    <row r="19" spans="5:26" ht="18" thickTop="1" thickBot="1" x14ac:dyDescent="0.25">
      <c r="E19" s="20">
        <v>2019</v>
      </c>
      <c r="F19" s="20"/>
      <c r="G19" s="20"/>
      <c r="H19" s="20"/>
      <c r="I19" s="20"/>
      <c r="J19" s="20"/>
      <c r="K19" s="20"/>
      <c r="L19" s="20"/>
      <c r="M19" s="20"/>
      <c r="N19" s="20">
        <f t="shared" si="0"/>
        <v>746.93326699016234</v>
      </c>
      <c r="O19" s="20">
        <v>2453.8679999999999</v>
      </c>
      <c r="P19" s="20">
        <v>153.1</v>
      </c>
      <c r="Q19" s="20">
        <f t="shared" si="1"/>
        <v>1616.4973688593066</v>
      </c>
      <c r="R19" s="20">
        <f t="shared" si="2"/>
        <v>869.56410186914422</v>
      </c>
      <c r="S19" s="20">
        <f t="shared" si="3"/>
        <v>3917.2653688593068</v>
      </c>
      <c r="T19" s="20"/>
      <c r="U19" s="20"/>
      <c r="V19" s="20"/>
      <c r="W19" s="20"/>
      <c r="X19" s="20"/>
      <c r="Y19" s="20"/>
      <c r="Z19" s="20"/>
    </row>
    <row r="20" spans="5:26" ht="18" thickTop="1" thickBot="1" x14ac:dyDescent="0.25">
      <c r="E20" s="20">
        <v>2020</v>
      </c>
      <c r="F20" s="20"/>
      <c r="G20" s="20"/>
      <c r="H20" s="20"/>
      <c r="I20" s="20"/>
      <c r="J20" s="20"/>
      <c r="K20" s="20"/>
      <c r="L20" s="20"/>
      <c r="M20" s="20"/>
      <c r="N20" s="20">
        <f t="shared" si="0"/>
        <v>795.48392934452283</v>
      </c>
      <c r="O20" s="20">
        <v>4089.78</v>
      </c>
      <c r="P20" s="20">
        <v>160.80000000000001</v>
      </c>
      <c r="Q20" s="20">
        <f t="shared" si="1"/>
        <v>1721.5696978351614</v>
      </c>
      <c r="R20" s="20">
        <f t="shared" si="2"/>
        <v>926.08576849063854</v>
      </c>
      <c r="S20" s="20">
        <f t="shared" si="3"/>
        <v>5650.5496978351612</v>
      </c>
      <c r="T20" s="20"/>
      <c r="U20" s="20"/>
      <c r="V20" s="20"/>
      <c r="W20" s="20"/>
      <c r="X20" s="20"/>
      <c r="Y20" s="20"/>
      <c r="Z20" s="20"/>
    </row>
    <row r="21" spans="5:26" ht="18" thickTop="1" thickBot="1" x14ac:dyDescent="0.25">
      <c r="E21" s="20">
        <v>2021</v>
      </c>
      <c r="F21" s="20"/>
      <c r="G21" s="20"/>
      <c r="H21" s="20"/>
      <c r="I21" s="20"/>
      <c r="J21" s="20"/>
      <c r="K21" s="20"/>
      <c r="L21" s="20"/>
      <c r="M21" s="20"/>
      <c r="N21" s="20">
        <f t="shared" si="0"/>
        <v>847.19038475191678</v>
      </c>
      <c r="O21" s="20">
        <v>4089.78</v>
      </c>
      <c r="P21" s="20">
        <v>168.8</v>
      </c>
      <c r="Q21" s="20">
        <f t="shared" si="1"/>
        <v>1833.4717281944468</v>
      </c>
      <c r="R21" s="20">
        <f t="shared" si="2"/>
        <v>986.28134344252999</v>
      </c>
      <c r="S21" s="20">
        <f t="shared" si="3"/>
        <v>5754.4517281944472</v>
      </c>
      <c r="T21" s="20"/>
      <c r="U21" s="20"/>
      <c r="V21" s="20"/>
      <c r="W21" s="20"/>
      <c r="X21" s="20"/>
      <c r="Y21" s="20"/>
      <c r="Z21" s="20"/>
    </row>
    <row r="22" spans="5:26" ht="18" thickTop="1" thickBot="1" x14ac:dyDescent="0.25">
      <c r="E22" s="20">
        <v>2022</v>
      </c>
      <c r="F22" s="20"/>
      <c r="G22" s="20"/>
      <c r="H22" s="20"/>
      <c r="I22" s="20"/>
      <c r="J22" s="20"/>
      <c r="K22" s="20"/>
      <c r="L22" s="20"/>
      <c r="M22" s="20"/>
      <c r="N22" s="20">
        <f t="shared" si="0"/>
        <v>902.25775976079137</v>
      </c>
      <c r="O22" s="20">
        <v>4089.78</v>
      </c>
      <c r="P22" s="20">
        <v>177.2</v>
      </c>
      <c r="Q22" s="20">
        <f t="shared" si="1"/>
        <v>1952.6473905270859</v>
      </c>
      <c r="R22" s="20">
        <f t="shared" si="2"/>
        <v>1050.3896307662944</v>
      </c>
      <c r="S22" s="20">
        <f t="shared" si="3"/>
        <v>5865.2273905270868</v>
      </c>
      <c r="T22" s="20"/>
      <c r="U22" s="20"/>
      <c r="V22" s="20"/>
      <c r="W22" s="20"/>
      <c r="X22" s="20"/>
      <c r="Y22" s="20"/>
      <c r="Z22" s="20"/>
    </row>
    <row r="23" spans="5:26" ht="18" thickTop="1" thickBot="1" x14ac:dyDescent="0.25">
      <c r="E23" s="20">
        <v>2023</v>
      </c>
      <c r="F23" s="20"/>
      <c r="G23" s="20"/>
      <c r="H23" s="20"/>
      <c r="I23" s="20"/>
      <c r="J23" s="20"/>
      <c r="K23" s="20"/>
      <c r="L23" s="20"/>
      <c r="M23" s="20"/>
      <c r="N23" s="20">
        <f t="shared" si="0"/>
        <v>960.90451414524273</v>
      </c>
      <c r="O23" s="20">
        <v>4089.78</v>
      </c>
      <c r="P23" s="20">
        <v>186.1</v>
      </c>
      <c r="Q23" s="20">
        <f t="shared" si="1"/>
        <v>2079.5694709113463</v>
      </c>
      <c r="R23" s="20">
        <f t="shared" si="2"/>
        <v>1118.6649567661036</v>
      </c>
      <c r="S23" s="20">
        <f t="shared" si="3"/>
        <v>5983.2494709113462</v>
      </c>
      <c r="T23" s="20"/>
      <c r="U23" s="20"/>
      <c r="V23" s="20"/>
      <c r="W23" s="20"/>
      <c r="X23" s="20"/>
      <c r="Y23" s="20"/>
      <c r="Z23" s="20"/>
    </row>
    <row r="24" spans="5:26" ht="18" thickTop="1" thickBot="1" x14ac:dyDescent="0.25">
      <c r="E24" s="20">
        <v>2024</v>
      </c>
      <c r="F24" s="20"/>
      <c r="G24" s="20"/>
      <c r="H24" s="20"/>
      <c r="I24" s="20"/>
      <c r="J24" s="20"/>
      <c r="K24" s="20"/>
      <c r="L24" s="20"/>
      <c r="M24" s="20"/>
      <c r="N24" s="20">
        <f t="shared" si="0"/>
        <v>1023.3633075646835</v>
      </c>
      <c r="O24" s="20">
        <v>4089.78</v>
      </c>
      <c r="P24" s="20">
        <v>167.5</v>
      </c>
      <c r="Q24" s="20">
        <f t="shared" si="1"/>
        <v>2214.7414865205837</v>
      </c>
      <c r="R24" s="20">
        <f t="shared" si="2"/>
        <v>1191.3781789559002</v>
      </c>
      <c r="S24" s="20">
        <f t="shared" si="3"/>
        <v>6137.0214865205835</v>
      </c>
      <c r="T24" s="20"/>
      <c r="U24" s="20"/>
      <c r="V24" s="20"/>
      <c r="W24" s="20"/>
      <c r="X24" s="20"/>
      <c r="Y24" s="20"/>
      <c r="Z24" s="20"/>
    </row>
    <row r="25" spans="5:26" ht="18" thickTop="1" thickBot="1" x14ac:dyDescent="0.25">
      <c r="E25" s="20">
        <v>2025</v>
      </c>
      <c r="F25" s="20"/>
      <c r="G25" s="20"/>
      <c r="H25" s="20"/>
      <c r="I25" s="20"/>
      <c r="J25" s="20"/>
      <c r="K25" s="20"/>
      <c r="L25" s="20"/>
      <c r="M25" s="20"/>
      <c r="N25" s="20">
        <f t="shared" si="0"/>
        <v>1089.881922556388</v>
      </c>
      <c r="O25" s="20">
        <v>4089.78</v>
      </c>
      <c r="P25" s="20">
        <v>176</v>
      </c>
      <c r="Q25" s="20">
        <f t="shared" si="1"/>
        <v>2358.6996831444217</v>
      </c>
      <c r="R25" s="20">
        <f t="shared" si="2"/>
        <v>1268.8177605880337</v>
      </c>
      <c r="S25" s="20">
        <f t="shared" si="3"/>
        <v>6272.4796831444219</v>
      </c>
      <c r="T25" s="20"/>
      <c r="U25" s="20"/>
      <c r="V25" s="20"/>
      <c r="W25" s="20"/>
      <c r="X25" s="20"/>
      <c r="Y25" s="20"/>
      <c r="Z25" s="20"/>
    </row>
    <row r="26" spans="5:26" ht="18" thickTop="1" thickBot="1" x14ac:dyDescent="0.25">
      <c r="E26" s="20">
        <v>2026</v>
      </c>
      <c r="F26" s="20"/>
      <c r="G26" s="20"/>
      <c r="H26" s="20"/>
      <c r="I26" s="20"/>
      <c r="J26" s="20"/>
      <c r="K26" s="20"/>
      <c r="L26" s="20"/>
      <c r="M26" s="20"/>
      <c r="N26" s="20">
        <f t="shared" si="0"/>
        <v>1160.724247522553</v>
      </c>
      <c r="O26" s="20">
        <v>4089.78</v>
      </c>
      <c r="P26" s="20">
        <v>185</v>
      </c>
      <c r="Q26" s="20">
        <f t="shared" si="1"/>
        <v>2512.0151625488088</v>
      </c>
      <c r="R26" s="20">
        <f t="shared" si="2"/>
        <v>1351.2909150262558</v>
      </c>
      <c r="S26" s="20">
        <f t="shared" si="3"/>
        <v>6416.7951625488085</v>
      </c>
      <c r="T26" s="20"/>
      <c r="U26" s="20"/>
      <c r="V26" s="20"/>
      <c r="W26" s="20"/>
      <c r="X26" s="20"/>
      <c r="Y26" s="20"/>
      <c r="Z26" s="20"/>
    </row>
    <row r="27" spans="5:26" ht="18" thickTop="1" thickBot="1" x14ac:dyDescent="0.25">
      <c r="E27" s="20">
        <v>2027</v>
      </c>
      <c r="F27" s="20"/>
      <c r="G27" s="20"/>
      <c r="H27" s="20"/>
      <c r="I27" s="20"/>
      <c r="J27" s="20"/>
      <c r="K27" s="20"/>
      <c r="L27" s="20"/>
      <c r="M27" s="20"/>
      <c r="N27" s="20">
        <f t="shared" si="0"/>
        <v>1236.1713236115188</v>
      </c>
      <c r="O27" s="20">
        <v>4089.78</v>
      </c>
      <c r="P27" s="20">
        <v>194.2</v>
      </c>
      <c r="Q27" s="20">
        <f t="shared" si="1"/>
        <v>2675.2961481144812</v>
      </c>
      <c r="R27" s="20">
        <f t="shared" si="2"/>
        <v>1439.1248245029624</v>
      </c>
      <c r="S27" s="20">
        <f t="shared" si="3"/>
        <v>6570.8761481144811</v>
      </c>
      <c r="T27" s="20"/>
      <c r="U27" s="20"/>
      <c r="V27" s="20"/>
      <c r="W27" s="20"/>
      <c r="X27" s="20"/>
      <c r="Y27" s="20"/>
      <c r="Z27" s="20"/>
    </row>
    <row r="28" spans="5:26" ht="18" thickTop="1" thickBot="1" x14ac:dyDescent="0.25">
      <c r="E28" s="20">
        <v>2028</v>
      </c>
      <c r="F28" s="20"/>
      <c r="G28" s="20"/>
      <c r="H28" s="20"/>
      <c r="I28" s="20"/>
      <c r="J28" s="20"/>
      <c r="K28" s="20"/>
      <c r="L28" s="20"/>
      <c r="M28" s="20"/>
      <c r="N28" s="20">
        <f t="shared" si="0"/>
        <v>1316.5224596462674</v>
      </c>
      <c r="O28" s="20">
        <v>4089.78</v>
      </c>
      <c r="P28" s="20">
        <v>203.9</v>
      </c>
      <c r="Q28" s="20">
        <f t="shared" si="1"/>
        <v>2849.1903977419224</v>
      </c>
      <c r="R28" s="20">
        <f t="shared" si="2"/>
        <v>1532.6679380956548</v>
      </c>
      <c r="S28" s="20">
        <f t="shared" si="3"/>
        <v>6735.0703977419225</v>
      </c>
      <c r="T28" s="20"/>
      <c r="U28" s="20"/>
      <c r="V28" s="20"/>
      <c r="W28" s="20"/>
      <c r="X28" s="20"/>
      <c r="Y28" s="20"/>
      <c r="Z28" s="20"/>
    </row>
    <row r="29" spans="5:26" ht="18" thickTop="1" thickBot="1" x14ac:dyDescent="0.25">
      <c r="E29" s="20">
        <v>2029</v>
      </c>
      <c r="F29" s="20"/>
      <c r="G29" s="20"/>
      <c r="H29" s="20"/>
      <c r="I29" s="20"/>
      <c r="J29" s="20"/>
      <c r="K29" s="20"/>
      <c r="L29" s="20"/>
      <c r="M29" s="20"/>
      <c r="N29" s="20">
        <f t="shared" si="0"/>
        <v>1402.0964195232748</v>
      </c>
      <c r="O29" s="20">
        <v>4089.78</v>
      </c>
      <c r="P29" s="20">
        <v>214.1</v>
      </c>
      <c r="Q29" s="20">
        <f t="shared" si="1"/>
        <v>3034.3877735951473</v>
      </c>
      <c r="R29" s="20">
        <f t="shared" si="2"/>
        <v>1632.2913540718723</v>
      </c>
      <c r="S29" s="20">
        <f t="shared" si="3"/>
        <v>6910.0677735951467</v>
      </c>
      <c r="T29" s="20"/>
      <c r="U29" s="20"/>
      <c r="V29" s="20"/>
      <c r="W29" s="20"/>
      <c r="X29" s="20"/>
      <c r="Y29" s="20"/>
      <c r="Z29" s="20"/>
    </row>
    <row r="30" spans="5:26" ht="18" thickTop="1" thickBot="1" x14ac:dyDescent="0.25">
      <c r="E30" s="20">
        <v>2030</v>
      </c>
      <c r="F30" s="20"/>
      <c r="G30" s="20"/>
      <c r="H30" s="20"/>
      <c r="I30" s="20"/>
      <c r="J30" s="20"/>
      <c r="K30" s="20"/>
      <c r="L30" s="20"/>
      <c r="M30" s="20"/>
      <c r="N30" s="20">
        <f t="shared" si="0"/>
        <v>1493.2326867922875</v>
      </c>
      <c r="O30" s="20">
        <v>4907.7359999999999</v>
      </c>
      <c r="P30" s="20">
        <v>224.8</v>
      </c>
      <c r="Q30" s="20">
        <f t="shared" si="1"/>
        <v>3231.6229788788314</v>
      </c>
      <c r="R30" s="20">
        <f t="shared" si="2"/>
        <v>1738.3902920865439</v>
      </c>
      <c r="S30" s="20">
        <f t="shared" si="3"/>
        <v>7914.5589788788311</v>
      </c>
      <c r="T30" s="20"/>
      <c r="U30" s="20"/>
      <c r="V30" s="20"/>
      <c r="W30" s="20"/>
      <c r="X30" s="20"/>
      <c r="Y30" s="20"/>
      <c r="Z30" s="20"/>
    </row>
    <row r="31" spans="5:26" ht="18" thickTop="1" thickBot="1" x14ac:dyDescent="0.25">
      <c r="E31" s="20">
        <v>2031</v>
      </c>
      <c r="F31" s="20"/>
      <c r="G31" s="20"/>
      <c r="H31" s="20"/>
      <c r="I31" s="20"/>
      <c r="J31" s="20"/>
      <c r="K31" s="20"/>
      <c r="L31" s="20"/>
      <c r="M31" s="20"/>
      <c r="N31" s="20">
        <f t="shared" si="0"/>
        <v>1590.292811433786</v>
      </c>
      <c r="O31" s="20">
        <v>4907.7359999999999</v>
      </c>
      <c r="P31" s="20">
        <v>236</v>
      </c>
      <c r="Q31" s="20">
        <f t="shared" si="1"/>
        <v>3441.6784725059551</v>
      </c>
      <c r="R31" s="20">
        <f t="shared" si="2"/>
        <v>1851.3856610721691</v>
      </c>
      <c r="S31" s="20">
        <f t="shared" si="3"/>
        <v>8113.4144725059559</v>
      </c>
      <c r="T31" s="20"/>
      <c r="U31" s="20"/>
      <c r="V31" s="20"/>
      <c r="W31" s="20"/>
      <c r="X31" s="20"/>
      <c r="Y31" s="20"/>
      <c r="Z31" s="20"/>
    </row>
    <row r="32" spans="5:26" ht="18" thickTop="1" thickBot="1" x14ac:dyDescent="0.25">
      <c r="E32" s="20">
        <v>2032</v>
      </c>
      <c r="F32" s="20"/>
      <c r="G32" s="20"/>
      <c r="H32" s="20"/>
      <c r="I32" s="20"/>
      <c r="J32" s="20"/>
      <c r="K32" s="20"/>
      <c r="L32" s="20"/>
      <c r="M32" s="20"/>
      <c r="N32" s="20">
        <f t="shared" si="0"/>
        <v>1693.661844176982</v>
      </c>
      <c r="O32" s="20">
        <v>4907.7359999999999</v>
      </c>
      <c r="P32" s="20">
        <v>247.8</v>
      </c>
      <c r="Q32" s="20">
        <f t="shared" si="1"/>
        <v>3665.3875732188417</v>
      </c>
      <c r="R32" s="20">
        <f t="shared" si="2"/>
        <v>1971.7257290418599</v>
      </c>
      <c r="S32" s="20">
        <f t="shared" si="3"/>
        <v>8325.3235732188423</v>
      </c>
      <c r="T32" s="20"/>
      <c r="U32" s="20"/>
      <c r="V32" s="20"/>
      <c r="W32" s="20"/>
      <c r="X32" s="20"/>
      <c r="Y32" s="20"/>
      <c r="Z32" s="20"/>
    </row>
    <row r="33" spans="5:26" ht="18" thickTop="1" thickBot="1" x14ac:dyDescent="0.25">
      <c r="E33" s="20">
        <v>2033</v>
      </c>
      <c r="F33" s="20"/>
      <c r="G33" s="20"/>
      <c r="H33" s="20"/>
      <c r="I33" s="20"/>
      <c r="J33" s="20"/>
      <c r="K33" s="20"/>
      <c r="L33" s="20"/>
      <c r="M33" s="20"/>
      <c r="N33" s="20">
        <f t="shared" si="0"/>
        <v>1803.7498640484857</v>
      </c>
      <c r="O33" s="20">
        <v>4907.7359999999999</v>
      </c>
      <c r="P33" s="20">
        <v>260.10000000000002</v>
      </c>
      <c r="Q33" s="20">
        <f t="shared" si="1"/>
        <v>3903.6377654780663</v>
      </c>
      <c r="R33" s="20">
        <f t="shared" si="2"/>
        <v>2099.8879014295808</v>
      </c>
      <c r="S33" s="20">
        <f t="shared" si="3"/>
        <v>8551.2737654780667</v>
      </c>
      <c r="T33" s="20"/>
      <c r="U33" s="20"/>
      <c r="V33" s="20"/>
      <c r="W33" s="20"/>
      <c r="X33" s="20"/>
      <c r="Y33" s="20"/>
      <c r="Z33" s="20"/>
    </row>
    <row r="34" spans="5:26" ht="18" thickTop="1" thickBot="1" x14ac:dyDescent="0.25">
      <c r="E34" s="20">
        <v>2034</v>
      </c>
      <c r="F34" s="20"/>
      <c r="G34" s="20"/>
      <c r="H34" s="20"/>
      <c r="I34" s="20"/>
      <c r="J34" s="20"/>
      <c r="K34" s="20"/>
      <c r="L34" s="20"/>
      <c r="M34" s="20"/>
      <c r="N34" s="20">
        <f t="shared" si="0"/>
        <v>1920.9936052116373</v>
      </c>
      <c r="O34" s="20">
        <v>4907.7359999999999</v>
      </c>
      <c r="P34" s="20">
        <v>273.10000000000002</v>
      </c>
      <c r="Q34" s="20">
        <f t="shared" si="1"/>
        <v>4157.37422023414</v>
      </c>
      <c r="R34" s="20">
        <f t="shared" si="2"/>
        <v>2236.3806150225032</v>
      </c>
      <c r="S34" s="20">
        <f t="shared" si="3"/>
        <v>8792.0102202341404</v>
      </c>
      <c r="T34" s="20"/>
      <c r="U34" s="20"/>
      <c r="V34" s="20"/>
      <c r="W34" s="20"/>
      <c r="X34" s="20"/>
      <c r="Y34" s="20"/>
      <c r="Z34" s="20"/>
    </row>
    <row r="35" spans="5:26" ht="18" thickTop="1" thickBot="1" x14ac:dyDescent="0.25">
      <c r="E35" s="20">
        <v>2035</v>
      </c>
      <c r="F35" s="20"/>
      <c r="G35" s="20"/>
      <c r="H35" s="20"/>
      <c r="I35" s="20"/>
      <c r="J35" s="20"/>
      <c r="K35" s="20"/>
      <c r="L35" s="20"/>
      <c r="M35" s="20"/>
      <c r="N35" s="20">
        <f t="shared" si="0"/>
        <v>2045.8581895503935</v>
      </c>
      <c r="O35" s="20">
        <v>4907.7359999999999</v>
      </c>
      <c r="P35" s="20">
        <v>286.8</v>
      </c>
      <c r="Q35" s="20">
        <f t="shared" si="1"/>
        <v>4427.6035445493599</v>
      </c>
      <c r="R35" s="20">
        <f t="shared" si="2"/>
        <v>2381.7453549989659</v>
      </c>
      <c r="S35" s="20">
        <f t="shared" si="3"/>
        <v>9048.5395445493596</v>
      </c>
      <c r="T35" s="20"/>
      <c r="U35" s="20"/>
      <c r="V35" s="20"/>
      <c r="W35" s="20"/>
      <c r="X35" s="20"/>
      <c r="Y35" s="20"/>
      <c r="Z35" s="20"/>
    </row>
    <row r="36" spans="5:26" ht="18" thickTop="1" thickBot="1" x14ac:dyDescent="0.25">
      <c r="E36" s="20">
        <v>2036</v>
      </c>
      <c r="F36" s="20"/>
      <c r="G36" s="20"/>
      <c r="H36" s="20"/>
      <c r="I36" s="20"/>
      <c r="J36" s="20"/>
      <c r="K36" s="20"/>
      <c r="L36" s="20"/>
      <c r="M36" s="20"/>
      <c r="N36" s="20">
        <f t="shared" si="0"/>
        <v>2178.8389718711692</v>
      </c>
      <c r="O36" s="20">
        <v>4907.7359999999999</v>
      </c>
      <c r="P36" s="20">
        <v>301.2</v>
      </c>
      <c r="Q36" s="20">
        <f t="shared" si="1"/>
        <v>4715.3977749450678</v>
      </c>
      <c r="R36" s="20">
        <f t="shared" si="2"/>
        <v>2536.5588030738986</v>
      </c>
      <c r="S36" s="20">
        <f t="shared" si="3"/>
        <v>9321.9337749450679</v>
      </c>
      <c r="T36" s="20"/>
      <c r="U36" s="20"/>
      <c r="V36" s="20"/>
      <c r="W36" s="20"/>
      <c r="X36" s="20"/>
      <c r="Y36" s="20"/>
      <c r="Z36" s="20"/>
    </row>
    <row r="37" spans="5:26" ht="18" thickTop="1" thickBot="1" x14ac:dyDescent="0.25">
      <c r="E37" s="20">
        <v>2037</v>
      </c>
      <c r="F37" s="20"/>
      <c r="G37" s="20"/>
      <c r="H37" s="20"/>
      <c r="I37" s="20"/>
      <c r="J37" s="20"/>
      <c r="K37" s="20"/>
      <c r="L37" s="20"/>
      <c r="M37" s="20"/>
      <c r="N37" s="20">
        <f t="shared" si="0"/>
        <v>2320.4635050427951</v>
      </c>
      <c r="O37" s="20">
        <v>4907.7359999999999</v>
      </c>
      <c r="P37" s="20">
        <v>316.3</v>
      </c>
      <c r="Q37" s="20">
        <f t="shared" si="1"/>
        <v>5021.8986303164966</v>
      </c>
      <c r="R37" s="20">
        <f t="shared" si="2"/>
        <v>2701.4351252737019</v>
      </c>
      <c r="S37" s="20">
        <f t="shared" si="3"/>
        <v>9613.3346303164981</v>
      </c>
      <c r="T37" s="20"/>
      <c r="U37" s="20"/>
      <c r="V37" s="20"/>
      <c r="W37" s="20"/>
      <c r="X37" s="20"/>
      <c r="Y37" s="20"/>
      <c r="Z37" s="20"/>
    </row>
    <row r="38" spans="5:26" ht="18" thickTop="1" thickBot="1" x14ac:dyDescent="0.25">
      <c r="E38" s="20">
        <v>2038</v>
      </c>
      <c r="F38" s="20"/>
      <c r="G38" s="20"/>
      <c r="H38" s="20"/>
      <c r="I38" s="20"/>
      <c r="J38" s="20"/>
      <c r="K38" s="20"/>
      <c r="L38" s="20"/>
      <c r="M38" s="20"/>
      <c r="N38" s="20">
        <f t="shared" si="0"/>
        <v>2471.2936328705769</v>
      </c>
      <c r="O38" s="20">
        <v>4907.7359999999999</v>
      </c>
      <c r="P38" s="20">
        <v>332.1</v>
      </c>
      <c r="Q38" s="20">
        <f t="shared" si="1"/>
        <v>5348.3220412870687</v>
      </c>
      <c r="R38" s="20">
        <f t="shared" si="2"/>
        <v>2877.0284084164923</v>
      </c>
      <c r="S38" s="20">
        <f t="shared" si="3"/>
        <v>9923.9580412870691</v>
      </c>
      <c r="T38" s="20"/>
      <c r="U38" s="20"/>
      <c r="V38" s="20"/>
      <c r="W38" s="20"/>
      <c r="X38" s="20"/>
      <c r="Y38" s="20"/>
      <c r="Z38" s="20"/>
    </row>
    <row r="39" spans="5:26" ht="18" thickTop="1" thickBot="1" x14ac:dyDescent="0.25">
      <c r="E39" s="20">
        <v>2039</v>
      </c>
      <c r="F39" s="20"/>
      <c r="G39" s="20"/>
      <c r="H39" s="20"/>
      <c r="I39" s="20"/>
      <c r="J39" s="20"/>
      <c r="K39" s="20"/>
      <c r="L39" s="20"/>
      <c r="M39" s="20"/>
      <c r="N39" s="20">
        <f t="shared" si="0"/>
        <v>2631.9277190071643</v>
      </c>
      <c r="O39" s="20">
        <v>4907.7359999999999</v>
      </c>
      <c r="P39" s="20">
        <v>348.7</v>
      </c>
      <c r="Q39" s="20">
        <f t="shared" si="1"/>
        <v>5695.9629739707289</v>
      </c>
      <c r="R39" s="20">
        <f t="shared" si="2"/>
        <v>3064.0352549635641</v>
      </c>
      <c r="S39" s="20">
        <f t="shared" si="3"/>
        <v>10254.998973970727</v>
      </c>
      <c r="T39" s="20"/>
      <c r="U39" s="20"/>
      <c r="V39" s="20"/>
      <c r="W39" s="20"/>
      <c r="X39" s="20"/>
      <c r="Y39" s="20"/>
      <c r="Z39" s="20"/>
    </row>
    <row r="40" spans="5:26" ht="18" thickTop="1" thickBot="1" x14ac:dyDescent="0.25"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>
        <v>0</v>
      </c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5:26" ht="17" thickTop="1" x14ac:dyDescent="0.2"/>
  </sheetData>
  <mergeCells count="7">
    <mergeCell ref="AA7:AL7"/>
    <mergeCell ref="L8:N8"/>
    <mergeCell ref="E8:K8"/>
    <mergeCell ref="E7:N7"/>
    <mergeCell ref="O7:Z7"/>
    <mergeCell ref="O8:S8"/>
    <mergeCell ref="T8:Y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2D41C-E5F2-9E44-82DE-D3C099914947}">
  <dimension ref="D1:AA50"/>
  <sheetViews>
    <sheetView workbookViewId="0">
      <selection activeCell="D2" sqref="D2"/>
    </sheetView>
  </sheetViews>
  <sheetFormatPr baseColWidth="10" defaultColWidth="11" defaultRowHeight="16" x14ac:dyDescent="0.2"/>
  <cols>
    <col min="4" max="4" width="19.1640625" bestFit="1" customWidth="1"/>
    <col min="5" max="5" width="16.6640625" customWidth="1"/>
    <col min="6" max="6" width="19.6640625" customWidth="1"/>
    <col min="7" max="7" width="20" customWidth="1"/>
    <col min="8" max="8" width="21.33203125" customWidth="1"/>
    <col min="9" max="9" width="26.6640625" customWidth="1"/>
    <col min="10" max="10" width="16.33203125" bestFit="1" customWidth="1"/>
    <col min="11" max="11" width="17.1640625" bestFit="1" customWidth="1"/>
    <col min="12" max="12" width="21" bestFit="1" customWidth="1"/>
    <col min="13" max="13" width="25.6640625" customWidth="1"/>
    <col min="14" max="14" width="14" customWidth="1"/>
    <col min="15" max="15" width="16.1640625" customWidth="1"/>
    <col min="16" max="16" width="15.1640625" customWidth="1"/>
    <col min="17" max="19" width="17.1640625" customWidth="1"/>
    <col min="20" max="20" width="20.6640625" customWidth="1"/>
    <col min="21" max="21" width="17" customWidth="1"/>
    <col min="22" max="22" width="15.6640625" bestFit="1" customWidth="1"/>
    <col min="23" max="23" width="29.1640625" customWidth="1"/>
    <col min="24" max="24" width="12.5" customWidth="1"/>
    <col min="25" max="25" width="13.5" customWidth="1"/>
  </cols>
  <sheetData>
    <row r="1" spans="4:27" x14ac:dyDescent="0.2">
      <c r="F1" s="5" t="s">
        <v>145</v>
      </c>
      <c r="J1" s="5" t="s">
        <v>146</v>
      </c>
    </row>
    <row r="2" spans="4:27" x14ac:dyDescent="0.2">
      <c r="D2" s="5" t="s">
        <v>200</v>
      </c>
      <c r="F2" t="s">
        <v>134</v>
      </c>
      <c r="G2">
        <f>Domestic_Loan</f>
        <v>3650</v>
      </c>
      <c r="J2">
        <f>International_Loan</f>
        <v>1616</v>
      </c>
      <c r="L2" t="s">
        <v>147</v>
      </c>
      <c r="M2" s="2">
        <v>0.3</v>
      </c>
      <c r="N2" s="2"/>
      <c r="O2" t="s">
        <v>148</v>
      </c>
    </row>
    <row r="3" spans="4:27" x14ac:dyDescent="0.2">
      <c r="F3" t="s">
        <v>149</v>
      </c>
      <c r="G3">
        <f>Interest_Year</f>
        <v>0.105</v>
      </c>
      <c r="J3">
        <f>Interest_Year</f>
        <v>0.105</v>
      </c>
    </row>
    <row r="4" spans="4:27" x14ac:dyDescent="0.2">
      <c r="F4" t="s">
        <v>150</v>
      </c>
      <c r="G4">
        <f>Loan_Repayement_Domestic_Yearly</f>
        <v>469.18870915930268</v>
      </c>
      <c r="J4">
        <f>Loan_Repayement_Internatinal_Yearly</f>
        <v>233.42330950624293</v>
      </c>
      <c r="M4" t="s">
        <v>151</v>
      </c>
      <c r="N4">
        <v>0</v>
      </c>
    </row>
    <row r="5" spans="4:27" x14ac:dyDescent="0.2">
      <c r="F5" t="s">
        <v>152</v>
      </c>
      <c r="G5" t="s">
        <v>153</v>
      </c>
      <c r="J5" t="s">
        <v>154</v>
      </c>
      <c r="M5" t="s">
        <v>155</v>
      </c>
      <c r="N5">
        <f>(Total-Salvage_value__After_60_yr)/60</f>
        <v>208.41666666666666</v>
      </c>
    </row>
    <row r="7" spans="4:27" ht="17" thickBot="1" x14ac:dyDescent="0.25"/>
    <row r="8" spans="4:27" ht="28" customHeight="1" thickTop="1" thickBot="1" x14ac:dyDescent="0.25">
      <c r="D8" s="21"/>
      <c r="E8" s="21"/>
      <c r="F8" s="21" t="s">
        <v>145</v>
      </c>
      <c r="G8" s="21" t="s">
        <v>145</v>
      </c>
      <c r="H8" s="21" t="s">
        <v>145</v>
      </c>
      <c r="I8" s="21"/>
      <c r="J8" s="21" t="s">
        <v>146</v>
      </c>
      <c r="K8" s="21"/>
      <c r="L8" s="21"/>
      <c r="M8" s="21"/>
      <c r="N8" s="21"/>
      <c r="O8" s="21"/>
      <c r="P8" s="21"/>
      <c r="Q8" s="21"/>
      <c r="R8" s="21"/>
      <c r="S8" s="21"/>
      <c r="T8" s="21" t="s">
        <v>156</v>
      </c>
      <c r="U8" s="21" t="s">
        <v>157</v>
      </c>
      <c r="V8" s="21" t="s">
        <v>158</v>
      </c>
      <c r="W8" s="21" t="s">
        <v>159</v>
      </c>
      <c r="X8" s="21" t="s">
        <v>197</v>
      </c>
      <c r="Y8" s="21" t="s">
        <v>198</v>
      </c>
      <c r="Z8" s="21"/>
      <c r="AA8" s="21"/>
    </row>
    <row r="9" spans="4:27" ht="18" thickTop="1" thickBot="1" x14ac:dyDescent="0.25">
      <c r="D9" s="55" t="s">
        <v>160</v>
      </c>
      <c r="E9" s="55" t="s">
        <v>161</v>
      </c>
      <c r="F9" s="55" t="s">
        <v>162</v>
      </c>
      <c r="G9" s="55" t="s">
        <v>163</v>
      </c>
      <c r="H9" s="55" t="s">
        <v>164</v>
      </c>
      <c r="I9" s="55" t="s">
        <v>165</v>
      </c>
      <c r="J9" s="55" t="s">
        <v>166</v>
      </c>
      <c r="K9" s="55" t="s">
        <v>167</v>
      </c>
      <c r="L9" s="55" t="s">
        <v>168</v>
      </c>
      <c r="M9" s="55" t="s">
        <v>169</v>
      </c>
      <c r="N9" s="55"/>
      <c r="O9" s="55" t="s">
        <v>170</v>
      </c>
      <c r="P9" s="55" t="s">
        <v>171</v>
      </c>
      <c r="Q9" s="55" t="s">
        <v>172</v>
      </c>
      <c r="R9" s="55" t="s">
        <v>173</v>
      </c>
      <c r="S9" s="55" t="s">
        <v>196</v>
      </c>
      <c r="T9" s="55" t="s">
        <v>174</v>
      </c>
      <c r="U9" s="55"/>
      <c r="V9" s="55"/>
      <c r="W9" s="55">
        <f>-Total</f>
        <v>-12505</v>
      </c>
      <c r="X9" s="55"/>
      <c r="Y9" s="55"/>
      <c r="Z9" s="55"/>
      <c r="AA9" s="55"/>
    </row>
    <row r="10" spans="4:27" ht="18" thickTop="1" thickBot="1" x14ac:dyDescent="0.25">
      <c r="D10" s="20">
        <v>2010</v>
      </c>
      <c r="E10" s="20" cm="1">
        <f t="array" ref="E10:E27">Net_cash_23</f>
        <v>3274.9929999999999</v>
      </c>
      <c r="F10" s="20">
        <f>Domestic_Loan*Interest_Year</f>
        <v>383.25</v>
      </c>
      <c r="G10" s="20">
        <f t="shared" ref="G10:G26" si="0">Domestic_Loan/17</f>
        <v>214.70588235294119</v>
      </c>
      <c r="H10" s="20">
        <f>G10</f>
        <v>214.70588235294119</v>
      </c>
      <c r="I10" s="20">
        <f t="shared" ref="I10:I26" si="1">Domestic_Loan-H10</f>
        <v>3435.294117647059</v>
      </c>
      <c r="J10" s="20">
        <f>International_Loan*Interest_Year</f>
        <v>169.68</v>
      </c>
      <c r="K10" s="20">
        <f t="shared" ref="K10:K23" si="2">International_Loan/13</f>
        <v>124.30769230769231</v>
      </c>
      <c r="L10" s="20">
        <f>K10</f>
        <v>124.30769230769231</v>
      </c>
      <c r="M10" s="20">
        <f t="shared" ref="M10:M22" si="3">International_Loan-L10</f>
        <v>1491.6923076923076</v>
      </c>
      <c r="N10" s="20"/>
      <c r="O10" s="20">
        <f>K10+G10</f>
        <v>339.01357466063348</v>
      </c>
      <c r="P10" s="20">
        <f>J10+F10</f>
        <v>552.93000000000006</v>
      </c>
      <c r="Q10" s="20">
        <f t="shared" ref="Q10:Q26" si="4">O10/(1-Tax)</f>
        <v>484.30510665804786</v>
      </c>
      <c r="R10" s="20">
        <f t="shared" ref="R10:R26" si="5">depreciation_every_year_using_SL_method</f>
        <v>208.41666666666666</v>
      </c>
      <c r="S10" s="20">
        <f t="shared" ref="S10:S26" si="6">E10-R10</f>
        <v>3066.5763333333334</v>
      </c>
      <c r="T10" s="20">
        <f>S10/P10</f>
        <v>5.5460480229564917</v>
      </c>
      <c r="U10" s="20">
        <f t="shared" ref="U10:U26" si="7">S10/(P10+(O10/(1-Tax)))</f>
        <v>2.9564910729003233</v>
      </c>
      <c r="V10" s="20">
        <f t="shared" ref="V10:V26" si="8">P10+O10</f>
        <v>891.94357466063354</v>
      </c>
      <c r="W10" s="20">
        <f>Y10-V10</f>
        <v>867.60885867269951</v>
      </c>
      <c r="X10" s="20">
        <f>S10-P10</f>
        <v>2513.6463333333331</v>
      </c>
      <c r="Y10" s="20">
        <f>0.7*X10</f>
        <v>1759.5524333333331</v>
      </c>
      <c r="Z10" s="20"/>
      <c r="AA10" s="20"/>
    </row>
    <row r="11" spans="4:27" ht="18" thickTop="1" thickBot="1" x14ac:dyDescent="0.25">
      <c r="D11" s="20">
        <v>2011</v>
      </c>
      <c r="E11" s="20">
        <v>3311.6061250000002</v>
      </c>
      <c r="F11" s="20">
        <f t="shared" ref="F11:F27" si="9">I10*Interest_Year</f>
        <v>360.70588235294116</v>
      </c>
      <c r="G11" s="20">
        <f t="shared" si="0"/>
        <v>214.70588235294119</v>
      </c>
      <c r="H11" s="20">
        <f>SUM(G10:G11)</f>
        <v>429.41176470588238</v>
      </c>
      <c r="I11" s="20">
        <f t="shared" si="1"/>
        <v>3220.5882352941176</v>
      </c>
      <c r="J11" s="20">
        <f t="shared" ref="J11:J23" si="10">M10*Interest_Year</f>
        <v>156.62769230769229</v>
      </c>
      <c r="K11" s="20">
        <f t="shared" si="2"/>
        <v>124.30769230769231</v>
      </c>
      <c r="L11" s="20">
        <f>L10+K11</f>
        <v>248.61538461538461</v>
      </c>
      <c r="M11" s="20">
        <f t="shared" si="3"/>
        <v>1367.3846153846155</v>
      </c>
      <c r="N11" s="20"/>
      <c r="O11" s="20">
        <f t="shared" ref="O11:O26" si="11">K11+G11</f>
        <v>339.01357466063348</v>
      </c>
      <c r="P11" s="20">
        <f t="shared" ref="P11:P26" si="12">J11+F11</f>
        <v>517.33357466063342</v>
      </c>
      <c r="Q11" s="20">
        <f t="shared" si="4"/>
        <v>484.30510665804786</v>
      </c>
      <c r="R11" s="20">
        <f t="shared" si="5"/>
        <v>208.41666666666666</v>
      </c>
      <c r="S11" s="20">
        <f t="shared" si="6"/>
        <v>3103.1894583333337</v>
      </c>
      <c r="T11" s="20">
        <f t="shared" ref="T11:T26" si="13">S11/P11</f>
        <v>5.9984304331475116</v>
      </c>
      <c r="U11" s="20">
        <f t="shared" si="7"/>
        <v>3.0981126390285874</v>
      </c>
      <c r="V11" s="20">
        <f t="shared" si="8"/>
        <v>856.3471493212669</v>
      </c>
      <c r="W11" s="20">
        <f t="shared" ref="W11:W26" si="14">Y11-V11</f>
        <v>953.75196924962302</v>
      </c>
      <c r="X11" s="20">
        <f t="shared" ref="X11:X26" si="15">S11-P11</f>
        <v>2585.8558836727002</v>
      </c>
      <c r="Y11" s="20">
        <f t="shared" ref="Y11:Y26" si="16">0.7*X11</f>
        <v>1810.0991185708899</v>
      </c>
      <c r="Z11" s="20"/>
      <c r="AA11" s="20"/>
    </row>
    <row r="12" spans="4:27" ht="18" thickTop="1" thickBot="1" x14ac:dyDescent="0.25">
      <c r="D12" s="20">
        <v>2012</v>
      </c>
      <c r="E12" s="20">
        <v>3366.0941031250004</v>
      </c>
      <c r="F12" s="20">
        <f t="shared" si="9"/>
        <v>338.16176470588232</v>
      </c>
      <c r="G12" s="20">
        <f t="shared" si="0"/>
        <v>214.70588235294119</v>
      </c>
      <c r="H12" s="20">
        <f>H11+G12</f>
        <v>644.11764705882354</v>
      </c>
      <c r="I12" s="20">
        <f t="shared" si="1"/>
        <v>3005.8823529411766</v>
      </c>
      <c r="J12" s="20">
        <f t="shared" si="10"/>
        <v>143.57538461538462</v>
      </c>
      <c r="K12" s="20">
        <f t="shared" si="2"/>
        <v>124.30769230769231</v>
      </c>
      <c r="L12" s="20">
        <f t="shared" ref="L12:L22" si="17">L11+K12</f>
        <v>372.92307692307691</v>
      </c>
      <c r="M12" s="20">
        <f t="shared" si="3"/>
        <v>1243.0769230769231</v>
      </c>
      <c r="N12" s="20"/>
      <c r="O12" s="20">
        <f t="shared" si="11"/>
        <v>339.01357466063348</v>
      </c>
      <c r="P12" s="20">
        <f t="shared" si="12"/>
        <v>481.73714932126694</v>
      </c>
      <c r="Q12" s="20">
        <f t="shared" si="4"/>
        <v>484.30510665804786</v>
      </c>
      <c r="R12" s="20">
        <f t="shared" si="5"/>
        <v>208.41666666666666</v>
      </c>
      <c r="S12" s="20">
        <f t="shared" si="6"/>
        <v>3157.6774364583339</v>
      </c>
      <c r="T12" s="20">
        <f t="shared" si="13"/>
        <v>6.5547725370718757</v>
      </c>
      <c r="U12" s="20">
        <f t="shared" si="7"/>
        <v>3.268674239572753</v>
      </c>
      <c r="V12" s="20">
        <f t="shared" si="8"/>
        <v>820.75072398190036</v>
      </c>
      <c r="W12" s="20">
        <f t="shared" si="14"/>
        <v>1052.4074770140464</v>
      </c>
      <c r="X12" s="20">
        <f t="shared" si="15"/>
        <v>2675.9402871370671</v>
      </c>
      <c r="Y12" s="20">
        <f t="shared" si="16"/>
        <v>1873.1582009959468</v>
      </c>
      <c r="Z12" s="20"/>
      <c r="AA12" s="20"/>
    </row>
    <row r="13" spans="4:27" ht="18" thickTop="1" thickBot="1" x14ac:dyDescent="0.25">
      <c r="D13" s="20">
        <v>2013</v>
      </c>
      <c r="E13" s="20">
        <v>3501.7087998281249</v>
      </c>
      <c r="F13" s="20">
        <f t="shared" si="9"/>
        <v>315.61764705882354</v>
      </c>
      <c r="G13" s="20">
        <f t="shared" si="0"/>
        <v>214.70588235294119</v>
      </c>
      <c r="H13" s="20">
        <f>H12+G13</f>
        <v>858.82352941176475</v>
      </c>
      <c r="I13" s="20">
        <f t="shared" si="1"/>
        <v>2791.1764705882351</v>
      </c>
      <c r="J13" s="20">
        <f t="shared" si="10"/>
        <v>130.52307692307693</v>
      </c>
      <c r="K13" s="20">
        <f t="shared" si="2"/>
        <v>124.30769230769231</v>
      </c>
      <c r="L13" s="20">
        <f t="shared" si="17"/>
        <v>497.23076923076923</v>
      </c>
      <c r="M13" s="20">
        <f t="shared" si="3"/>
        <v>1118.7692307692307</v>
      </c>
      <c r="N13" s="20"/>
      <c r="O13" s="20">
        <f t="shared" si="11"/>
        <v>339.01357466063348</v>
      </c>
      <c r="P13" s="20">
        <f t="shared" si="12"/>
        <v>446.14072398190046</v>
      </c>
      <c r="Q13" s="20">
        <f t="shared" si="4"/>
        <v>484.30510665804786</v>
      </c>
      <c r="R13" s="20">
        <f t="shared" si="5"/>
        <v>208.41666666666666</v>
      </c>
      <c r="S13" s="20">
        <f t="shared" si="6"/>
        <v>3293.2921331614584</v>
      </c>
      <c r="T13" s="20">
        <f t="shared" si="13"/>
        <v>7.3817339600118288</v>
      </c>
      <c r="U13" s="20">
        <f t="shared" si="7"/>
        <v>3.5394775544282635</v>
      </c>
      <c r="V13" s="20">
        <f t="shared" si="8"/>
        <v>785.15429864253394</v>
      </c>
      <c r="W13" s="20">
        <f t="shared" si="14"/>
        <v>1207.8516877831566</v>
      </c>
      <c r="X13" s="20">
        <f t="shared" si="15"/>
        <v>2847.151409179558</v>
      </c>
      <c r="Y13" s="20">
        <f t="shared" si="16"/>
        <v>1993.0059864256905</v>
      </c>
      <c r="Z13" s="20"/>
      <c r="AA13" s="20"/>
    </row>
    <row r="14" spans="4:27" ht="18" thickTop="1" thickBot="1" x14ac:dyDescent="0.25">
      <c r="D14" s="20">
        <v>2014</v>
      </c>
      <c r="E14" s="20">
        <v>3513.7184518169529</v>
      </c>
      <c r="F14" s="20">
        <f t="shared" si="9"/>
        <v>293.0735294117647</v>
      </c>
      <c r="G14" s="20">
        <f t="shared" si="0"/>
        <v>214.70588235294119</v>
      </c>
      <c r="H14" s="20">
        <f t="shared" ref="H14:H26" si="18">H13+G14</f>
        <v>1073.5294117647059</v>
      </c>
      <c r="I14" s="20">
        <f t="shared" si="1"/>
        <v>2576.4705882352941</v>
      </c>
      <c r="J14" s="20">
        <f t="shared" si="10"/>
        <v>117.47076923076922</v>
      </c>
      <c r="K14" s="20">
        <f t="shared" si="2"/>
        <v>124.30769230769231</v>
      </c>
      <c r="L14" s="20">
        <f t="shared" si="17"/>
        <v>621.53846153846155</v>
      </c>
      <c r="M14" s="20">
        <f t="shared" si="3"/>
        <v>994.46153846153845</v>
      </c>
      <c r="N14" s="20"/>
      <c r="O14" s="20">
        <f t="shared" si="11"/>
        <v>339.01357466063348</v>
      </c>
      <c r="P14" s="20">
        <f t="shared" si="12"/>
        <v>410.54429864253393</v>
      </c>
      <c r="Q14" s="20">
        <f t="shared" si="4"/>
        <v>484.30510665804786</v>
      </c>
      <c r="R14" s="20">
        <f t="shared" si="5"/>
        <v>208.41666666666666</v>
      </c>
      <c r="S14" s="20">
        <f t="shared" si="6"/>
        <v>3305.3017851502864</v>
      </c>
      <c r="T14" s="20">
        <f t="shared" si="13"/>
        <v>8.0510234731776276</v>
      </c>
      <c r="U14" s="20">
        <f t="shared" si="7"/>
        <v>3.6936961298421251</v>
      </c>
      <c r="V14" s="20">
        <f t="shared" si="8"/>
        <v>749.55787330316741</v>
      </c>
      <c r="W14" s="20">
        <f t="shared" si="14"/>
        <v>1276.7723672522588</v>
      </c>
      <c r="X14" s="20">
        <f t="shared" si="15"/>
        <v>2894.7574865077522</v>
      </c>
      <c r="Y14" s="20">
        <f t="shared" si="16"/>
        <v>2026.3302405554264</v>
      </c>
      <c r="Z14" s="20"/>
      <c r="AA14" s="20"/>
    </row>
    <row r="15" spans="4:27" ht="18" thickTop="1" thickBot="1" x14ac:dyDescent="0.25">
      <c r="D15" s="20">
        <v>2015</v>
      </c>
      <c r="E15" s="20">
        <v>3584.4087311850553</v>
      </c>
      <c r="F15" s="20">
        <f t="shared" si="9"/>
        <v>270.52941176470586</v>
      </c>
      <c r="G15" s="20">
        <f t="shared" si="0"/>
        <v>214.70588235294119</v>
      </c>
      <c r="H15" s="20">
        <f t="shared" si="18"/>
        <v>1288.2352941176471</v>
      </c>
      <c r="I15" s="20">
        <f t="shared" si="1"/>
        <v>2361.7647058823532</v>
      </c>
      <c r="J15" s="20">
        <f t="shared" si="10"/>
        <v>104.41846153846153</v>
      </c>
      <c r="K15" s="20">
        <f t="shared" si="2"/>
        <v>124.30769230769231</v>
      </c>
      <c r="L15" s="20">
        <f t="shared" si="17"/>
        <v>745.84615384615381</v>
      </c>
      <c r="M15" s="20">
        <f t="shared" si="3"/>
        <v>870.15384615384619</v>
      </c>
      <c r="N15" s="20"/>
      <c r="O15" s="20">
        <f t="shared" si="11"/>
        <v>339.01357466063348</v>
      </c>
      <c r="P15" s="20">
        <f t="shared" si="12"/>
        <v>374.9478733031674</v>
      </c>
      <c r="Q15" s="20">
        <f t="shared" si="4"/>
        <v>484.30510665804786</v>
      </c>
      <c r="R15" s="20">
        <f t="shared" si="5"/>
        <v>208.41666666666666</v>
      </c>
      <c r="S15" s="20">
        <f t="shared" si="6"/>
        <v>3375.9920645183888</v>
      </c>
      <c r="T15" s="20">
        <f t="shared" si="13"/>
        <v>9.003897087819194</v>
      </c>
      <c r="U15" s="20">
        <f t="shared" si="7"/>
        <v>3.9289849942339141</v>
      </c>
      <c r="V15" s="20">
        <f t="shared" si="8"/>
        <v>713.96144796380088</v>
      </c>
      <c r="W15" s="20">
        <f t="shared" si="14"/>
        <v>1386.769485886854</v>
      </c>
      <c r="X15" s="20">
        <f t="shared" si="15"/>
        <v>3001.0441912152214</v>
      </c>
      <c r="Y15" s="20">
        <f t="shared" si="16"/>
        <v>2100.7309338506548</v>
      </c>
      <c r="Z15" s="20"/>
      <c r="AA15" s="20"/>
    </row>
    <row r="16" spans="4:27" ht="18" thickTop="1" thickBot="1" x14ac:dyDescent="0.25">
      <c r="D16" s="20">
        <v>2016</v>
      </c>
      <c r="E16" s="20">
        <v>3659.7838787120832</v>
      </c>
      <c r="F16" s="20">
        <f t="shared" si="9"/>
        <v>247.98529411764707</v>
      </c>
      <c r="G16" s="20">
        <f t="shared" si="0"/>
        <v>214.70588235294119</v>
      </c>
      <c r="H16" s="20">
        <f t="shared" si="18"/>
        <v>1502.9411764705883</v>
      </c>
      <c r="I16" s="20">
        <f t="shared" si="1"/>
        <v>2147.0588235294117</v>
      </c>
      <c r="J16" s="20">
        <f t="shared" si="10"/>
        <v>91.36615384615385</v>
      </c>
      <c r="K16" s="20">
        <f t="shared" si="2"/>
        <v>124.30769230769231</v>
      </c>
      <c r="L16" s="20">
        <f t="shared" si="17"/>
        <v>870.15384615384608</v>
      </c>
      <c r="M16" s="20">
        <f t="shared" si="3"/>
        <v>745.84615384615392</v>
      </c>
      <c r="N16" s="20"/>
      <c r="O16" s="20">
        <f t="shared" si="11"/>
        <v>339.01357466063348</v>
      </c>
      <c r="P16" s="20">
        <f t="shared" si="12"/>
        <v>339.35144796380092</v>
      </c>
      <c r="Q16" s="20">
        <f t="shared" si="4"/>
        <v>484.30510665804786</v>
      </c>
      <c r="R16" s="20">
        <f t="shared" si="5"/>
        <v>208.41666666666666</v>
      </c>
      <c r="S16" s="20">
        <f t="shared" si="6"/>
        <v>3451.3672120454166</v>
      </c>
      <c r="T16" s="20">
        <f t="shared" si="13"/>
        <v>10.170480287485258</v>
      </c>
      <c r="U16" s="20">
        <f t="shared" si="7"/>
        <v>4.1902989694897572</v>
      </c>
      <c r="V16" s="20">
        <f t="shared" si="8"/>
        <v>678.36502262443446</v>
      </c>
      <c r="W16" s="20">
        <f t="shared" si="14"/>
        <v>1500.0460122326963</v>
      </c>
      <c r="X16" s="20">
        <f t="shared" si="15"/>
        <v>3112.0157640816155</v>
      </c>
      <c r="Y16" s="20">
        <f t="shared" si="16"/>
        <v>2178.4110348571307</v>
      </c>
      <c r="Z16" s="20"/>
      <c r="AA16" s="20"/>
    </row>
    <row r="17" spans="4:27" ht="18" thickTop="1" thickBot="1" x14ac:dyDescent="0.25">
      <c r="D17" s="20">
        <v>2017</v>
      </c>
      <c r="E17" s="20">
        <v>3740.1679108283683</v>
      </c>
      <c r="F17" s="20">
        <f t="shared" si="9"/>
        <v>225.44117647058823</v>
      </c>
      <c r="G17" s="20">
        <f t="shared" si="0"/>
        <v>214.70588235294119</v>
      </c>
      <c r="H17" s="20">
        <f t="shared" si="18"/>
        <v>1717.6470588235295</v>
      </c>
      <c r="I17" s="20">
        <f t="shared" si="1"/>
        <v>1932.3529411764705</v>
      </c>
      <c r="J17" s="20">
        <f t="shared" si="10"/>
        <v>78.313846153846157</v>
      </c>
      <c r="K17" s="20">
        <f t="shared" si="2"/>
        <v>124.30769230769231</v>
      </c>
      <c r="L17" s="20">
        <f t="shared" si="17"/>
        <v>994.46153846153834</v>
      </c>
      <c r="M17" s="20">
        <f t="shared" si="3"/>
        <v>621.53846153846166</v>
      </c>
      <c r="N17" s="20"/>
      <c r="O17" s="20">
        <f t="shared" si="11"/>
        <v>339.01357466063348</v>
      </c>
      <c r="P17" s="20">
        <f t="shared" si="12"/>
        <v>303.75502262443439</v>
      </c>
      <c r="Q17" s="20">
        <f t="shared" si="4"/>
        <v>484.30510665804786</v>
      </c>
      <c r="R17" s="20">
        <f t="shared" si="5"/>
        <v>208.41666666666666</v>
      </c>
      <c r="S17" s="20">
        <f t="shared" si="6"/>
        <v>3531.7512441617018</v>
      </c>
      <c r="T17" s="20">
        <f t="shared" si="13"/>
        <v>11.626972333321358</v>
      </c>
      <c r="U17" s="20">
        <f t="shared" si="7"/>
        <v>4.4815758505347967</v>
      </c>
      <c r="V17" s="20">
        <f t="shared" si="8"/>
        <v>642.76859728506793</v>
      </c>
      <c r="W17" s="20">
        <f t="shared" si="14"/>
        <v>1616.8287577910194</v>
      </c>
      <c r="X17" s="20">
        <f t="shared" si="15"/>
        <v>3227.9962215372675</v>
      </c>
      <c r="Y17" s="20">
        <f t="shared" si="16"/>
        <v>2259.5973550760873</v>
      </c>
      <c r="Z17" s="20"/>
      <c r="AA17" s="20"/>
    </row>
    <row r="18" spans="4:27" ht="18" thickTop="1" thickBot="1" x14ac:dyDescent="0.25">
      <c r="D18" s="20">
        <v>2018</v>
      </c>
      <c r="E18" s="20">
        <v>3825.9059050322126</v>
      </c>
      <c r="F18" s="20">
        <f t="shared" si="9"/>
        <v>202.89705882352939</v>
      </c>
      <c r="G18" s="20">
        <f t="shared" si="0"/>
        <v>214.70588235294119</v>
      </c>
      <c r="H18" s="20">
        <f t="shared" si="18"/>
        <v>1932.3529411764707</v>
      </c>
      <c r="I18" s="20">
        <f t="shared" si="1"/>
        <v>1717.6470588235293</v>
      </c>
      <c r="J18" s="20">
        <f t="shared" si="10"/>
        <v>65.261538461538478</v>
      </c>
      <c r="K18" s="20">
        <f t="shared" si="2"/>
        <v>124.30769230769231</v>
      </c>
      <c r="L18" s="20">
        <f t="shared" si="17"/>
        <v>1118.7692307692307</v>
      </c>
      <c r="M18" s="20">
        <f t="shared" si="3"/>
        <v>497.23076923076928</v>
      </c>
      <c r="N18" s="20"/>
      <c r="O18" s="20">
        <f t="shared" si="11"/>
        <v>339.01357466063348</v>
      </c>
      <c r="P18" s="20">
        <f t="shared" si="12"/>
        <v>268.15859728506786</v>
      </c>
      <c r="Q18" s="20">
        <f t="shared" si="4"/>
        <v>484.30510665804786</v>
      </c>
      <c r="R18" s="20">
        <f t="shared" si="5"/>
        <v>208.41666666666666</v>
      </c>
      <c r="S18" s="20">
        <f t="shared" si="6"/>
        <v>3617.489238365546</v>
      </c>
      <c r="T18" s="20">
        <f t="shared" si="13"/>
        <v>13.490110982792579</v>
      </c>
      <c r="U18" s="20">
        <f t="shared" si="7"/>
        <v>4.8075265549805426</v>
      </c>
      <c r="V18" s="20">
        <f t="shared" si="8"/>
        <v>607.17217194570139</v>
      </c>
      <c r="W18" s="20">
        <f t="shared" si="14"/>
        <v>1737.3592768106332</v>
      </c>
      <c r="X18" s="20">
        <f t="shared" si="15"/>
        <v>3349.330641080478</v>
      </c>
      <c r="Y18" s="20">
        <f t="shared" si="16"/>
        <v>2344.5314487563346</v>
      </c>
      <c r="Z18" s="20"/>
      <c r="AA18" s="20"/>
    </row>
    <row r="19" spans="4:27" ht="18" thickTop="1" thickBot="1" x14ac:dyDescent="0.25">
      <c r="D19" s="20">
        <v>2019</v>
      </c>
      <c r="E19" s="20">
        <v>3917.2653688593068</v>
      </c>
      <c r="F19" s="20">
        <f t="shared" si="9"/>
        <v>180.35294117647058</v>
      </c>
      <c r="G19" s="20">
        <f t="shared" si="0"/>
        <v>214.70588235294119</v>
      </c>
      <c r="H19" s="20">
        <f t="shared" si="18"/>
        <v>2147.0588235294117</v>
      </c>
      <c r="I19" s="20">
        <f t="shared" si="1"/>
        <v>1502.9411764705883</v>
      </c>
      <c r="J19" s="20">
        <f t="shared" si="10"/>
        <v>52.209230769230771</v>
      </c>
      <c r="K19" s="20">
        <f t="shared" si="2"/>
        <v>124.30769230769231</v>
      </c>
      <c r="L19" s="20">
        <f t="shared" si="17"/>
        <v>1243.0769230769231</v>
      </c>
      <c r="M19" s="20">
        <f t="shared" si="3"/>
        <v>372.92307692307691</v>
      </c>
      <c r="N19" s="20"/>
      <c r="O19" s="20">
        <f t="shared" si="11"/>
        <v>339.01357466063348</v>
      </c>
      <c r="P19" s="20">
        <f t="shared" si="12"/>
        <v>232.56217194570135</v>
      </c>
      <c r="Q19" s="20">
        <f t="shared" si="4"/>
        <v>484.30510665804786</v>
      </c>
      <c r="R19" s="20">
        <f t="shared" si="5"/>
        <v>208.41666666666666</v>
      </c>
      <c r="S19" s="20">
        <f t="shared" si="6"/>
        <v>3708.8487021926403</v>
      </c>
      <c r="T19" s="20">
        <f t="shared" si="13"/>
        <v>15.947772895149013</v>
      </c>
      <c r="U19" s="20">
        <f t="shared" si="7"/>
        <v>5.1736894860320701</v>
      </c>
      <c r="V19" s="20">
        <f t="shared" si="8"/>
        <v>571.57574660633486</v>
      </c>
      <c r="W19" s="20">
        <f t="shared" si="14"/>
        <v>1861.8248245665225</v>
      </c>
      <c r="X19" s="20">
        <f t="shared" si="15"/>
        <v>3476.286530246939</v>
      </c>
      <c r="Y19" s="20">
        <f t="shared" si="16"/>
        <v>2433.4005711728573</v>
      </c>
      <c r="Z19" s="20"/>
      <c r="AA19" s="20"/>
    </row>
    <row r="20" spans="4:27" ht="18" thickTop="1" thickBot="1" x14ac:dyDescent="0.25">
      <c r="D20" s="20">
        <v>2020</v>
      </c>
      <c r="E20" s="20">
        <v>5650.5496978351612</v>
      </c>
      <c r="F20" s="20">
        <f t="shared" si="9"/>
        <v>157.80882352941177</v>
      </c>
      <c r="G20" s="20">
        <f t="shared" si="0"/>
        <v>214.70588235294119</v>
      </c>
      <c r="H20" s="20">
        <f t="shared" si="18"/>
        <v>2361.7647058823527</v>
      </c>
      <c r="I20" s="20">
        <f t="shared" si="1"/>
        <v>1288.2352941176473</v>
      </c>
      <c r="J20" s="20">
        <f t="shared" si="10"/>
        <v>39.156923076923071</v>
      </c>
      <c r="K20" s="20">
        <f t="shared" si="2"/>
        <v>124.30769230769231</v>
      </c>
      <c r="L20" s="20">
        <f t="shared" si="17"/>
        <v>1367.3846153846155</v>
      </c>
      <c r="M20" s="20">
        <f t="shared" si="3"/>
        <v>248.61538461538453</v>
      </c>
      <c r="N20" s="20"/>
      <c r="O20" s="20">
        <f t="shared" si="11"/>
        <v>339.01357466063348</v>
      </c>
      <c r="P20" s="20">
        <f t="shared" si="12"/>
        <v>196.96574660633485</v>
      </c>
      <c r="Q20" s="20">
        <f t="shared" si="4"/>
        <v>484.30510665804786</v>
      </c>
      <c r="R20" s="20">
        <f t="shared" si="5"/>
        <v>208.41666666666666</v>
      </c>
      <c r="S20" s="20">
        <f t="shared" si="6"/>
        <v>5442.1330311684942</v>
      </c>
      <c r="T20" s="20">
        <f t="shared" si="13"/>
        <v>27.629844909254203</v>
      </c>
      <c r="U20" s="20">
        <f t="shared" si="7"/>
        <v>7.9882076344407329</v>
      </c>
      <c r="V20" s="20">
        <f t="shared" si="8"/>
        <v>535.97932126696833</v>
      </c>
      <c r="W20" s="20">
        <f t="shared" si="14"/>
        <v>3135.6377779265431</v>
      </c>
      <c r="X20" s="20">
        <f t="shared" si="15"/>
        <v>5245.1672845621597</v>
      </c>
      <c r="Y20" s="20">
        <f t="shared" si="16"/>
        <v>3671.6170991935114</v>
      </c>
      <c r="Z20" s="20"/>
      <c r="AA20" s="20"/>
    </row>
    <row r="21" spans="4:27" ht="18" thickTop="1" thickBot="1" x14ac:dyDescent="0.25">
      <c r="D21" s="20">
        <v>2021</v>
      </c>
      <c r="E21" s="20">
        <v>5754.4517281944472</v>
      </c>
      <c r="F21" s="20">
        <f t="shared" si="9"/>
        <v>135.26470588235296</v>
      </c>
      <c r="G21" s="20">
        <f t="shared" si="0"/>
        <v>214.70588235294119</v>
      </c>
      <c r="H21" s="20">
        <f t="shared" si="18"/>
        <v>2576.4705882352937</v>
      </c>
      <c r="I21" s="20">
        <f t="shared" si="1"/>
        <v>1073.5294117647063</v>
      </c>
      <c r="J21" s="20">
        <f t="shared" si="10"/>
        <v>26.104615384615375</v>
      </c>
      <c r="K21" s="20">
        <f t="shared" si="2"/>
        <v>124.30769230769231</v>
      </c>
      <c r="L21" s="20">
        <f t="shared" si="17"/>
        <v>1491.6923076923078</v>
      </c>
      <c r="M21" s="20">
        <f t="shared" si="3"/>
        <v>124.30769230769215</v>
      </c>
      <c r="N21" s="20"/>
      <c r="O21" s="20">
        <f t="shared" si="11"/>
        <v>339.01357466063348</v>
      </c>
      <c r="P21" s="20">
        <f t="shared" si="12"/>
        <v>161.36932126696834</v>
      </c>
      <c r="Q21" s="20">
        <f t="shared" si="4"/>
        <v>484.30510665804786</v>
      </c>
      <c r="R21" s="20">
        <f t="shared" si="5"/>
        <v>208.41666666666666</v>
      </c>
      <c r="S21" s="20">
        <f t="shared" si="6"/>
        <v>5546.0350615277803</v>
      </c>
      <c r="T21" s="20">
        <f t="shared" si="13"/>
        <v>34.368583928988933</v>
      </c>
      <c r="U21" s="20">
        <f t="shared" si="7"/>
        <v>8.5895225545030502</v>
      </c>
      <c r="V21" s="20">
        <f t="shared" si="8"/>
        <v>500.38289592760179</v>
      </c>
      <c r="W21" s="20">
        <f t="shared" si="14"/>
        <v>3268.8831222549661</v>
      </c>
      <c r="X21" s="20">
        <f t="shared" si="15"/>
        <v>5384.6657402608116</v>
      </c>
      <c r="Y21" s="20">
        <f t="shared" si="16"/>
        <v>3769.2660181825677</v>
      </c>
      <c r="Z21" s="20"/>
      <c r="AA21" s="20"/>
    </row>
    <row r="22" spans="4:27" ht="18" thickTop="1" thickBot="1" x14ac:dyDescent="0.25">
      <c r="D22" s="20">
        <v>2022</v>
      </c>
      <c r="E22" s="20">
        <v>5865.2273905270868</v>
      </c>
      <c r="F22" s="20">
        <f t="shared" si="9"/>
        <v>112.72058823529416</v>
      </c>
      <c r="G22" s="20">
        <f t="shared" si="0"/>
        <v>214.70588235294119</v>
      </c>
      <c r="H22" s="20">
        <f t="shared" si="18"/>
        <v>2791.1764705882347</v>
      </c>
      <c r="I22" s="20">
        <f t="shared" si="1"/>
        <v>858.82352941176532</v>
      </c>
      <c r="J22" s="20">
        <f t="shared" si="10"/>
        <v>13.052307692307675</v>
      </c>
      <c r="K22" s="20">
        <f t="shared" si="2"/>
        <v>124.30769230769231</v>
      </c>
      <c r="L22" s="20">
        <f t="shared" si="17"/>
        <v>1616.0000000000002</v>
      </c>
      <c r="M22" s="20">
        <f t="shared" si="3"/>
        <v>0</v>
      </c>
      <c r="N22" s="20"/>
      <c r="O22" s="20">
        <f t="shared" si="11"/>
        <v>339.01357466063348</v>
      </c>
      <c r="P22" s="20">
        <f t="shared" si="12"/>
        <v>125.77289592760184</v>
      </c>
      <c r="Q22" s="20">
        <f t="shared" si="4"/>
        <v>484.30510665804786</v>
      </c>
      <c r="R22" s="20">
        <f t="shared" si="5"/>
        <v>208.41666666666666</v>
      </c>
      <c r="S22" s="20">
        <f t="shared" si="6"/>
        <v>5656.8107238604198</v>
      </c>
      <c r="T22" s="20">
        <f t="shared" si="13"/>
        <v>44.976389246190436</v>
      </c>
      <c r="U22" s="20">
        <f t="shared" si="7"/>
        <v>9.272274528643166</v>
      </c>
      <c r="V22" s="20">
        <f t="shared" si="8"/>
        <v>464.78647058823532</v>
      </c>
      <c r="W22" s="20">
        <f t="shared" si="14"/>
        <v>3406.940008964737</v>
      </c>
      <c r="X22" s="20">
        <f t="shared" si="15"/>
        <v>5531.0378279328179</v>
      </c>
      <c r="Y22" s="20">
        <f t="shared" si="16"/>
        <v>3871.7264795529723</v>
      </c>
      <c r="Z22" s="20"/>
      <c r="AA22" s="20"/>
    </row>
    <row r="23" spans="4:27" ht="18" thickTop="1" thickBot="1" x14ac:dyDescent="0.25">
      <c r="D23" s="20">
        <v>2023</v>
      </c>
      <c r="E23" s="20">
        <v>5983.2494709113462</v>
      </c>
      <c r="F23" s="20">
        <f t="shared" si="9"/>
        <v>90.176470588235361</v>
      </c>
      <c r="G23" s="20">
        <f t="shared" si="0"/>
        <v>214.70588235294119</v>
      </c>
      <c r="H23" s="20">
        <f t="shared" si="18"/>
        <v>3005.8823529411757</v>
      </c>
      <c r="I23" s="20">
        <f t="shared" si="1"/>
        <v>644.11764705882433</v>
      </c>
      <c r="J23" s="20">
        <f t="shared" si="10"/>
        <v>0</v>
      </c>
      <c r="K23" s="20">
        <f t="shared" si="2"/>
        <v>124.30769230769231</v>
      </c>
      <c r="L23" s="20"/>
      <c r="M23" s="20"/>
      <c r="N23" s="20"/>
      <c r="O23" s="20">
        <f t="shared" si="11"/>
        <v>339.01357466063348</v>
      </c>
      <c r="P23" s="20">
        <f t="shared" si="12"/>
        <v>90.176470588235361</v>
      </c>
      <c r="Q23" s="20">
        <f t="shared" si="4"/>
        <v>484.30510665804786</v>
      </c>
      <c r="R23" s="20">
        <f t="shared" si="5"/>
        <v>208.41666666666666</v>
      </c>
      <c r="S23" s="20">
        <f t="shared" si="6"/>
        <v>5774.8328042446792</v>
      </c>
      <c r="T23" s="20">
        <f t="shared" si="13"/>
        <v>64.039241795276894</v>
      </c>
      <c r="U23" s="20">
        <f t="shared" si="7"/>
        <v>10.052250642963575</v>
      </c>
      <c r="V23" s="20">
        <f t="shared" si="8"/>
        <v>429.19004524886884</v>
      </c>
      <c r="W23" s="20">
        <f t="shared" si="14"/>
        <v>3550.0693883106414</v>
      </c>
      <c r="X23" s="20">
        <f t="shared" si="15"/>
        <v>5684.6563336564441</v>
      </c>
      <c r="Y23" s="20">
        <f t="shared" si="16"/>
        <v>3979.2594335595104</v>
      </c>
      <c r="Z23" s="20"/>
      <c r="AA23" s="20"/>
    </row>
    <row r="24" spans="4:27" ht="18" thickTop="1" thickBot="1" x14ac:dyDescent="0.25">
      <c r="D24" s="20">
        <v>2024</v>
      </c>
      <c r="E24" s="20">
        <v>6137.0214865205835</v>
      </c>
      <c r="F24" s="20">
        <f t="shared" si="9"/>
        <v>67.632352941176549</v>
      </c>
      <c r="G24" s="20">
        <f t="shared" si="0"/>
        <v>214.70588235294119</v>
      </c>
      <c r="H24" s="20">
        <f t="shared" si="18"/>
        <v>3220.5882352941167</v>
      </c>
      <c r="I24" s="20">
        <f t="shared" si="1"/>
        <v>429.41176470588334</v>
      </c>
      <c r="J24" s="20"/>
      <c r="K24" s="20">
        <v>0</v>
      </c>
      <c r="L24" s="20"/>
      <c r="M24" s="20"/>
      <c r="N24" s="20"/>
      <c r="O24" s="20">
        <f t="shared" si="11"/>
        <v>214.70588235294119</v>
      </c>
      <c r="P24" s="20">
        <f t="shared" si="12"/>
        <v>67.632352941176549</v>
      </c>
      <c r="Q24" s="20">
        <f t="shared" si="4"/>
        <v>306.72268907563029</v>
      </c>
      <c r="R24" s="20">
        <f t="shared" si="5"/>
        <v>208.41666666666666</v>
      </c>
      <c r="S24" s="20">
        <f t="shared" si="6"/>
        <v>5928.6048198539165</v>
      </c>
      <c r="T24" s="20">
        <f t="shared" si="13"/>
        <v>87.659301532956263</v>
      </c>
      <c r="U24" s="20">
        <f t="shared" si="7"/>
        <v>15.836850461300184</v>
      </c>
      <c r="V24" s="20">
        <f t="shared" si="8"/>
        <v>282.33823529411774</v>
      </c>
      <c r="W24" s="20">
        <f t="shared" si="14"/>
        <v>3820.3424915447999</v>
      </c>
      <c r="X24" s="20">
        <f t="shared" si="15"/>
        <v>5860.9724669127399</v>
      </c>
      <c r="Y24" s="20">
        <f t="shared" si="16"/>
        <v>4102.6807268389175</v>
      </c>
      <c r="Z24" s="20"/>
      <c r="AA24" s="20"/>
    </row>
    <row r="25" spans="4:27" ht="18" thickTop="1" thickBot="1" x14ac:dyDescent="0.25">
      <c r="D25" s="20">
        <v>2025</v>
      </c>
      <c r="E25" s="20">
        <v>6272.4796831444219</v>
      </c>
      <c r="F25" s="20">
        <f t="shared" si="9"/>
        <v>45.088235294117752</v>
      </c>
      <c r="G25" s="20">
        <f t="shared" si="0"/>
        <v>214.70588235294119</v>
      </c>
      <c r="H25" s="20">
        <f t="shared" si="18"/>
        <v>3435.2941176470576</v>
      </c>
      <c r="I25" s="20">
        <f t="shared" si="1"/>
        <v>214.70588235294235</v>
      </c>
      <c r="J25" s="20"/>
      <c r="K25" s="20">
        <v>0</v>
      </c>
      <c r="L25" s="20"/>
      <c r="M25" s="20"/>
      <c r="N25" s="20"/>
      <c r="O25" s="20">
        <f t="shared" si="11"/>
        <v>214.70588235294119</v>
      </c>
      <c r="P25" s="20">
        <f t="shared" si="12"/>
        <v>45.088235294117752</v>
      </c>
      <c r="Q25" s="20">
        <f t="shared" si="4"/>
        <v>306.72268907563029</v>
      </c>
      <c r="R25" s="20">
        <f t="shared" si="5"/>
        <v>208.41666666666666</v>
      </c>
      <c r="S25" s="20">
        <f t="shared" si="6"/>
        <v>6064.0630164777549</v>
      </c>
      <c r="T25" s="20">
        <f t="shared" si="13"/>
        <v>134.49324367921929</v>
      </c>
      <c r="U25" s="20">
        <f t="shared" si="7"/>
        <v>17.236710393064758</v>
      </c>
      <c r="V25" s="20">
        <f t="shared" si="8"/>
        <v>259.79411764705895</v>
      </c>
      <c r="W25" s="20">
        <f t="shared" si="14"/>
        <v>3953.488229181487</v>
      </c>
      <c r="X25" s="20">
        <f t="shared" si="15"/>
        <v>6018.9747811836369</v>
      </c>
      <c r="Y25" s="20">
        <f t="shared" si="16"/>
        <v>4213.282346828546</v>
      </c>
      <c r="Z25" s="20"/>
      <c r="AA25" s="20"/>
    </row>
    <row r="26" spans="4:27" ht="18" thickTop="1" thickBot="1" x14ac:dyDescent="0.25">
      <c r="D26" s="20">
        <v>2026</v>
      </c>
      <c r="E26" s="20">
        <v>6416.7951625488085</v>
      </c>
      <c r="F26" s="20">
        <f t="shared" si="9"/>
        <v>22.544117647058947</v>
      </c>
      <c r="G26" s="20">
        <f t="shared" si="0"/>
        <v>214.70588235294119</v>
      </c>
      <c r="H26" s="20">
        <f t="shared" si="18"/>
        <v>3649.9999999999986</v>
      </c>
      <c r="I26" s="20">
        <f t="shared" si="1"/>
        <v>0</v>
      </c>
      <c r="J26" s="20"/>
      <c r="K26" s="20">
        <v>0</v>
      </c>
      <c r="L26" s="20"/>
      <c r="M26" s="20"/>
      <c r="N26" s="20"/>
      <c r="O26" s="20">
        <f t="shared" si="11"/>
        <v>214.70588235294119</v>
      </c>
      <c r="P26" s="20">
        <f t="shared" si="12"/>
        <v>22.544117647058947</v>
      </c>
      <c r="Q26" s="20">
        <f t="shared" si="4"/>
        <v>306.72268907563029</v>
      </c>
      <c r="R26" s="20">
        <f t="shared" si="5"/>
        <v>208.41666666666666</v>
      </c>
      <c r="S26" s="20">
        <f t="shared" si="6"/>
        <v>6208.3784958821416</v>
      </c>
      <c r="T26" s="20">
        <f t="shared" si="13"/>
        <v>275.38795676450314</v>
      </c>
      <c r="U26" s="20">
        <f t="shared" si="7"/>
        <v>18.85516052369919</v>
      </c>
      <c r="V26" s="20">
        <f t="shared" si="8"/>
        <v>237.25000000000014</v>
      </c>
      <c r="W26" s="20">
        <f t="shared" si="14"/>
        <v>4092.8340647645582</v>
      </c>
      <c r="X26" s="20">
        <f t="shared" si="15"/>
        <v>6185.834378235083</v>
      </c>
      <c r="Y26" s="20">
        <f t="shared" si="16"/>
        <v>4330.0840647645582</v>
      </c>
      <c r="Z26" s="20"/>
      <c r="AA26" s="20"/>
    </row>
    <row r="27" spans="4:27" ht="18" thickTop="1" thickBot="1" x14ac:dyDescent="0.25">
      <c r="D27" s="20">
        <v>2027</v>
      </c>
      <c r="E27" s="20">
        <v>6570.8761481144811</v>
      </c>
      <c r="F27" s="20">
        <f t="shared" si="9"/>
        <v>0</v>
      </c>
      <c r="G27" s="20">
        <v>0</v>
      </c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 spans="4:27" ht="18" thickTop="1" thickBot="1" x14ac:dyDescent="0.25"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 spans="4:27" ht="17" thickTop="1" x14ac:dyDescent="0.2"/>
    <row r="30" spans="4:27" ht="37" x14ac:dyDescent="0.45">
      <c r="V30" s="15" t="s">
        <v>175</v>
      </c>
      <c r="W30" s="16">
        <f>NPV(Discount_Rate,Net_profit_loss)</f>
        <v>12222.866578027426</v>
      </c>
      <c r="X30" s="67" t="s">
        <v>199</v>
      </c>
    </row>
    <row r="31" spans="4:27" ht="37" x14ac:dyDescent="0.45">
      <c r="V31" s="15" t="s">
        <v>176</v>
      </c>
      <c r="W31" s="17">
        <f>IRR(W9:W26)</f>
        <v>0.11712861612835757</v>
      </c>
    </row>
    <row r="48" spans="21:21" x14ac:dyDescent="0.2">
      <c r="U48" s="12"/>
    </row>
    <row r="49" spans="22:23" x14ac:dyDescent="0.2">
      <c r="V49" s="18"/>
      <c r="W49" s="19"/>
    </row>
    <row r="50" spans="22:23" x14ac:dyDescent="0.2">
      <c r="V50" s="18"/>
      <c r="W5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7A396-2FAB-4148-9D07-3E583B85E349}">
  <dimension ref="B3:S26"/>
  <sheetViews>
    <sheetView zoomScale="125" workbookViewId="0">
      <selection activeCell="G7" sqref="G7:G24"/>
    </sheetView>
  </sheetViews>
  <sheetFormatPr baseColWidth="10" defaultColWidth="11" defaultRowHeight="16" x14ac:dyDescent="0.2"/>
  <cols>
    <col min="2" max="2" width="19.5" bestFit="1" customWidth="1"/>
    <col min="5" max="5" width="13.1640625" customWidth="1"/>
    <col min="6" max="6" width="15.33203125" customWidth="1"/>
    <col min="7" max="7" width="19.33203125" customWidth="1"/>
    <col min="8" max="8" width="22" customWidth="1"/>
    <col min="9" max="9" width="18" customWidth="1"/>
    <col min="15" max="15" width="40.6640625" customWidth="1"/>
    <col min="17" max="17" width="16" customWidth="1"/>
    <col min="19" max="19" width="32.83203125" customWidth="1"/>
  </cols>
  <sheetData>
    <row r="3" spans="2:19" x14ac:dyDescent="0.2">
      <c r="B3" s="5" t="s">
        <v>200</v>
      </c>
    </row>
    <row r="5" spans="2:19" ht="17" thickBot="1" x14ac:dyDescent="0.25">
      <c r="G5" s="5" t="s">
        <v>191</v>
      </c>
    </row>
    <row r="6" spans="2:19" ht="29" customHeight="1" thickTop="1" thickBot="1" x14ac:dyDescent="0.4">
      <c r="D6" s="21"/>
      <c r="E6" s="21"/>
      <c r="F6" s="21"/>
      <c r="G6" s="21"/>
      <c r="H6" s="21"/>
      <c r="I6" s="21"/>
      <c r="J6" s="21"/>
      <c r="K6" s="21"/>
      <c r="L6" s="56" t="s">
        <v>193</v>
      </c>
      <c r="M6" s="21"/>
      <c r="N6" s="21"/>
      <c r="O6" s="21"/>
      <c r="P6" s="21"/>
      <c r="Q6" s="21"/>
      <c r="R6" s="21"/>
      <c r="S6" s="21"/>
    </row>
    <row r="7" spans="2:19" ht="18" thickTop="1" thickBot="1" x14ac:dyDescent="0.25">
      <c r="D7" s="26" t="s">
        <v>99</v>
      </c>
      <c r="E7" s="26" t="s">
        <v>177</v>
      </c>
      <c r="F7" s="26" t="s">
        <v>178</v>
      </c>
      <c r="G7" s="26" t="s">
        <v>179</v>
      </c>
      <c r="H7" s="26" t="s">
        <v>180</v>
      </c>
      <c r="I7" s="26" t="s">
        <v>181</v>
      </c>
      <c r="J7" s="20"/>
      <c r="K7" s="20"/>
      <c r="L7" s="20"/>
      <c r="M7" s="20"/>
      <c r="N7" s="20"/>
      <c r="O7" s="57" t="s">
        <v>194</v>
      </c>
      <c r="P7" s="27"/>
      <c r="Q7" s="27"/>
      <c r="R7" s="20"/>
      <c r="S7" s="20"/>
    </row>
    <row r="8" spans="2:19" ht="18" thickTop="1" thickBot="1" x14ac:dyDescent="0.25">
      <c r="D8" s="20">
        <v>2010</v>
      </c>
      <c r="E8" s="20" cm="1">
        <f t="array" ref="E8:E24">Net_profit_loss</f>
        <v>867.60885867269951</v>
      </c>
      <c r="F8" s="20">
        <f t="shared" ref="F8:F18" si="0">E8*GMR_Reveneue_before_2015</f>
        <v>253.04159406732754</v>
      </c>
      <c r="G8" s="20">
        <f t="shared" ref="G8:G18" si="1">E8*AAI_before_2015</f>
        <v>225.57830325490187</v>
      </c>
      <c r="H8" s="20">
        <f t="shared" ref="H8:H18" si="2">E8*Malaysia_Airports_Revenue___MAHB__before_2015</f>
        <v>4.68595544569125</v>
      </c>
      <c r="I8" s="20">
        <f t="shared" ref="I8:I24" si="3">E8*Fraport_AG_Revenue__after_2015</f>
        <v>4.68595544569125</v>
      </c>
      <c r="J8" s="20"/>
      <c r="K8" s="20"/>
      <c r="L8" s="20"/>
      <c r="M8" s="20"/>
      <c r="N8" s="20"/>
      <c r="O8" s="27" t="s">
        <v>6</v>
      </c>
      <c r="P8" s="28">
        <v>0.28999999999999998</v>
      </c>
      <c r="Q8" s="58" t="s">
        <v>7</v>
      </c>
      <c r="R8" s="20"/>
      <c r="S8" s="59" t="s">
        <v>8</v>
      </c>
    </row>
    <row r="9" spans="2:19" ht="18" thickTop="1" thickBot="1" x14ac:dyDescent="0.25">
      <c r="D9" s="20">
        <v>2011</v>
      </c>
      <c r="E9" s="20">
        <v>953.75196924962302</v>
      </c>
      <c r="F9" s="20">
        <f t="shared" si="0"/>
        <v>278.16557683952959</v>
      </c>
      <c r="G9" s="20">
        <f t="shared" si="1"/>
        <v>247.97551200490199</v>
      </c>
      <c r="H9" s="20">
        <f t="shared" si="2"/>
        <v>5.1512143859172141</v>
      </c>
      <c r="I9" s="20">
        <f t="shared" si="3"/>
        <v>5.1512143859172141</v>
      </c>
      <c r="J9" s="20"/>
      <c r="K9" s="20"/>
      <c r="L9" s="20"/>
      <c r="M9" s="20"/>
      <c r="N9" s="20"/>
      <c r="O9" s="27" t="s">
        <v>10</v>
      </c>
      <c r="P9" s="28">
        <v>0.46</v>
      </c>
      <c r="Q9" s="58">
        <v>0.45989999999999998</v>
      </c>
      <c r="R9" s="20"/>
      <c r="S9" s="27" t="s">
        <v>11</v>
      </c>
    </row>
    <row r="10" spans="2:19" ht="18" thickTop="1" thickBot="1" x14ac:dyDescent="0.25">
      <c r="D10" s="20">
        <v>2012</v>
      </c>
      <c r="E10" s="20">
        <v>1052.4074770140464</v>
      </c>
      <c r="F10" s="20">
        <f t="shared" si="0"/>
        <v>306.93885030105474</v>
      </c>
      <c r="G10" s="20">
        <f t="shared" si="1"/>
        <v>273.6259440236521</v>
      </c>
      <c r="H10" s="20">
        <f t="shared" si="2"/>
        <v>5.6840527833528656</v>
      </c>
      <c r="I10" s="20">
        <f t="shared" si="3"/>
        <v>5.6840527833528656</v>
      </c>
      <c r="J10" s="20"/>
      <c r="K10" s="20"/>
      <c r="L10" s="20"/>
      <c r="M10" s="20"/>
      <c r="N10" s="20"/>
      <c r="O10" s="27" t="s">
        <v>13</v>
      </c>
      <c r="P10" s="28">
        <v>0.01</v>
      </c>
      <c r="Q10" s="27" t="s">
        <v>14</v>
      </c>
      <c r="R10" s="20"/>
      <c r="S10" s="27" t="s">
        <v>15</v>
      </c>
    </row>
    <row r="11" spans="2:19" ht="18" thickTop="1" thickBot="1" x14ac:dyDescent="0.25">
      <c r="D11" s="20">
        <v>2013</v>
      </c>
      <c r="E11" s="20">
        <v>1207.8516877831566</v>
      </c>
      <c r="F11" s="20">
        <f t="shared" si="0"/>
        <v>352.27477614870878</v>
      </c>
      <c r="G11" s="20">
        <f t="shared" si="1"/>
        <v>314.04143882362075</v>
      </c>
      <c r="H11" s="20">
        <f t="shared" si="2"/>
        <v>6.5236069657168292</v>
      </c>
      <c r="I11" s="20">
        <f t="shared" si="3"/>
        <v>6.5236069657168292</v>
      </c>
      <c r="J11" s="20"/>
      <c r="K11" s="20"/>
      <c r="L11" s="20"/>
      <c r="M11" s="20"/>
      <c r="N11" s="20"/>
      <c r="O11" s="27" t="s">
        <v>17</v>
      </c>
      <c r="P11" s="28">
        <v>0.01</v>
      </c>
      <c r="Q11" s="27" t="s">
        <v>14</v>
      </c>
      <c r="R11" s="20"/>
      <c r="S11" s="27" t="s">
        <v>18</v>
      </c>
    </row>
    <row r="12" spans="2:19" ht="14" customHeight="1" thickTop="1" thickBot="1" x14ac:dyDescent="0.25">
      <c r="D12" s="20">
        <v>2014</v>
      </c>
      <c r="E12" s="20">
        <v>1276.7723672522588</v>
      </c>
      <c r="F12" s="20">
        <f t="shared" si="0"/>
        <v>372.37576799859033</v>
      </c>
      <c r="G12" s="20">
        <f t="shared" si="1"/>
        <v>331.96081548558732</v>
      </c>
      <c r="H12" s="20">
        <f t="shared" si="2"/>
        <v>6.8958475555294507</v>
      </c>
      <c r="I12" s="20">
        <f t="shared" si="3"/>
        <v>6.8958475555294507</v>
      </c>
      <c r="J12" s="20"/>
      <c r="K12" s="20"/>
      <c r="L12" s="20"/>
      <c r="M12" s="20"/>
      <c r="N12" s="20"/>
      <c r="O12" s="27"/>
      <c r="P12" s="27"/>
      <c r="Q12" s="27"/>
      <c r="R12" s="20"/>
      <c r="S12" s="27" t="s">
        <v>20</v>
      </c>
    </row>
    <row r="13" spans="2:19" ht="17" customHeight="1" thickTop="1" thickBot="1" x14ac:dyDescent="0.4">
      <c r="D13" s="20">
        <v>2015</v>
      </c>
      <c r="E13" s="20">
        <v>1386.769485886854</v>
      </c>
      <c r="F13" s="20">
        <f t="shared" si="0"/>
        <v>404.45686763684455</v>
      </c>
      <c r="G13" s="20">
        <f t="shared" si="1"/>
        <v>360.56006633058206</v>
      </c>
      <c r="H13" s="20">
        <f t="shared" si="2"/>
        <v>7.4899419932748987</v>
      </c>
      <c r="I13" s="20">
        <f t="shared" si="3"/>
        <v>7.4899419932748987</v>
      </c>
      <c r="J13" s="20"/>
      <c r="K13" s="20"/>
      <c r="L13" s="60"/>
      <c r="M13" s="20"/>
      <c r="N13" s="20"/>
      <c r="O13" s="61" t="s">
        <v>21</v>
      </c>
      <c r="P13" s="27"/>
      <c r="Q13" s="27"/>
      <c r="R13" s="20"/>
      <c r="S13" s="20"/>
    </row>
    <row r="14" spans="2:19" ht="18" thickTop="1" thickBot="1" x14ac:dyDescent="0.25">
      <c r="D14" s="20">
        <v>2016</v>
      </c>
      <c r="E14" s="20">
        <v>1500.0460122326963</v>
      </c>
      <c r="F14" s="20">
        <f t="shared" si="0"/>
        <v>437.49441965171485</v>
      </c>
      <c r="G14" s="20">
        <f t="shared" si="1"/>
        <v>390.01196318050103</v>
      </c>
      <c r="H14" s="20">
        <f t="shared" si="2"/>
        <v>8.1017485120687933</v>
      </c>
      <c r="I14" s="20">
        <f t="shared" si="3"/>
        <v>8.1017485120687933</v>
      </c>
      <c r="J14" s="20"/>
      <c r="K14" s="20"/>
      <c r="L14" s="20"/>
      <c r="M14" s="20"/>
      <c r="N14" s="20"/>
      <c r="O14" s="27" t="s">
        <v>23</v>
      </c>
      <c r="P14" s="28">
        <v>0.35</v>
      </c>
      <c r="Q14" s="27" t="s">
        <v>24</v>
      </c>
      <c r="R14" s="20"/>
      <c r="S14" s="20"/>
    </row>
    <row r="15" spans="2:19" ht="18" thickTop="1" thickBot="1" x14ac:dyDescent="0.25">
      <c r="D15" s="20">
        <v>2017</v>
      </c>
      <c r="E15" s="20">
        <v>1616.8287577910194</v>
      </c>
      <c r="F15" s="20">
        <f t="shared" si="0"/>
        <v>471.55457452478203</v>
      </c>
      <c r="G15" s="20">
        <f t="shared" si="1"/>
        <v>420.37547702566508</v>
      </c>
      <c r="H15" s="20">
        <f t="shared" si="2"/>
        <v>8.7324921208292956</v>
      </c>
      <c r="I15" s="20">
        <f t="shared" si="3"/>
        <v>8.7324921208292956</v>
      </c>
      <c r="J15" s="20"/>
      <c r="K15" s="20"/>
      <c r="L15" s="20"/>
      <c r="M15" s="20"/>
      <c r="N15" s="20"/>
      <c r="O15" s="27" t="s">
        <v>26</v>
      </c>
      <c r="P15" s="28">
        <v>0.46</v>
      </c>
      <c r="Q15" s="27"/>
      <c r="R15" s="20"/>
      <c r="S15" s="20"/>
    </row>
    <row r="16" spans="2:19" ht="18" thickTop="1" thickBot="1" x14ac:dyDescent="0.25">
      <c r="D16" s="20">
        <v>2018</v>
      </c>
      <c r="E16" s="20">
        <v>1737.3592768106332</v>
      </c>
      <c r="F16" s="20">
        <f t="shared" si="0"/>
        <v>506.70778251892847</v>
      </c>
      <c r="G16" s="20">
        <f t="shared" si="1"/>
        <v>451.71341197076464</v>
      </c>
      <c r="H16" s="20">
        <f t="shared" si="2"/>
        <v>9.3834774540542316</v>
      </c>
      <c r="I16" s="20">
        <f t="shared" si="3"/>
        <v>9.3834774540542316</v>
      </c>
      <c r="J16" s="20"/>
      <c r="K16" s="20"/>
      <c r="L16" s="20"/>
      <c r="M16" s="20"/>
      <c r="N16" s="20"/>
      <c r="O16" s="27" t="s">
        <v>28</v>
      </c>
      <c r="P16" s="28">
        <v>0.01</v>
      </c>
      <c r="Q16" s="27" t="s">
        <v>14</v>
      </c>
      <c r="R16" s="20"/>
      <c r="S16" s="20"/>
    </row>
    <row r="17" spans="4:19" ht="18" thickTop="1" thickBot="1" x14ac:dyDescent="0.25">
      <c r="D17" s="20">
        <v>2019</v>
      </c>
      <c r="E17" s="20">
        <v>1861.8248245665225</v>
      </c>
      <c r="F17" s="20">
        <f t="shared" si="0"/>
        <v>543.0086573841246</v>
      </c>
      <c r="G17" s="20">
        <f t="shared" si="1"/>
        <v>484.07445438729587</v>
      </c>
      <c r="H17" s="20">
        <f t="shared" si="2"/>
        <v>10.055715877483788</v>
      </c>
      <c r="I17" s="20">
        <f t="shared" si="3"/>
        <v>10.055715877483788</v>
      </c>
      <c r="J17" s="20"/>
      <c r="K17" s="20"/>
      <c r="L17" s="20"/>
      <c r="M17" s="20"/>
      <c r="N17" s="20"/>
      <c r="O17" s="61" t="s">
        <v>30</v>
      </c>
      <c r="P17" s="28"/>
      <c r="Q17" s="27"/>
      <c r="R17" s="20"/>
      <c r="S17" s="20"/>
    </row>
    <row r="18" spans="4:19" ht="18" thickTop="1" thickBot="1" x14ac:dyDescent="0.25">
      <c r="D18" s="20">
        <v>2020</v>
      </c>
      <c r="E18" s="20">
        <v>3135.6377779265431</v>
      </c>
      <c r="F18" s="20">
        <f t="shared" si="0"/>
        <v>914.52130048338813</v>
      </c>
      <c r="G18" s="20">
        <f t="shared" si="1"/>
        <v>815.26582226090125</v>
      </c>
      <c r="H18" s="20">
        <f t="shared" si="2"/>
        <v>16.93557963858126</v>
      </c>
      <c r="I18" s="20">
        <f t="shared" si="3"/>
        <v>16.93557963858126</v>
      </c>
      <c r="J18" s="20"/>
      <c r="K18" s="20"/>
      <c r="L18" s="20"/>
      <c r="M18" s="20"/>
      <c r="N18" s="20"/>
      <c r="O18" s="27" t="s">
        <v>32</v>
      </c>
      <c r="P18" s="28">
        <v>0.4</v>
      </c>
      <c r="Q18" s="27" t="s">
        <v>33</v>
      </c>
      <c r="R18" s="20"/>
      <c r="S18" s="20"/>
    </row>
    <row r="19" spans="4:19" ht="18" thickTop="1" thickBot="1" x14ac:dyDescent="0.25">
      <c r="D19" s="20">
        <v>2021</v>
      </c>
      <c r="E19" s="20">
        <v>3268.8831222549661</v>
      </c>
      <c r="F19" s="20">
        <f t="shared" ref="F19:F24" si="4">E19*GMR_Reveneue_after_2015</f>
        <v>1129.9352155711406</v>
      </c>
      <c r="G19" s="20">
        <f t="shared" ref="G19:G24" si="5">E19*AAI_Revenue_after_2015</f>
        <v>1503.6862362372844</v>
      </c>
      <c r="H19" s="20">
        <v>0</v>
      </c>
      <c r="I19" s="20">
        <f t="shared" si="3"/>
        <v>17.655237743299072</v>
      </c>
      <c r="J19" s="20"/>
      <c r="K19" s="20"/>
      <c r="L19" s="20"/>
      <c r="M19" s="20"/>
      <c r="N19" s="20"/>
      <c r="O19" s="27" t="s">
        <v>35</v>
      </c>
      <c r="P19" s="28">
        <v>0.46</v>
      </c>
      <c r="Q19" s="27"/>
      <c r="R19" s="20"/>
      <c r="S19" s="20"/>
    </row>
    <row r="20" spans="4:19" ht="18" thickTop="1" thickBot="1" x14ac:dyDescent="0.25">
      <c r="D20" s="20">
        <v>2022</v>
      </c>
      <c r="E20" s="20">
        <v>3406.940008964737</v>
      </c>
      <c r="F20" s="20">
        <f t="shared" si="4"/>
        <v>1177.6565112587868</v>
      </c>
      <c r="G20" s="20">
        <f t="shared" si="5"/>
        <v>1567.1924041237792</v>
      </c>
      <c r="H20" s="20">
        <v>0</v>
      </c>
      <c r="I20" s="20">
        <f t="shared" si="3"/>
        <v>18.400882988418545</v>
      </c>
      <c r="J20" s="20"/>
      <c r="K20" s="20"/>
      <c r="L20" s="20"/>
      <c r="M20" s="20"/>
      <c r="N20" s="20"/>
      <c r="O20" s="20"/>
      <c r="P20" s="20"/>
      <c r="Q20" s="20"/>
      <c r="R20" s="20"/>
      <c r="S20" s="20"/>
    </row>
    <row r="21" spans="4:19" ht="18" thickTop="1" thickBot="1" x14ac:dyDescent="0.25">
      <c r="D21" s="20">
        <v>2023</v>
      </c>
      <c r="E21" s="20">
        <v>3550.0693883106414</v>
      </c>
      <c r="F21" s="20">
        <f t="shared" si="4"/>
        <v>1227.1311850410098</v>
      </c>
      <c r="G21" s="20">
        <f t="shared" si="5"/>
        <v>1633.0319186228951</v>
      </c>
      <c r="H21" s="20">
        <v>0</v>
      </c>
      <c r="I21" s="20">
        <f t="shared" si="3"/>
        <v>19.173924766265777</v>
      </c>
      <c r="J21" s="20"/>
      <c r="K21" s="20"/>
      <c r="L21" s="20"/>
      <c r="M21" s="20"/>
      <c r="N21" s="20"/>
      <c r="O21" s="20"/>
      <c r="P21" s="20"/>
      <c r="Q21" s="20"/>
      <c r="R21" s="20"/>
      <c r="S21" s="20"/>
    </row>
    <row r="22" spans="4:19" ht="18" thickTop="1" thickBot="1" x14ac:dyDescent="0.25">
      <c r="D22" s="20">
        <v>2024</v>
      </c>
      <c r="E22" s="20">
        <v>3820.3424915447999</v>
      </c>
      <c r="F22" s="20">
        <f t="shared" si="4"/>
        <v>1320.5548669973418</v>
      </c>
      <c r="G22" s="20">
        <f t="shared" si="5"/>
        <v>1757.3575461106082</v>
      </c>
      <c r="H22" s="20">
        <v>0</v>
      </c>
      <c r="I22" s="20">
        <f t="shared" si="3"/>
        <v>20.633669796833466</v>
      </c>
      <c r="J22" s="20"/>
      <c r="K22" s="20"/>
      <c r="L22" s="20"/>
      <c r="M22" s="20"/>
      <c r="N22" s="20"/>
      <c r="O22" s="20"/>
      <c r="P22" s="20"/>
      <c r="Q22" s="20"/>
      <c r="R22" s="20"/>
      <c r="S22" s="20"/>
    </row>
    <row r="23" spans="4:19" ht="18" thickTop="1" thickBot="1" x14ac:dyDescent="0.25">
      <c r="D23" s="20">
        <v>2025</v>
      </c>
      <c r="E23" s="20">
        <v>3953.488229181487</v>
      </c>
      <c r="F23" s="20">
        <f t="shared" si="4"/>
        <v>1366.5785552517896</v>
      </c>
      <c r="G23" s="20">
        <f t="shared" si="5"/>
        <v>1818.6045854234842</v>
      </c>
      <c r="H23" s="20">
        <v>0</v>
      </c>
      <c r="I23" s="20">
        <f t="shared" si="3"/>
        <v>21.352789925809212</v>
      </c>
      <c r="J23" s="20"/>
      <c r="K23" s="20"/>
      <c r="L23" s="20"/>
      <c r="M23" s="20"/>
      <c r="N23" s="20"/>
      <c r="O23" s="20"/>
      <c r="P23" s="20"/>
      <c r="Q23" s="20"/>
      <c r="R23" s="20"/>
      <c r="S23" s="20"/>
    </row>
    <row r="24" spans="4:19" ht="18" thickTop="1" thickBot="1" x14ac:dyDescent="0.25">
      <c r="D24" s="20">
        <v>2026</v>
      </c>
      <c r="E24" s="20">
        <v>4092.8340647645582</v>
      </c>
      <c r="F24" s="20">
        <f t="shared" si="4"/>
        <v>1414.7453941627764</v>
      </c>
      <c r="G24" s="20">
        <f t="shared" si="5"/>
        <v>1882.7036697916969</v>
      </c>
      <c r="H24" s="20">
        <v>0</v>
      </c>
      <c r="I24" s="20">
        <f t="shared" si="3"/>
        <v>22.105396783793381</v>
      </c>
      <c r="J24" s="20"/>
      <c r="K24" s="20"/>
      <c r="L24" s="20"/>
      <c r="M24" s="20"/>
      <c r="N24" s="20"/>
      <c r="O24" s="20"/>
      <c r="P24" s="20"/>
      <c r="Q24" s="20"/>
      <c r="R24" s="20"/>
      <c r="S24" s="20"/>
    </row>
    <row r="25" spans="4:19" ht="18" thickTop="1" thickBot="1" x14ac:dyDescent="0.25"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</row>
    <row r="26" spans="4:19" ht="17" thickTop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125AB-D796-424B-B56B-9242DCAB9FB5}">
  <dimension ref="C1:R26"/>
  <sheetViews>
    <sheetView zoomScale="82" workbookViewId="0">
      <selection activeCell="C1" sqref="C1"/>
    </sheetView>
  </sheetViews>
  <sheetFormatPr baseColWidth="10" defaultColWidth="11" defaultRowHeight="16" x14ac:dyDescent="0.2"/>
  <cols>
    <col min="3" max="3" width="19.33203125" bestFit="1" customWidth="1"/>
    <col min="4" max="4" width="26.1640625" customWidth="1"/>
    <col min="6" max="6" width="13" customWidth="1"/>
    <col min="10" max="10" width="33.33203125" bestFit="1" customWidth="1"/>
    <col min="11" max="11" width="15.5" customWidth="1"/>
    <col min="14" max="14" width="14" customWidth="1"/>
    <col min="15" max="15" width="29" customWidth="1"/>
  </cols>
  <sheetData>
    <row r="1" spans="3:18" ht="45.75" customHeight="1" x14ac:dyDescent="0.4">
      <c r="C1" s="5" t="s">
        <v>200</v>
      </c>
      <c r="J1" s="13" t="s">
        <v>182</v>
      </c>
    </row>
    <row r="2" spans="3:18" ht="36" customHeight="1" x14ac:dyDescent="0.2"/>
    <row r="3" spans="3:18" ht="17" thickBot="1" x14ac:dyDescent="0.25">
      <c r="D3" s="5" t="s">
        <v>183</v>
      </c>
      <c r="N3" s="5" t="s">
        <v>94</v>
      </c>
    </row>
    <row r="4" spans="3:18" ht="18" thickTop="1" thickBot="1" x14ac:dyDescent="0.25">
      <c r="C4" s="51" t="s">
        <v>184</v>
      </c>
      <c r="D4" s="51"/>
      <c r="E4" s="51" t="s">
        <v>185</v>
      </c>
      <c r="F4" s="51" t="s">
        <v>186</v>
      </c>
      <c r="G4" s="51"/>
      <c r="M4" s="51" t="s">
        <v>184</v>
      </c>
      <c r="N4" s="51"/>
      <c r="O4" s="51" t="s">
        <v>176</v>
      </c>
      <c r="P4" s="51" t="s">
        <v>175</v>
      </c>
      <c r="Q4" s="51"/>
      <c r="R4" s="51"/>
    </row>
    <row r="5" spans="3:18" ht="18" thickTop="1" thickBot="1" x14ac:dyDescent="0.25">
      <c r="C5" s="52">
        <v>0.105</v>
      </c>
      <c r="D5" s="51"/>
      <c r="E5" s="53">
        <v>0.12</v>
      </c>
      <c r="F5" s="54">
        <v>12222.87</v>
      </c>
      <c r="G5" s="51"/>
      <c r="M5" s="51"/>
      <c r="N5" s="51"/>
      <c r="O5" s="51"/>
      <c r="P5" s="51"/>
      <c r="Q5" s="51"/>
      <c r="R5" s="51"/>
    </row>
    <row r="6" spans="3:18" ht="18" thickTop="1" thickBot="1" x14ac:dyDescent="0.25">
      <c r="C6" s="51"/>
      <c r="D6" s="51"/>
      <c r="E6" s="51"/>
      <c r="F6" s="51"/>
      <c r="G6" s="51"/>
      <c r="M6" s="53">
        <v>0.12</v>
      </c>
      <c r="N6" s="51"/>
      <c r="O6" s="53">
        <v>0.12</v>
      </c>
      <c r="P6" s="51">
        <v>12222.87</v>
      </c>
      <c r="Q6" s="51"/>
      <c r="R6" s="51"/>
    </row>
    <row r="7" spans="3:18" ht="18" thickTop="1" thickBot="1" x14ac:dyDescent="0.25">
      <c r="C7" s="52">
        <v>0.125</v>
      </c>
      <c r="D7" s="51"/>
      <c r="E7" s="53">
        <v>0.11</v>
      </c>
      <c r="F7" s="54">
        <v>11390.18</v>
      </c>
      <c r="G7" s="51"/>
      <c r="M7" s="51"/>
      <c r="N7" s="51"/>
      <c r="O7" s="51"/>
      <c r="P7" s="51"/>
      <c r="Q7" s="51"/>
      <c r="R7" s="51"/>
    </row>
    <row r="8" spans="3:18" ht="18" thickTop="1" thickBot="1" x14ac:dyDescent="0.25">
      <c r="C8" s="51"/>
      <c r="D8" s="51"/>
      <c r="E8" s="51"/>
      <c r="F8" s="51"/>
      <c r="G8" s="51"/>
      <c r="M8" s="53">
        <v>0.14000000000000001</v>
      </c>
      <c r="N8" s="51"/>
      <c r="O8" s="53">
        <v>0.12</v>
      </c>
      <c r="P8" s="51">
        <v>10488.01</v>
      </c>
      <c r="Q8" s="51"/>
      <c r="R8" s="51"/>
    </row>
    <row r="9" spans="3:18" ht="18" thickTop="1" thickBot="1" x14ac:dyDescent="0.25">
      <c r="C9" s="52">
        <v>8.5000000000000006E-2</v>
      </c>
      <c r="D9" s="51"/>
      <c r="E9" s="53">
        <v>0.13</v>
      </c>
      <c r="F9" s="51">
        <v>13055.55</v>
      </c>
      <c r="G9" s="51"/>
      <c r="M9" s="51"/>
      <c r="N9" s="51"/>
      <c r="O9" s="51"/>
      <c r="P9" s="51"/>
      <c r="Q9" s="51"/>
      <c r="R9" s="51"/>
    </row>
    <row r="10" spans="3:18" ht="18" thickTop="1" thickBot="1" x14ac:dyDescent="0.25">
      <c r="C10" s="51"/>
      <c r="D10" s="51"/>
      <c r="E10" s="51"/>
      <c r="F10" s="51"/>
      <c r="G10" s="51"/>
      <c r="M10" s="53">
        <v>0.09</v>
      </c>
      <c r="N10" s="51"/>
      <c r="O10" s="53">
        <v>0.12</v>
      </c>
      <c r="P10" s="51">
        <v>15683.46</v>
      </c>
      <c r="Q10" s="51"/>
      <c r="R10" s="51"/>
    </row>
    <row r="11" spans="3:18" ht="18" thickTop="1" thickBot="1" x14ac:dyDescent="0.25">
      <c r="M11" s="51"/>
      <c r="N11" s="51"/>
      <c r="O11" s="51"/>
      <c r="P11" s="51"/>
      <c r="Q11" s="51"/>
      <c r="R11" s="51"/>
    </row>
    <row r="12" spans="3:18" ht="17" thickTop="1" x14ac:dyDescent="0.2"/>
    <row r="17" spans="3:18" ht="17" thickBot="1" x14ac:dyDescent="0.25">
      <c r="D17" s="5" t="s">
        <v>141</v>
      </c>
      <c r="O17" s="5" t="s">
        <v>187</v>
      </c>
    </row>
    <row r="18" spans="3:18" ht="18" thickTop="1" thickBot="1" x14ac:dyDescent="0.25">
      <c r="C18" s="51" t="s">
        <v>184</v>
      </c>
      <c r="D18" s="51"/>
      <c r="E18" s="51" t="s">
        <v>176</v>
      </c>
      <c r="F18" s="51" t="s">
        <v>175</v>
      </c>
      <c r="G18" s="51"/>
      <c r="M18" s="51" t="s">
        <v>184</v>
      </c>
      <c r="N18" s="51"/>
      <c r="O18" s="51"/>
      <c r="P18" s="51" t="s">
        <v>176</v>
      </c>
      <c r="Q18" s="51" t="s">
        <v>175</v>
      </c>
      <c r="R18" s="51"/>
    </row>
    <row r="19" spans="3:18" ht="18" thickTop="1" thickBot="1" x14ac:dyDescent="0.25">
      <c r="C19" s="51">
        <v>275</v>
      </c>
      <c r="D19" s="51"/>
      <c r="E19" s="53">
        <v>0.12</v>
      </c>
      <c r="F19" s="62">
        <v>122222.87</v>
      </c>
      <c r="G19" s="51"/>
      <c r="M19" s="51">
        <v>650</v>
      </c>
      <c r="N19" s="51"/>
      <c r="O19" s="51"/>
      <c r="P19" s="53">
        <v>0.12</v>
      </c>
      <c r="Q19" s="62">
        <v>12222.87</v>
      </c>
      <c r="R19" s="51"/>
    </row>
    <row r="20" spans="3:18" ht="18" thickTop="1" thickBot="1" x14ac:dyDescent="0.25">
      <c r="C20" s="51"/>
      <c r="D20" s="51"/>
      <c r="E20" s="51"/>
      <c r="F20" s="51"/>
      <c r="G20" s="51"/>
      <c r="M20" s="51"/>
      <c r="N20" s="51"/>
      <c r="O20" s="51"/>
      <c r="P20" s="51"/>
      <c r="Q20" s="51"/>
      <c r="R20" s="51"/>
    </row>
    <row r="21" spans="3:18" ht="18" thickTop="1" thickBot="1" x14ac:dyDescent="0.25">
      <c r="C21" s="51">
        <v>200</v>
      </c>
      <c r="D21" s="51"/>
      <c r="E21" s="53">
        <v>0.11</v>
      </c>
      <c r="F21" s="51">
        <v>14628.66</v>
      </c>
      <c r="G21" s="51"/>
      <c r="M21" s="51">
        <v>525</v>
      </c>
      <c r="N21" s="51"/>
      <c r="O21" s="51"/>
      <c r="P21" s="53">
        <v>0.12</v>
      </c>
      <c r="Q21" s="51">
        <v>15520.78</v>
      </c>
      <c r="R21" s="51"/>
    </row>
    <row r="22" spans="3:18" ht="18" thickTop="1" thickBot="1" x14ac:dyDescent="0.25">
      <c r="C22" s="51"/>
      <c r="D22" s="51"/>
      <c r="E22" s="51"/>
      <c r="F22" s="51"/>
      <c r="G22" s="51"/>
      <c r="M22" s="51"/>
      <c r="N22" s="51"/>
      <c r="O22" s="51"/>
      <c r="P22" s="51"/>
      <c r="Q22" s="51"/>
      <c r="R22" s="51"/>
    </row>
    <row r="23" spans="3:18" ht="18" thickTop="1" thickBot="1" x14ac:dyDescent="0.25">
      <c r="C23" s="51">
        <v>325</v>
      </c>
      <c r="D23" s="51"/>
      <c r="E23" s="53">
        <v>0.12</v>
      </c>
      <c r="F23" s="62">
        <v>16386.66</v>
      </c>
      <c r="G23" s="51"/>
      <c r="M23" s="51">
        <v>775</v>
      </c>
      <c r="N23" s="51"/>
      <c r="O23" s="51"/>
      <c r="P23" s="53">
        <v>0.12</v>
      </c>
      <c r="Q23" s="51">
        <v>16549.34</v>
      </c>
      <c r="R23" s="51"/>
    </row>
    <row r="24" spans="3:18" ht="18" thickTop="1" thickBot="1" x14ac:dyDescent="0.25">
      <c r="C24" s="51"/>
      <c r="D24" s="51"/>
      <c r="E24" s="51"/>
      <c r="F24" s="51"/>
      <c r="G24" s="51"/>
      <c r="M24" s="51"/>
      <c r="N24" s="51"/>
      <c r="O24" s="51"/>
      <c r="P24" s="51"/>
      <c r="Q24" s="51"/>
      <c r="R24" s="51"/>
    </row>
    <row r="25" spans="3:18" ht="18" thickTop="1" thickBot="1" x14ac:dyDescent="0.25">
      <c r="C25" s="51"/>
      <c r="D25" s="51"/>
      <c r="E25" s="51"/>
      <c r="F25" s="51"/>
      <c r="G25" s="51"/>
      <c r="M25" s="51"/>
      <c r="N25" s="51"/>
      <c r="O25" s="51"/>
      <c r="P25" s="51"/>
      <c r="Q25" s="51"/>
      <c r="R25" s="51"/>
    </row>
    <row r="26" spans="3:18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69</vt:i4>
      </vt:variant>
    </vt:vector>
  </HeadingPairs>
  <TitlesOfParts>
    <vt:vector size="74" baseType="lpstr">
      <vt:lpstr>Basic Assumption and Data </vt:lpstr>
      <vt:lpstr>Operating Cash Flow</vt:lpstr>
      <vt:lpstr>Debt Service</vt:lpstr>
      <vt:lpstr>Revenue distribution</vt:lpstr>
      <vt:lpstr>Sensitivity Analysis </vt:lpstr>
      <vt:lpstr>_2006–2016__10_years__Non_Aero_revenue</vt:lpstr>
      <vt:lpstr>_2016_2026__10_year__Non_Aero_Revenue</vt:lpstr>
      <vt:lpstr>_2027–2036__10_years__Non_Aero_Revenue</vt:lpstr>
      <vt:lpstr>AAI_before_2015</vt:lpstr>
      <vt:lpstr>AAI_before_2015_2015</vt:lpstr>
      <vt:lpstr>AAI_before_after_2015</vt:lpstr>
      <vt:lpstr>AAI_Investment</vt:lpstr>
      <vt:lpstr>AAI_Revenue_after_2015</vt:lpstr>
      <vt:lpstr>AAI_Revenue_after_2025</vt:lpstr>
      <vt:lpstr>AAI_Revenue_before_2015</vt:lpstr>
      <vt:lpstr>Airport_Landing_Charges</vt:lpstr>
      <vt:lpstr>Airport_PSF___UDF</vt:lpstr>
      <vt:lpstr>Average_fare_Growth</vt:lpstr>
      <vt:lpstr>Average_Fare_price_per_people</vt:lpstr>
      <vt:lpstr>Base_Fare</vt:lpstr>
      <vt:lpstr>depreciation_every_year_using_SL_method</vt:lpstr>
      <vt:lpstr>Development_Fee__charged_to_user</vt:lpstr>
      <vt:lpstr>Development_Fee_yearl_equal_for_20_year</vt:lpstr>
      <vt:lpstr>Discount_Rate</vt:lpstr>
      <vt:lpstr>Domestic_Loan</vt:lpstr>
      <vt:lpstr>Domestic_Trffic</vt:lpstr>
      <vt:lpstr>Equity</vt:lpstr>
      <vt:lpstr>Fare_Reveneue_cash_flow</vt:lpstr>
      <vt:lpstr>Fragport_INvestment</vt:lpstr>
      <vt:lpstr>Fraport_AG_2015_2025</vt:lpstr>
      <vt:lpstr>Fraport_AG_before_2015</vt:lpstr>
      <vt:lpstr>Fraport_AG_Revenue__after_2015</vt:lpstr>
      <vt:lpstr>Fraport_AG_Revenue__before_2015</vt:lpstr>
      <vt:lpstr>Fuel_Surcharge</vt:lpstr>
      <vt:lpstr>GMR_Airport_2015___2025</vt:lpstr>
      <vt:lpstr>GMR_Airport_after_2025</vt:lpstr>
      <vt:lpstr>GMR_Airport_before_2015</vt:lpstr>
      <vt:lpstr>GMR_Investment</vt:lpstr>
      <vt:lpstr>GMR_Reveneue_after_2015</vt:lpstr>
      <vt:lpstr>GMR_Reveneue_after_2025</vt:lpstr>
      <vt:lpstr>GMR_Reveneue_before_2015</vt:lpstr>
      <vt:lpstr>Interest_Year</vt:lpstr>
      <vt:lpstr>Internal_Accruals</vt:lpstr>
      <vt:lpstr>Internation_Loan_Maturity_Period</vt:lpstr>
      <vt:lpstr>International_Loan</vt:lpstr>
      <vt:lpstr>International_Trffic</vt:lpstr>
      <vt:lpstr>Loan_Maturity_Period</vt:lpstr>
      <vt:lpstr>Loan_Repayement_Domestic_Yearly</vt:lpstr>
      <vt:lpstr>Loan_Repayement_Internatinal_Yearly</vt:lpstr>
      <vt:lpstr>Loans</vt:lpstr>
      <vt:lpstr>MAHB_investment</vt:lpstr>
      <vt:lpstr>Malaysia_Airports_Holdings__MAHB__before_2015</vt:lpstr>
      <vt:lpstr>Malaysia_Airports_Revenue___MAHB__before_2015</vt:lpstr>
      <vt:lpstr>Net_cash_23</vt:lpstr>
      <vt:lpstr>Net_cash_flow</vt:lpstr>
      <vt:lpstr>Net_profit_loss</vt:lpstr>
      <vt:lpstr>Non_Aero_Revenue</vt:lpstr>
      <vt:lpstr>Non_Aero_Revenue_per_acre</vt:lpstr>
      <vt:lpstr>ONM_Cost__Cr</vt:lpstr>
      <vt:lpstr>PPI</vt:lpstr>
      <vt:lpstr>Salvage_value__After_60_yr</vt:lpstr>
      <vt:lpstr>Security_Deposit</vt:lpstr>
      <vt:lpstr>Security_Fee</vt:lpstr>
      <vt:lpstr>Tax</vt:lpstr>
      <vt:lpstr>Taxes__GST</vt:lpstr>
      <vt:lpstr>Total</vt:lpstr>
      <vt:lpstr>Total_land</vt:lpstr>
      <vt:lpstr>Total_Non_aero_Revenue_in_58_year__originally_data</vt:lpstr>
      <vt:lpstr>Total_Traffic</vt:lpstr>
      <vt:lpstr>Traffic_Average_CAGR</vt:lpstr>
      <vt:lpstr>User_Development_cash_flow</vt:lpstr>
      <vt:lpstr>User_development_fee</vt:lpstr>
      <vt:lpstr>User_development_fee_Domestic</vt:lpstr>
      <vt:lpstr>User_development_fee_International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Deepak Chaurasia Chaurasia</dc:creator>
  <cp:keywords/>
  <dc:description/>
  <cp:lastModifiedBy>Vedant Tiwari</cp:lastModifiedBy>
  <cp:revision/>
  <dcterms:created xsi:type="dcterms:W3CDTF">2025-04-25T09:15:08Z</dcterms:created>
  <dcterms:modified xsi:type="dcterms:W3CDTF">2025-04-26T14:13:34Z</dcterms:modified>
  <cp:category/>
  <cp:contentStatus/>
</cp:coreProperties>
</file>