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deepakchaurasia/Downloads/"/>
    </mc:Choice>
  </mc:AlternateContent>
  <xr:revisionPtr revIDLastSave="0" documentId="8_{D64EE57E-7E14-ED4F-B14E-E183390932F8}" xr6:coauthVersionLast="47" xr6:coauthVersionMax="47" xr10:uidLastSave="{00000000-0000-0000-0000-000000000000}"/>
  <bookViews>
    <workbookView xWindow="0" yWindow="0" windowWidth="28800" windowHeight="18000" xr2:uid="{8E9C9344-DBC9-E74A-BB13-120378BA0BC9}"/>
  </bookViews>
  <sheets>
    <sheet name="Sheet1" sheetId="1" r:id="rId1"/>
    <sheet name="Sheet2" sheetId="2" r:id="rId2"/>
  </sheets>
  <definedNames>
    <definedName name="Associated_Costs_with_Selling">Sheet1!$F$85</definedName>
    <definedName name="Buying_Closing_Cost">Sheet1!$F$26</definedName>
    <definedName name="Capital_Gain_Tax">Sheet1!#REF!</definedName>
    <definedName name="Cost_Insurance_Increase">Sheet1!#REF!</definedName>
    <definedName name="Discount_Rate">Sheet1!$F$33</definedName>
    <definedName name="Discounted_Present_Worth_of_Costs">Sheet1!$G$55</definedName>
    <definedName name="Down_Payment_Amount">Sheet1!$F$22</definedName>
    <definedName name="Down_Payment_Percent">Sheet1!$F$21</definedName>
    <definedName name="Extra_Profit_from_Buying_a_House">Sheet1!$F$138</definedName>
    <definedName name="Future_Value_of_Initial_Investment">Sheet1!$F$125</definedName>
    <definedName name="Home_Insurance">Sheet1!$F$28</definedName>
    <definedName name="Home_Value_Appreciation">Sheet1!$F$31</definedName>
    <definedName name="House_Owner_Association__HOA__Fee">Sheet1!$F$29</definedName>
    <definedName name="Initial_Home_Purchase_Price">Sheet1!$F$20</definedName>
    <definedName name="Initial_Investment">Sheet1!$F$124</definedName>
    <definedName name="Interest_Rate">Sheet1!$F$23</definedName>
    <definedName name="Listed_Selling_Price_of_House">Sheet1!$F$84</definedName>
    <definedName name="Loan_Amount">Sheet1!$F$24</definedName>
    <definedName name="Loan_repayment_present_cost">Sheet1!$K$61</definedName>
    <definedName name="Loan_Term">Sheet1!$F$25</definedName>
    <definedName name="LoanRepaymentpresentCost">Sheet1!$K$61</definedName>
    <definedName name="Maintenance_Cost">Sheet1!$F$30</definedName>
    <definedName name="Maintenance_Fee">Sheet1!$F$111</definedName>
    <definedName name="Maintenance_Fee_Increase">Sheet1!$F$112</definedName>
    <definedName name="Maintenance_Fees">Sheet1!$F$111</definedName>
    <definedName name="Monthly_Rental_Cost">Sheet1!$F$107</definedName>
    <definedName name="Net_Future_Value_of_all_Investments">Sheet1!$F$130</definedName>
    <definedName name="Net_Present_Value_of_all_investments">Sheet1!$F$132</definedName>
    <definedName name="NET_PRESENT_VALUE_OF_HOUSE">Sheet1!$F$96</definedName>
    <definedName name="Net_Selling_Price_of_House">Sheet1!$F$87</definedName>
    <definedName name="No._of_Yearly_Loan_Installments_remaining">Sheet1!$F$81</definedName>
    <definedName name="Present_value_of_Loan_amount_paid_back_till_staying_in_the_home">Sheet1!$F$80</definedName>
    <definedName name="Present_value_of_Net_selling_Price_of_Home">Sheet1!$F$90</definedName>
    <definedName name="Present_worth_of_annual_costs">Sheet1!$F$92</definedName>
    <definedName name="Property_Tax">Sheet1!$F$27</definedName>
    <definedName name="Rental_Cost_Increase">Sheet1!$F$109</definedName>
    <definedName name="Renter_s_Insurance">Sheet1!$F$110</definedName>
    <definedName name="Security_Deposit">Sheet1!$F$113</definedName>
    <definedName name="Selling_Closing_Price___Associated_Cost">Sheet1!$F$32</definedName>
    <definedName name="Selling_Time_Worth_of_Loan_Amount_remaining">Sheet1!$F$82</definedName>
    <definedName name="Total_Future_Value_of_Annual_Investments">Sheet1!$F$127</definedName>
    <definedName name="Upfront_Cost">Sheet1!$F$114</definedName>
    <definedName name="Yearly_EMI_paid_on_Loan">Sheet1!$F$78</definedName>
    <definedName name="Yearly_Rental_Cost">Sheet1!$F$108</definedName>
    <definedName name="Years_of_Stay">Sheet1!$F$34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J26" i="1"/>
  <c r="J21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Q122" i="1" s="1"/>
  <c r="O123" i="1"/>
  <c r="Q123" i="1" s="1"/>
  <c r="O124" i="1"/>
  <c r="Q124" i="1" s="1"/>
  <c r="O125" i="1"/>
  <c r="Q125" i="1" s="1"/>
  <c r="O126" i="1"/>
  <c r="R126" i="1" s="1"/>
  <c r="O127" i="1"/>
  <c r="R127" i="1" s="1"/>
  <c r="F78" i="1"/>
  <c r="F80" i="1" s="1"/>
  <c r="O128" i="1"/>
  <c r="R128" i="1" s="1"/>
  <c r="O129" i="1"/>
  <c r="P129" i="1" s="1"/>
  <c r="O130" i="1"/>
  <c r="P130" i="1" s="1"/>
  <c r="O131" i="1"/>
  <c r="P131" i="1" s="1"/>
  <c r="O106" i="1"/>
  <c r="D40" i="1"/>
  <c r="E40" i="1" s="1"/>
  <c r="F113" i="1"/>
  <c r="F114" i="1" s="1"/>
  <c r="F124" i="1" s="1"/>
  <c r="F125" i="1" s="1"/>
  <c r="F108" i="1"/>
  <c r="I41" i="1"/>
  <c r="K41" i="1" s="1"/>
  <c r="I42" i="1"/>
  <c r="J42" i="1" s="1"/>
  <c r="I43" i="1"/>
  <c r="J43" i="1" s="1"/>
  <c r="I44" i="1"/>
  <c r="K44" i="1" s="1"/>
  <c r="I45" i="1"/>
  <c r="K45" i="1" s="1"/>
  <c r="I46" i="1"/>
  <c r="J46" i="1" s="1"/>
  <c r="I47" i="1"/>
  <c r="K47" i="1" s="1"/>
  <c r="I48" i="1"/>
  <c r="J48" i="1" s="1"/>
  <c r="I49" i="1"/>
  <c r="K49" i="1" s="1"/>
  <c r="I50" i="1"/>
  <c r="K50" i="1" s="1"/>
  <c r="I51" i="1"/>
  <c r="K51" i="1" s="1"/>
  <c r="I52" i="1"/>
  <c r="J52" i="1" s="1"/>
  <c r="I53" i="1"/>
  <c r="K53" i="1" s="1"/>
  <c r="I54" i="1"/>
  <c r="K54" i="1" s="1"/>
  <c r="I55" i="1"/>
  <c r="K55" i="1" s="1"/>
  <c r="I56" i="1"/>
  <c r="J56" i="1" s="1"/>
  <c r="I57" i="1"/>
  <c r="K57" i="1" s="1"/>
  <c r="I58" i="1"/>
  <c r="K58" i="1" s="1"/>
  <c r="I59" i="1"/>
  <c r="J59" i="1" s="1"/>
  <c r="I60" i="1"/>
  <c r="K60" i="1" s="1"/>
  <c r="I61" i="1"/>
  <c r="K61" i="1" s="1"/>
  <c r="I62" i="1"/>
  <c r="K62" i="1" s="1"/>
  <c r="I63" i="1"/>
  <c r="K63" i="1" s="1"/>
  <c r="I64" i="1"/>
  <c r="J64" i="1" s="1"/>
  <c r="I65" i="1"/>
  <c r="K65" i="1" s="1"/>
  <c r="I66" i="1"/>
  <c r="J66" i="1" s="1"/>
  <c r="I67" i="1"/>
  <c r="J67" i="1" s="1"/>
  <c r="I68" i="1"/>
  <c r="J68" i="1" s="1"/>
  <c r="I69" i="1"/>
  <c r="K69" i="1" s="1"/>
  <c r="I70" i="1"/>
  <c r="K70" i="1" s="1"/>
  <c r="I71" i="1"/>
  <c r="J71" i="1" s="1"/>
  <c r="I72" i="1"/>
  <c r="J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J80" i="1" s="1"/>
  <c r="I81" i="1"/>
  <c r="K81" i="1" s="1"/>
  <c r="I40" i="1"/>
  <c r="K40" i="1" s="1"/>
  <c r="D58" i="1"/>
  <c r="E58" i="1" s="1"/>
  <c r="D59" i="1"/>
  <c r="E59" i="1" s="1"/>
  <c r="D60" i="1"/>
  <c r="G60" i="1" s="1"/>
  <c r="D61" i="1"/>
  <c r="G61" i="1" s="1"/>
  <c r="D62" i="1"/>
  <c r="G62" i="1" s="1"/>
  <c r="D63" i="1"/>
  <c r="E63" i="1" s="1"/>
  <c r="D64" i="1"/>
  <c r="E64" i="1" s="1"/>
  <c r="D65" i="1"/>
  <c r="G65" i="1" s="1"/>
  <c r="D66" i="1"/>
  <c r="G66" i="1" s="1"/>
  <c r="D67" i="1"/>
  <c r="G67" i="1" s="1"/>
  <c r="D68" i="1"/>
  <c r="D69" i="1"/>
  <c r="D70" i="1"/>
  <c r="D71" i="1"/>
  <c r="D72" i="1"/>
  <c r="D73" i="1"/>
  <c r="G73" i="1" s="1"/>
  <c r="D74" i="1"/>
  <c r="G74" i="1" s="1"/>
  <c r="F84" i="1"/>
  <c r="F85" i="1" s="1"/>
  <c r="F81" i="1"/>
  <c r="F79" i="1"/>
  <c r="P116" i="1" l="1"/>
  <c r="E62" i="1"/>
  <c r="E60" i="1"/>
  <c r="E61" i="1"/>
  <c r="F43" i="1"/>
  <c r="G43" i="1" s="1"/>
  <c r="F44" i="1"/>
  <c r="G44" i="1" s="1"/>
  <c r="P113" i="1"/>
  <c r="Q113" i="1" s="1"/>
  <c r="R113" i="1" s="1"/>
  <c r="F56" i="1"/>
  <c r="G56" i="1" s="1"/>
  <c r="F48" i="1"/>
  <c r="G48" i="1" s="1"/>
  <c r="F45" i="1"/>
  <c r="G45" i="1" s="1"/>
  <c r="F57" i="1"/>
  <c r="G57" i="1" s="1"/>
  <c r="F49" i="1"/>
  <c r="G49" i="1" s="1"/>
  <c r="F41" i="1"/>
  <c r="G41" i="1" s="1"/>
  <c r="F42" i="1"/>
  <c r="G42" i="1" s="1"/>
  <c r="F50" i="1"/>
  <c r="G50" i="1" s="1"/>
  <c r="F55" i="1"/>
  <c r="G55" i="1" s="1"/>
  <c r="F54" i="1"/>
  <c r="G54" i="1" s="1"/>
  <c r="F53" i="1"/>
  <c r="G53" i="1" s="1"/>
  <c r="F52" i="1"/>
  <c r="G52" i="1" s="1"/>
  <c r="F47" i="1"/>
  <c r="G47" i="1" s="1"/>
  <c r="F46" i="1"/>
  <c r="G46" i="1" s="1"/>
  <c r="F51" i="1"/>
  <c r="G51" i="1" s="1"/>
  <c r="P108" i="1"/>
  <c r="Q108" i="1" s="1"/>
  <c r="R108" i="1" s="1"/>
  <c r="P107" i="1"/>
  <c r="Q107" i="1" s="1"/>
  <c r="R107" i="1" s="1"/>
  <c r="P120" i="1"/>
  <c r="Q120" i="1" s="1"/>
  <c r="R120" i="1" s="1"/>
  <c r="P119" i="1"/>
  <c r="Q119" i="1" s="1"/>
  <c r="R119" i="1" s="1"/>
  <c r="J27" i="1"/>
  <c r="Q121" i="1"/>
  <c r="R121" i="1" s="1"/>
  <c r="R125" i="1"/>
  <c r="R124" i="1"/>
  <c r="R123" i="1"/>
  <c r="P117" i="1"/>
  <c r="Q117" i="1" s="1"/>
  <c r="R117" i="1" s="1"/>
  <c r="P109" i="1"/>
  <c r="Q109" i="1" s="1"/>
  <c r="R109" i="1" s="1"/>
  <c r="F82" i="1"/>
  <c r="R122" i="1"/>
  <c r="P106" i="1"/>
  <c r="Q106" i="1" s="1"/>
  <c r="R106" i="1" s="1"/>
  <c r="P115" i="1"/>
  <c r="Q115" i="1" s="1"/>
  <c r="R115" i="1" s="1"/>
  <c r="P114" i="1"/>
  <c r="Q114" i="1" s="1"/>
  <c r="R114" i="1" s="1"/>
  <c r="F128" i="1"/>
  <c r="F126" i="1"/>
  <c r="P112" i="1"/>
  <c r="Q112" i="1" s="1"/>
  <c r="R112" i="1" s="1"/>
  <c r="P111" i="1"/>
  <c r="Q111" i="1" s="1"/>
  <c r="R111" i="1" s="1"/>
  <c r="Q116" i="1"/>
  <c r="R116" i="1" s="1"/>
  <c r="P118" i="1"/>
  <c r="Q118" i="1" s="1"/>
  <c r="R118" i="1" s="1"/>
  <c r="P110" i="1"/>
  <c r="Q110" i="1" s="1"/>
  <c r="R110" i="1" s="1"/>
  <c r="F58" i="1"/>
  <c r="G58" i="1" s="1"/>
  <c r="G63" i="1"/>
  <c r="G70" i="1"/>
  <c r="G71" i="1"/>
  <c r="G69" i="1"/>
  <c r="G68" i="1"/>
  <c r="J79" i="1"/>
  <c r="J63" i="1"/>
  <c r="K72" i="1"/>
  <c r="K71" i="1"/>
  <c r="K64" i="1"/>
  <c r="J55" i="1"/>
  <c r="K56" i="1"/>
  <c r="J47" i="1"/>
  <c r="K80" i="1"/>
  <c r="K48" i="1"/>
  <c r="J70" i="1"/>
  <c r="J54" i="1"/>
  <c r="J77" i="1"/>
  <c r="J45" i="1"/>
  <c r="K46" i="1"/>
  <c r="J76" i="1"/>
  <c r="J44" i="1"/>
  <c r="J51" i="1"/>
  <c r="J74" i="1"/>
  <c r="J50" i="1"/>
  <c r="K67" i="1"/>
  <c r="K43" i="1"/>
  <c r="J78" i="1"/>
  <c r="J62" i="1"/>
  <c r="J61" i="1"/>
  <c r="J60" i="1"/>
  <c r="K68" i="1"/>
  <c r="K52" i="1"/>
  <c r="J58" i="1"/>
  <c r="K59" i="1"/>
  <c r="J81" i="1"/>
  <c r="J73" i="1"/>
  <c r="J65" i="1"/>
  <c r="J57" i="1"/>
  <c r="J49" i="1"/>
  <c r="J41" i="1"/>
  <c r="K66" i="1"/>
  <c r="K42" i="1"/>
  <c r="J69" i="1"/>
  <c r="J53" i="1"/>
  <c r="J75" i="1"/>
  <c r="F40" i="1"/>
  <c r="G40" i="1" s="1"/>
  <c r="F59" i="1"/>
  <c r="G59" i="1" s="1"/>
  <c r="G72" i="1"/>
  <c r="G64" i="1"/>
  <c r="J40" i="1"/>
  <c r="F87" i="1" l="1"/>
  <c r="F90" i="1" s="1"/>
  <c r="F92" i="1"/>
  <c r="F96" i="1" l="1"/>
  <c r="F127" i="1"/>
  <c r="F130" i="1" s="1"/>
  <c r="F132" i="1" s="1"/>
  <c r="F138" i="1" l="1"/>
  <c r="I6" i="1" l="1"/>
</calcChain>
</file>

<file path=xl/sharedStrings.xml><?xml version="1.0" encoding="utf-8"?>
<sst xmlns="http://schemas.openxmlformats.org/spreadsheetml/2006/main" count="146" uniqueCount="82">
  <si>
    <t>Task 1: Buy a Home or Rent a Home</t>
  </si>
  <si>
    <t>Parameters Pertaining to Buying a Home</t>
  </si>
  <si>
    <t>S.No.</t>
  </si>
  <si>
    <t>Parameter name</t>
  </si>
  <si>
    <t>Value</t>
  </si>
  <si>
    <t>Assumption</t>
  </si>
  <si>
    <t>Parameters Pertaining to Renting a Home</t>
  </si>
  <si>
    <t xml:space="preserve">Parameters </t>
  </si>
  <si>
    <t>Rate</t>
  </si>
  <si>
    <t>Source</t>
  </si>
  <si>
    <t>Initial Home Purchase Price</t>
  </si>
  <si>
    <t>INR</t>
  </si>
  <si>
    <t>Monthly Rental Cost</t>
  </si>
  <si>
    <t>housing.com</t>
  </si>
  <si>
    <t>Down Payment Percent</t>
  </si>
  <si>
    <t>% of Property value</t>
  </si>
  <si>
    <t>Yearly Rental Cost</t>
  </si>
  <si>
    <t>Down Payment Amount</t>
  </si>
  <si>
    <t>Rental Cost Increase</t>
  </si>
  <si>
    <t>financeoutlookindia.com</t>
  </si>
  <si>
    <t>Interest Rate</t>
  </si>
  <si>
    <t>%</t>
  </si>
  <si>
    <t>Renter's Insurance</t>
  </si>
  <si>
    <t>Anecdotal</t>
  </si>
  <si>
    <t>Loan Amount</t>
  </si>
  <si>
    <t>Maintenance Fee</t>
  </si>
  <si>
    <t>propex.ai</t>
  </si>
  <si>
    <t>Loan Term</t>
  </si>
  <si>
    <t>years</t>
  </si>
  <si>
    <t>Maintenance Fee Increase</t>
  </si>
  <si>
    <t xml:space="preserve">Buying Closing Cost </t>
  </si>
  <si>
    <t>% of Property Value</t>
  </si>
  <si>
    <t>Security Deposit</t>
  </si>
  <si>
    <t>Property Tax</t>
  </si>
  <si>
    <t>Upfront Cost</t>
  </si>
  <si>
    <t>nobroker.in</t>
  </si>
  <si>
    <t>Home Insurance</t>
  </si>
  <si>
    <t>House Owner Association (HOA) Fee</t>
  </si>
  <si>
    <t>Maintenance Cost</t>
  </si>
  <si>
    <t>Home Value Appreciation</t>
  </si>
  <si>
    <t>Selling/Closing Cost &amp; Associated Costs</t>
  </si>
  <si>
    <t>% of Propert Selling Value</t>
  </si>
  <si>
    <t xml:space="preserve">Discount Rate </t>
  </si>
  <si>
    <t xml:space="preserve">Assumed from Google </t>
  </si>
  <si>
    <t>Years of Stay</t>
  </si>
  <si>
    <t>Ownership &amp; Maintenance Costs</t>
  </si>
  <si>
    <t>Loan Repayment Data</t>
  </si>
  <si>
    <t>Year</t>
  </si>
  <si>
    <t>Home Value at the end of each Year</t>
  </si>
  <si>
    <t xml:space="preserve">Tax, Maintenance and other annual Cost </t>
  </si>
  <si>
    <t>Discounted Present worth of annual costs</t>
  </si>
  <si>
    <t>Loan Installment Paid</t>
  </si>
  <si>
    <t>Discounted worth of loan installments</t>
  </si>
  <si>
    <t>Calculation of Home Purchasing Cost</t>
  </si>
  <si>
    <t>Yearly EMI paid on Loan</t>
  </si>
  <si>
    <t>Buying Closing Cost Amount</t>
  </si>
  <si>
    <t>Present value of Loan amount paid back till staying in the home</t>
  </si>
  <si>
    <t>No. of Yearly Loan Installments remaining</t>
  </si>
  <si>
    <t>Selling-Time-Worth of Loan Amount remaining</t>
  </si>
  <si>
    <t>Listed Selling Price of House</t>
  </si>
  <si>
    <t>Associated Costs with Selling</t>
  </si>
  <si>
    <t>Net Selling Price of House</t>
  </si>
  <si>
    <t>Present value of Net selling Price of Home</t>
  </si>
  <si>
    <t>Present worth of annual costs</t>
  </si>
  <si>
    <t>NET PRESENT VALUE OF HOUSE</t>
  </si>
  <si>
    <t>INVESTMENTS MADE WHILE LIVING ON RENT</t>
  </si>
  <si>
    <t>Yearly Charges Paid (Rent + Maintenance)</t>
  </si>
  <si>
    <t>Yearly Investments</t>
  </si>
  <si>
    <t>Future Value of these annual Investments</t>
  </si>
  <si>
    <t>Unit</t>
  </si>
  <si>
    <t>Calculations While Living on Rent</t>
  </si>
  <si>
    <t>Initial Investment</t>
  </si>
  <si>
    <t>Future Value of Initial Investment</t>
  </si>
  <si>
    <t xml:space="preserve"> Present Value of Initial Investment</t>
  </si>
  <si>
    <t xml:space="preserve"> Total Future Value of Annual Investments</t>
  </si>
  <si>
    <t>Future Value of Security deposit returned (No Interest Paid)</t>
  </si>
  <si>
    <t>Net Future Value of all Investments</t>
  </si>
  <si>
    <t>Net Present Value of all investments</t>
  </si>
  <si>
    <t xml:space="preserve">Extra Profit from Buying a House </t>
  </si>
  <si>
    <t>Base Analysis</t>
  </si>
  <si>
    <r>
      <t xml:space="preserve"> </t>
    </r>
    <r>
      <rPr>
        <sz val="72"/>
        <color theme="1"/>
        <rFont val="Aptos Narrow (Body)"/>
      </rPr>
      <t>=&gt;&gt;</t>
    </r>
  </si>
  <si>
    <t xml:space="preserve">Final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</si>
</sst>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#,##0.00_);[Red]\(&quot;₹&quot;#,##0.00\)"/>
    <numFmt numFmtId="164" formatCode="&quot;₹&quot;#,##0.00"/>
  </numFmts>
  <fonts count="29" x14ac:knownFonts="1">
    <font>
      <sz val="12"/>
      <color theme="1"/>
      <name val="Aptos Narrow"/>
      <family val="2"/>
      <scheme val="minor"/>
    </font>
    <font>
      <b/>
      <sz val="22"/>
      <color theme="1"/>
      <name val="Aptos Narrow (Body)"/>
    </font>
    <font>
      <b/>
      <sz val="22"/>
      <color theme="1"/>
      <name val="Aptos Narrow"/>
      <family val="1"/>
      <scheme val="minor"/>
    </font>
    <font>
      <b/>
      <sz val="20"/>
      <color theme="1"/>
      <name val="Aptos Narrow (Body)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1"/>
      <name val="Arial"/>
      <family val="2"/>
    </font>
    <font>
      <sz val="20"/>
      <color theme="1"/>
      <name val="Aptos Narrow"/>
      <family val="2"/>
      <scheme val="minor"/>
    </font>
    <font>
      <sz val="20"/>
      <color theme="1"/>
      <name val="Aptos Narrow (Body)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sz val="24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sz val="22"/>
      <color theme="1"/>
      <name val="Times New Roman"/>
      <family val="1"/>
    </font>
    <font>
      <u/>
      <sz val="12"/>
      <color theme="10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28"/>
      <color theme="1"/>
      <name val="Times New Roman"/>
      <family val="1"/>
    </font>
    <font>
      <sz val="2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u/>
      <sz val="24"/>
      <color theme="10"/>
      <name val="Aptos Narrow"/>
      <family val="2"/>
      <scheme val="minor"/>
    </font>
    <font>
      <b/>
      <sz val="28"/>
      <color theme="1"/>
      <name val="Aptos Narrow"/>
      <scheme val="minor"/>
    </font>
    <font>
      <b/>
      <sz val="22"/>
      <color theme="1"/>
      <name val="Times New Roman"/>
      <family val="1"/>
    </font>
    <font>
      <b/>
      <sz val="30"/>
      <color theme="1"/>
      <name val="Times New Roman"/>
      <family val="1"/>
    </font>
    <font>
      <b/>
      <sz val="40"/>
      <color theme="1"/>
      <name val="Times New Roman"/>
      <family val="1"/>
    </font>
    <font>
      <sz val="72"/>
      <color theme="1"/>
      <name val="Aptos Narrow (Body)"/>
    </font>
    <font>
      <b/>
      <sz val="3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/>
    <xf numFmtId="8" fontId="0" fillId="0" borderId="0" xfId="0" applyNumberFormat="1"/>
    <xf numFmtId="0" fontId="7" fillId="0" borderId="0" xfId="0" applyFont="1" applyAlignment="1">
      <alignment horizontal="center" vertical="center"/>
    </xf>
    <xf numFmtId="0" fontId="13" fillId="0" borderId="0" xfId="0" applyFont="1"/>
    <xf numFmtId="0" fontId="14" fillId="3" borderId="0" xfId="0" applyFont="1" applyFill="1"/>
    <xf numFmtId="0" fontId="15" fillId="0" borderId="0" xfId="0" applyFont="1"/>
    <xf numFmtId="0" fontId="12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19" fillId="3" borderId="0" xfId="0" applyFont="1" applyFill="1" applyAlignment="1">
      <alignment horizontal="center"/>
    </xf>
    <xf numFmtId="0" fontId="11" fillId="0" borderId="0" xfId="0" applyFont="1"/>
    <xf numFmtId="0" fontId="21" fillId="0" borderId="0" xfId="0" applyFont="1"/>
    <xf numFmtId="0" fontId="11" fillId="0" borderId="0" xfId="0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22" fillId="0" borderId="0" xfId="1" applyFont="1"/>
    <xf numFmtId="0" fontId="14" fillId="0" borderId="0" xfId="0" applyFont="1"/>
    <xf numFmtId="0" fontId="14" fillId="0" borderId="0" xfId="0" applyFont="1" applyAlignment="1">
      <alignment horizontal="center"/>
    </xf>
    <xf numFmtId="164" fontId="15" fillId="0" borderId="0" xfId="0" applyNumberFormat="1" applyFont="1"/>
    <xf numFmtId="8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8" fontId="11" fillId="0" borderId="0" xfId="0" applyNumberFormat="1" applyFont="1"/>
    <xf numFmtId="0" fontId="18" fillId="0" borderId="0" xfId="0" applyFont="1"/>
    <xf numFmtId="8" fontId="18" fillId="0" borderId="0" xfId="0" applyNumberFormat="1" applyFont="1"/>
    <xf numFmtId="0" fontId="23" fillId="0" borderId="0" xfId="0" applyFont="1"/>
    <xf numFmtId="0" fontId="24" fillId="0" borderId="0" xfId="0" applyFont="1"/>
    <xf numFmtId="0" fontId="10" fillId="0" borderId="0" xfId="0" applyFont="1"/>
    <xf numFmtId="0" fontId="10" fillId="3" borderId="0" xfId="0" applyFont="1" applyFill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9" fillId="4" borderId="0" xfId="0" applyFont="1" applyFill="1"/>
    <xf numFmtId="0" fontId="19" fillId="0" borderId="0" xfId="0" applyFont="1" applyAlignment="1">
      <alignment horizontal="center" vertical="center"/>
    </xf>
    <xf numFmtId="0" fontId="26" fillId="5" borderId="0" xfId="0" applyFont="1" applyFill="1"/>
    <xf numFmtId="2" fontId="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7" borderId="0" xfId="0" applyFill="1"/>
    <xf numFmtId="0" fontId="28" fillId="6" borderId="0" xfId="0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EE09C-9A04-3B4A-BCE7-B39B17F606EC}" name="Table14" displayName="Table14" ref="D18:G34" totalsRowShown="0">
  <autoFilter ref="D18:G34" xr:uid="{12DEE09C-9A04-3B4A-BCE7-B39B17F606EC}">
    <filterColumn colId="0" hiddenButton="1"/>
    <filterColumn colId="1" hiddenButton="1"/>
    <filterColumn colId="2" hiddenButton="1"/>
    <filterColumn colId="3" hiddenButton="1"/>
  </autoFilter>
  <tableColumns count="4">
    <tableColumn id="1" xr3:uid="{15208238-4714-4B49-AD3C-EEF7E1A84454}" name="S.No." dataDxfId="7"/>
    <tableColumn id="2" xr3:uid="{E95DCBF5-596B-4644-85A2-B25101FBE558}" name="Parameter name" dataDxfId="6"/>
    <tableColumn id="7" xr3:uid="{A83A25C7-41AB-6B4C-BC0C-49D52A46F7F9}" name="Value" dataDxfId="5"/>
    <tableColumn id="11" xr3:uid="{77D17354-7716-4E46-A0D0-737711185942}" name="Assumption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B3DF99-5FE7-B14F-82CC-A7C9CCF4F15B}" name="Table143" displayName="Table143" ref="G12:J28" totalsRowShown="0">
  <autoFilter ref="G12:J28" xr:uid="{CEB3DF99-5FE7-B14F-82CC-A7C9CCF4F15B}"/>
  <tableColumns count="4">
    <tableColumn id="1" xr3:uid="{AF2CC45D-1C29-D649-AAAB-A3F0B44C26C6}" name="S.No." dataDxfId="3"/>
    <tableColumn id="2" xr3:uid="{6A94A702-2237-A546-90A9-1EE9DE004EBC}" name="Parameter name" dataDxfId="2"/>
    <tableColumn id="7" xr3:uid="{CECCBD64-AE59-2646-AD27-14A0D4E70132}" name="Value" dataDxfId="1"/>
    <tableColumn id="11" xr3:uid="{6B4ED18F-107E-5E47-B33B-495797199729}" name="Assum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financeoutlookindia.com/news/q1-2024-rent-skyrockets-in-india-s-top-7-cities-with-bengaluru-seeing-an-8-increase-nwid-1606.html?utm_source=chatgpt.com" TargetMode="External"/><Relationship Id="rId1" Type="http://schemas.openxmlformats.org/officeDocument/2006/relationships/hyperlink" Target="https://www.financeoutlookindia.com/news/q1-2024-rent-skyrockets-in-india-s-top-7-cities-with-bengaluru-seeing-an-8-increase-nwid-1606.html?utm_source=chatgp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65B6-10C0-1E43-AD7B-20D57BA4CC41}">
  <dimension ref="D6:T138"/>
  <sheetViews>
    <sheetView tabSelected="1" zoomScale="75" workbookViewId="0">
      <selection activeCell="J31" sqref="J31"/>
    </sheetView>
  </sheetViews>
  <sheetFormatPr baseColWidth="10" defaultColWidth="11" defaultRowHeight="16" x14ac:dyDescent="0.2"/>
  <cols>
    <col min="5" max="5" width="109.5" customWidth="1"/>
    <col min="6" max="6" width="80.5" customWidth="1"/>
    <col min="7" max="7" width="65.83203125" customWidth="1"/>
    <col min="8" max="8" width="23.83203125" customWidth="1"/>
    <col min="9" max="9" width="96.5" customWidth="1"/>
    <col min="10" max="10" width="78.5" customWidth="1"/>
    <col min="11" max="11" width="65.83203125" customWidth="1"/>
    <col min="12" max="12" width="43.5" customWidth="1"/>
    <col min="13" max="13" width="14.83203125" customWidth="1"/>
    <col min="14" max="14" width="11" customWidth="1"/>
    <col min="15" max="15" width="30" customWidth="1"/>
    <col min="16" max="16" width="83.83203125" customWidth="1"/>
    <col min="17" max="17" width="63.83203125" customWidth="1"/>
    <col min="18" max="18" width="77.5" customWidth="1"/>
  </cols>
  <sheetData>
    <row r="6" spans="5:9" ht="93" x14ac:dyDescent="1.05">
      <c r="E6" s="50" t="s">
        <v>0</v>
      </c>
      <c r="G6" s="54" t="s">
        <v>81</v>
      </c>
      <c r="H6" s="53" t="s">
        <v>80</v>
      </c>
      <c r="I6" s="52" t="str">
        <f>IF(Extra_Profit_from_Buying_a_House&gt;=0, "Yes,We should Buy","No,We shouldn't Buy")</f>
        <v>Yes,We should Buy</v>
      </c>
    </row>
    <row r="15" spans="5:9" ht="35" x14ac:dyDescent="0.35">
      <c r="E15" s="16" t="s">
        <v>1</v>
      </c>
    </row>
    <row r="18" spans="4:11" ht="35" x14ac:dyDescent="0.35">
      <c r="D18" s="2" t="s">
        <v>2</v>
      </c>
      <c r="E18" s="1" t="s">
        <v>3</v>
      </c>
      <c r="F18" s="7" t="s">
        <v>4</v>
      </c>
      <c r="G18" s="3" t="s">
        <v>5</v>
      </c>
      <c r="I18" s="45" t="s">
        <v>6</v>
      </c>
    </row>
    <row r="19" spans="4:11" ht="26" x14ac:dyDescent="0.3">
      <c r="D19" s="4"/>
      <c r="F19" s="8"/>
      <c r="G19" s="8"/>
      <c r="I19" s="15" t="s">
        <v>7</v>
      </c>
      <c r="J19" s="46" t="s">
        <v>8</v>
      </c>
      <c r="K19" s="15" t="s">
        <v>9</v>
      </c>
    </row>
    <row r="20" spans="4:11" ht="32" x14ac:dyDescent="0.4">
      <c r="D20" s="14">
        <v>1</v>
      </c>
      <c r="E20" s="13" t="s">
        <v>10</v>
      </c>
      <c r="F20" s="9">
        <v>8000000</v>
      </c>
      <c r="G20" s="9" t="s">
        <v>11</v>
      </c>
      <c r="I20" s="21" t="s">
        <v>12</v>
      </c>
      <c r="J20" s="30">
        <v>30000</v>
      </c>
      <c r="K20" s="29" t="s">
        <v>13</v>
      </c>
    </row>
    <row r="21" spans="4:11" ht="32" x14ac:dyDescent="0.4">
      <c r="D21" s="14">
        <v>2</v>
      </c>
      <c r="E21" s="13" t="s">
        <v>14</v>
      </c>
      <c r="F21" s="12">
        <v>0.25</v>
      </c>
      <c r="G21" s="9" t="s">
        <v>15</v>
      </c>
      <c r="I21" s="21" t="s">
        <v>16</v>
      </c>
      <c r="J21" s="30">
        <f>Monthly_Rental_Cost*12</f>
        <v>360000</v>
      </c>
      <c r="K21" s="29" t="s">
        <v>13</v>
      </c>
    </row>
    <row r="22" spans="4:11" ht="32" x14ac:dyDescent="0.4">
      <c r="D22" s="14">
        <v>3</v>
      </c>
      <c r="E22" s="13" t="s">
        <v>17</v>
      </c>
      <c r="F22" s="9">
        <v>2500000</v>
      </c>
      <c r="G22" s="9" t="s">
        <v>11</v>
      </c>
      <c r="I22" s="21" t="s">
        <v>18</v>
      </c>
      <c r="J22" s="31">
        <v>0.08</v>
      </c>
      <c r="K22" s="32" t="s">
        <v>19</v>
      </c>
    </row>
    <row r="23" spans="4:11" ht="32" x14ac:dyDescent="0.4">
      <c r="D23" s="14">
        <v>4</v>
      </c>
      <c r="E23" s="13" t="s">
        <v>20</v>
      </c>
      <c r="F23" s="12">
        <v>0.09</v>
      </c>
      <c r="G23" s="9" t="s">
        <v>21</v>
      </c>
      <c r="I23" s="21" t="s">
        <v>22</v>
      </c>
      <c r="J23" s="30">
        <v>5000</v>
      </c>
      <c r="K23" s="29" t="s">
        <v>23</v>
      </c>
    </row>
    <row r="24" spans="4:11" ht="32" x14ac:dyDescent="0.4">
      <c r="D24" s="14">
        <v>5</v>
      </c>
      <c r="E24" s="13" t="s">
        <v>24</v>
      </c>
      <c r="F24" s="9">
        <v>5500000</v>
      </c>
      <c r="G24" s="9" t="s">
        <v>11</v>
      </c>
      <c r="I24" s="21" t="s">
        <v>25</v>
      </c>
      <c r="J24" s="30">
        <v>20000</v>
      </c>
      <c r="K24" s="29" t="s">
        <v>26</v>
      </c>
    </row>
    <row r="25" spans="4:11" ht="32" x14ac:dyDescent="0.4">
      <c r="D25" s="14">
        <v>7</v>
      </c>
      <c r="E25" s="13" t="s">
        <v>27</v>
      </c>
      <c r="F25" s="9">
        <v>12</v>
      </c>
      <c r="G25" s="9" t="s">
        <v>28</v>
      </c>
      <c r="I25" s="21" t="s">
        <v>29</v>
      </c>
      <c r="J25" s="31">
        <v>0.1</v>
      </c>
      <c r="K25" s="29" t="s">
        <v>23</v>
      </c>
    </row>
    <row r="26" spans="4:11" ht="32" x14ac:dyDescent="0.4">
      <c r="D26" s="14">
        <v>8</v>
      </c>
      <c r="E26" s="13" t="s">
        <v>30</v>
      </c>
      <c r="F26" s="10">
        <v>0.06</v>
      </c>
      <c r="G26" s="11" t="s">
        <v>31</v>
      </c>
      <c r="I26" s="21" t="s">
        <v>32</v>
      </c>
      <c r="J26" s="30">
        <f>Monthly_Rental_Cost*3</f>
        <v>90000</v>
      </c>
      <c r="K26" s="29" t="s">
        <v>13</v>
      </c>
    </row>
    <row r="27" spans="4:11" ht="32" x14ac:dyDescent="0.4">
      <c r="D27" s="14">
        <v>10</v>
      </c>
      <c r="E27" s="13" t="s">
        <v>33</v>
      </c>
      <c r="F27" s="12">
        <v>5.0000000000000001E-3</v>
      </c>
      <c r="G27" s="9" t="s">
        <v>15</v>
      </c>
      <c r="I27" s="21" t="s">
        <v>34</v>
      </c>
      <c r="J27" s="30">
        <f>Security_Deposit+Maintenance_Fees+Monthly_Rental_Cost+Renter_s_Insurance</f>
        <v>145000</v>
      </c>
      <c r="K27" s="29" t="s">
        <v>35</v>
      </c>
    </row>
    <row r="28" spans="4:11" ht="27" x14ac:dyDescent="0.35">
      <c r="D28" s="14">
        <v>11</v>
      </c>
      <c r="E28" s="13" t="s">
        <v>36</v>
      </c>
      <c r="F28" s="9">
        <v>10000</v>
      </c>
      <c r="G28" s="9" t="s">
        <v>11</v>
      </c>
    </row>
    <row r="29" spans="4:11" ht="27" x14ac:dyDescent="0.35">
      <c r="D29" s="14">
        <v>12</v>
      </c>
      <c r="E29" s="13" t="s">
        <v>37</v>
      </c>
      <c r="F29" s="9">
        <v>20000</v>
      </c>
      <c r="G29" s="9" t="s">
        <v>11</v>
      </c>
    </row>
    <row r="30" spans="4:11" ht="27" x14ac:dyDescent="0.35">
      <c r="D30" s="14">
        <v>13</v>
      </c>
      <c r="E30" s="13" t="s">
        <v>38</v>
      </c>
      <c r="F30" s="12">
        <v>0.02</v>
      </c>
      <c r="G30" s="9" t="s">
        <v>15</v>
      </c>
    </row>
    <row r="31" spans="4:11" ht="27" x14ac:dyDescent="0.35">
      <c r="D31" s="14">
        <v>14</v>
      </c>
      <c r="E31" s="13" t="s">
        <v>39</v>
      </c>
      <c r="F31" s="10">
        <v>0.12</v>
      </c>
      <c r="G31" s="9" t="s">
        <v>15</v>
      </c>
    </row>
    <row r="32" spans="4:11" ht="37" x14ac:dyDescent="0.35">
      <c r="D32" s="14">
        <v>15</v>
      </c>
      <c r="E32" s="13" t="s">
        <v>40</v>
      </c>
      <c r="F32" s="10">
        <v>0.02</v>
      </c>
      <c r="G32" s="9" t="s">
        <v>41</v>
      </c>
      <c r="I32" s="55"/>
      <c r="J32" s="49"/>
    </row>
    <row r="33" spans="4:11" ht="27" x14ac:dyDescent="0.35">
      <c r="D33" s="14">
        <v>16</v>
      </c>
      <c r="E33" s="13" t="s">
        <v>42</v>
      </c>
      <c r="F33" s="10">
        <v>0.04</v>
      </c>
      <c r="G33" s="9" t="s">
        <v>43</v>
      </c>
    </row>
    <row r="34" spans="4:11" ht="27" x14ac:dyDescent="0.35">
      <c r="D34" s="14">
        <v>17</v>
      </c>
      <c r="E34" s="5" t="s">
        <v>44</v>
      </c>
      <c r="F34" s="51">
        <v>16</v>
      </c>
      <c r="G34" s="6"/>
    </row>
    <row r="38" spans="4:11" ht="35" x14ac:dyDescent="0.35">
      <c r="F38" s="16" t="s">
        <v>45</v>
      </c>
      <c r="J38" s="16" t="s">
        <v>46</v>
      </c>
    </row>
    <row r="39" spans="4:11" ht="44" customHeight="1" x14ac:dyDescent="0.3">
      <c r="D39" s="43" t="s">
        <v>47</v>
      </c>
      <c r="E39" s="43" t="s">
        <v>48</v>
      </c>
      <c r="F39" s="43" t="s">
        <v>49</v>
      </c>
      <c r="G39" s="43" t="s">
        <v>50</v>
      </c>
      <c r="I39" s="47" t="s">
        <v>47</v>
      </c>
      <c r="J39" s="19" t="s">
        <v>51</v>
      </c>
      <c r="K39" s="19" t="s">
        <v>52</v>
      </c>
    </row>
    <row r="40" spans="4:11" ht="30" x14ac:dyDescent="0.3">
      <c r="D40" s="37">
        <f t="shared" ref="D40:D57" si="0">IF(ROW(A1)&lt;=Years_of_Stay, ROW(A1), "")</f>
        <v>1</v>
      </c>
      <c r="E40" s="38">
        <f t="shared" ref="E40:E64" si="1">IF(D40&lt;=Years_of_Stay, Initial_Home_Purchase_Price * (1 + Home_Value_Appreciation) ^ D40, "")</f>
        <v>8960000</v>
      </c>
      <c r="F40" s="37">
        <f t="shared" ref="F40:F59" si="2">IF(D40&lt;=Years_of_Stay,Property_Tax*E40+Maintenance_Cost*E40+Home_Insurance+House_Owner_Association__HOA__Fee, "")</f>
        <v>254000</v>
      </c>
      <c r="G40" s="37">
        <f t="shared" ref="G40:G59" si="3">IF(D40&lt;=Years_of_Stay, F40 / ( Discount_Rate+1)^D40, "")</f>
        <v>244230.76923076922</v>
      </c>
      <c r="I40" s="28">
        <f t="shared" ref="I40:I81" si="4">IF(ROW(A1)&lt;=Loan_Term, ROW(A1), "")</f>
        <v>1</v>
      </c>
      <c r="J40" s="39">
        <f t="shared" ref="J40:J81" si="5">IF(I40&lt;=Loan_Term,PMT( Interest_Rate,  Loan_Term, Loan_Amount), "")</f>
        <v>-768078.62158227037</v>
      </c>
      <c r="K40" s="39">
        <f t="shared" ref="K40:K81" si="6">IF(I40&lt;=Loan_Term,PMT( Interest_Rate,  Loan_Term, Loan_Amount)/ (1+Discount_Rate)^I40,  "")</f>
        <v>-738537.13613679842</v>
      </c>
    </row>
    <row r="41" spans="4:11" ht="30" x14ac:dyDescent="0.3">
      <c r="D41" s="37">
        <f t="shared" si="0"/>
        <v>2</v>
      </c>
      <c r="E41" s="38">
        <f t="shared" si="1"/>
        <v>10035200.000000002</v>
      </c>
      <c r="F41" s="37">
        <f t="shared" si="2"/>
        <v>280880</v>
      </c>
      <c r="G41" s="37">
        <f t="shared" si="3"/>
        <v>259689.34911242602</v>
      </c>
      <c r="I41" s="28">
        <f t="shared" si="4"/>
        <v>2</v>
      </c>
      <c r="J41" s="39">
        <f t="shared" si="5"/>
        <v>-768078.62158227037</v>
      </c>
      <c r="K41" s="39">
        <f t="shared" si="6"/>
        <v>-710131.86166999838</v>
      </c>
    </row>
    <row r="42" spans="4:11" ht="30" x14ac:dyDescent="0.3">
      <c r="D42" s="37">
        <f t="shared" si="0"/>
        <v>3</v>
      </c>
      <c r="E42" s="38">
        <f t="shared" si="1"/>
        <v>11239424.000000004</v>
      </c>
      <c r="F42" s="37">
        <f t="shared" si="2"/>
        <v>310985.60000000009</v>
      </c>
      <c r="G42" s="37">
        <f t="shared" si="3"/>
        <v>276465.06599908974</v>
      </c>
      <c r="I42" s="28">
        <f t="shared" si="4"/>
        <v>3</v>
      </c>
      <c r="J42" s="39">
        <f t="shared" si="5"/>
        <v>-768078.62158227037</v>
      </c>
      <c r="K42" s="39">
        <f t="shared" si="6"/>
        <v>-682819.09775961388</v>
      </c>
    </row>
    <row r="43" spans="4:11" ht="30" x14ac:dyDescent="0.3">
      <c r="D43" s="37">
        <f t="shared" si="0"/>
        <v>4</v>
      </c>
      <c r="E43" s="38">
        <f t="shared" si="1"/>
        <v>12588154.880000003</v>
      </c>
      <c r="F43" s="37">
        <f t="shared" si="2"/>
        <v>344703.87200000009</v>
      </c>
      <c r="G43" s="37">
        <f t="shared" si="3"/>
        <v>294654.31444977422</v>
      </c>
      <c r="I43" s="28">
        <f t="shared" si="4"/>
        <v>4</v>
      </c>
      <c r="J43" s="39">
        <f t="shared" si="5"/>
        <v>-768078.62158227037</v>
      </c>
      <c r="K43" s="39">
        <f t="shared" si="6"/>
        <v>-656556.82476885943</v>
      </c>
    </row>
    <row r="44" spans="4:11" ht="30" x14ac:dyDescent="0.3">
      <c r="D44" s="37">
        <f t="shared" si="0"/>
        <v>5</v>
      </c>
      <c r="E44" s="38">
        <f t="shared" si="1"/>
        <v>14098733.465600004</v>
      </c>
      <c r="F44" s="37">
        <f t="shared" si="2"/>
        <v>382468.33664000011</v>
      </c>
      <c r="G44" s="37">
        <f t="shared" si="3"/>
        <v>314361.09336157696</v>
      </c>
      <c r="I44" s="28">
        <f t="shared" si="4"/>
        <v>5</v>
      </c>
      <c r="J44" s="39">
        <f t="shared" si="5"/>
        <v>-768078.62158227037</v>
      </c>
      <c r="K44" s="39">
        <f t="shared" si="6"/>
        <v>-631304.63920082629</v>
      </c>
    </row>
    <row r="45" spans="4:11" ht="30" x14ac:dyDescent="0.3">
      <c r="D45" s="37">
        <f t="shared" si="0"/>
        <v>6</v>
      </c>
      <c r="E45" s="38">
        <f t="shared" si="1"/>
        <v>15790581.481472006</v>
      </c>
      <c r="F45" s="37">
        <f t="shared" si="2"/>
        <v>424764.53703680017</v>
      </c>
      <c r="G45" s="37">
        <f t="shared" si="3"/>
        <v>335697.58363522362</v>
      </c>
      <c r="I45" s="28">
        <f t="shared" si="4"/>
        <v>6</v>
      </c>
      <c r="J45" s="39">
        <f t="shared" si="5"/>
        <v>-768078.62158227037</v>
      </c>
      <c r="K45" s="39">
        <f t="shared" si="6"/>
        <v>-607023.69153925602</v>
      </c>
    </row>
    <row r="46" spans="4:11" ht="30" x14ac:dyDescent="0.3">
      <c r="D46" s="37">
        <f t="shared" si="0"/>
        <v>7</v>
      </c>
      <c r="E46" s="38">
        <f t="shared" si="1"/>
        <v>17685451.259248648</v>
      </c>
      <c r="F46" s="37">
        <f t="shared" si="2"/>
        <v>472136.2814812162</v>
      </c>
      <c r="G46" s="37">
        <f t="shared" si="3"/>
        <v>358784.77055655961</v>
      </c>
      <c r="I46" s="28">
        <f t="shared" si="4"/>
        <v>7</v>
      </c>
      <c r="J46" s="39">
        <f t="shared" si="5"/>
        <v>-768078.62158227037</v>
      </c>
      <c r="K46" s="39">
        <f t="shared" si="6"/>
        <v>-583676.62648005399</v>
      </c>
    </row>
    <row r="47" spans="4:11" ht="30" x14ac:dyDescent="0.3">
      <c r="D47" s="37">
        <f t="shared" si="0"/>
        <v>8</v>
      </c>
      <c r="E47" s="38">
        <f t="shared" si="1"/>
        <v>19807705.410358489</v>
      </c>
      <c r="F47" s="37">
        <f t="shared" si="2"/>
        <v>525192.63525896228</v>
      </c>
      <c r="G47" s="37">
        <f t="shared" si="3"/>
        <v>383753.11432290322</v>
      </c>
      <c r="I47" s="28">
        <f t="shared" si="4"/>
        <v>8</v>
      </c>
      <c r="J47" s="39">
        <f t="shared" si="5"/>
        <v>-768078.62158227037</v>
      </c>
      <c r="K47" s="39">
        <f t="shared" si="6"/>
        <v>-561227.52546159027</v>
      </c>
    </row>
    <row r="48" spans="4:11" ht="30" x14ac:dyDescent="0.3">
      <c r="D48" s="37">
        <f t="shared" si="0"/>
        <v>9</v>
      </c>
      <c r="E48" s="38">
        <f t="shared" si="1"/>
        <v>22184630.059601508</v>
      </c>
      <c r="F48" s="37">
        <f t="shared" si="2"/>
        <v>584615.75149003777</v>
      </c>
      <c r="G48" s="37">
        <f t="shared" si="3"/>
        <v>410743.27240735042</v>
      </c>
      <c r="I48" s="28">
        <f t="shared" si="4"/>
        <v>9</v>
      </c>
      <c r="J48" s="39">
        <f t="shared" si="5"/>
        <v>-768078.62158227037</v>
      </c>
      <c r="K48" s="39">
        <f t="shared" si="6"/>
        <v>-539641.85140537517</v>
      </c>
    </row>
    <row r="49" spans="4:11" ht="30" x14ac:dyDescent="0.3">
      <c r="D49" s="37">
        <f t="shared" si="0"/>
        <v>10</v>
      </c>
      <c r="E49" s="38">
        <f t="shared" si="1"/>
        <v>24846785.666753691</v>
      </c>
      <c r="F49" s="37">
        <f t="shared" si="2"/>
        <v>651169.64166884229</v>
      </c>
      <c r="G49" s="37">
        <f t="shared" si="3"/>
        <v>439906.8777386045</v>
      </c>
      <c r="I49" s="28">
        <f t="shared" si="4"/>
        <v>10</v>
      </c>
      <c r="J49" s="39">
        <f t="shared" si="5"/>
        <v>-768078.62158227037</v>
      </c>
      <c r="K49" s="39">
        <f t="shared" si="6"/>
        <v>-518886.39558209153</v>
      </c>
    </row>
    <row r="50" spans="4:11" ht="30" x14ac:dyDescent="0.3">
      <c r="D50" s="37">
        <f t="shared" si="0"/>
        <v>11</v>
      </c>
      <c r="E50" s="38">
        <f t="shared" si="1"/>
        <v>27828399.946764138</v>
      </c>
      <c r="F50" s="37">
        <f t="shared" si="2"/>
        <v>725709.99866910349</v>
      </c>
      <c r="G50" s="37">
        <f t="shared" si="3"/>
        <v>471407.37698025414</v>
      </c>
      <c r="I50" s="28">
        <f t="shared" si="4"/>
        <v>11</v>
      </c>
      <c r="J50" s="39">
        <f t="shared" si="5"/>
        <v>-768078.62158227037</v>
      </c>
      <c r="K50" s="39">
        <f t="shared" si="6"/>
        <v>-498929.22652124189</v>
      </c>
    </row>
    <row r="51" spans="4:11" ht="30" x14ac:dyDescent="0.3">
      <c r="D51" s="37">
        <f t="shared" si="0"/>
        <v>12</v>
      </c>
      <c r="E51" s="38">
        <f t="shared" si="1"/>
        <v>31167807.940375831</v>
      </c>
      <c r="F51" s="37">
        <f t="shared" si="2"/>
        <v>809195.19850939582</v>
      </c>
      <c r="G51" s="37">
        <f t="shared" si="3"/>
        <v>505420.93352332374</v>
      </c>
      <c r="I51" s="28">
        <f t="shared" si="4"/>
        <v>12</v>
      </c>
      <c r="J51" s="39">
        <f t="shared" si="5"/>
        <v>-768078.62158227037</v>
      </c>
      <c r="K51" s="39">
        <f t="shared" si="6"/>
        <v>-479739.64088580944</v>
      </c>
    </row>
    <row r="52" spans="4:11" ht="30" x14ac:dyDescent="0.3">
      <c r="D52" s="37">
        <f t="shared" si="0"/>
        <v>13</v>
      </c>
      <c r="E52" s="38">
        <f t="shared" si="1"/>
        <v>34907944.893220939</v>
      </c>
      <c r="F52" s="37">
        <f t="shared" si="2"/>
        <v>902698.62233052356</v>
      </c>
      <c r="G52" s="37">
        <f t="shared" si="3"/>
        <v>542137.40016118705</v>
      </c>
      <c r="I52" s="28" t="str">
        <f t="shared" si="4"/>
        <v/>
      </c>
      <c r="J52" s="39" t="str">
        <f t="shared" si="5"/>
        <v/>
      </c>
      <c r="K52" s="39" t="str">
        <f t="shared" si="6"/>
        <v/>
      </c>
    </row>
    <row r="53" spans="4:11" ht="30" x14ac:dyDescent="0.3">
      <c r="D53" s="37">
        <f t="shared" si="0"/>
        <v>14</v>
      </c>
      <c r="E53" s="38">
        <f t="shared" si="1"/>
        <v>39096898.280407451</v>
      </c>
      <c r="F53" s="37">
        <f t="shared" si="2"/>
        <v>1007422.4570101863</v>
      </c>
      <c r="G53" s="37">
        <f t="shared" si="3"/>
        <v>581761.36679850437</v>
      </c>
      <c r="I53" s="28" t="str">
        <f t="shared" si="4"/>
        <v/>
      </c>
      <c r="J53" s="39" t="str">
        <f t="shared" si="5"/>
        <v/>
      </c>
      <c r="K53" s="39" t="str">
        <f t="shared" si="6"/>
        <v/>
      </c>
    </row>
    <row r="54" spans="4:11" ht="30" x14ac:dyDescent="0.3">
      <c r="D54" s="37">
        <f t="shared" si="0"/>
        <v>15</v>
      </c>
      <c r="E54" s="38">
        <f t="shared" si="1"/>
        <v>43788526.074056342</v>
      </c>
      <c r="F54" s="37">
        <f t="shared" si="2"/>
        <v>1124713.1518514086</v>
      </c>
      <c r="G54" s="37">
        <f t="shared" si="3"/>
        <v>624513.2889578524</v>
      </c>
      <c r="I54" s="28" t="str">
        <f t="shared" si="4"/>
        <v/>
      </c>
      <c r="J54" s="39" t="str">
        <f t="shared" si="5"/>
        <v/>
      </c>
      <c r="K54" s="39" t="str">
        <f t="shared" si="6"/>
        <v/>
      </c>
    </row>
    <row r="55" spans="4:11" ht="30" x14ac:dyDescent="0.3">
      <c r="D55" s="37">
        <f t="shared" si="0"/>
        <v>16</v>
      </c>
      <c r="E55" s="38">
        <f t="shared" si="1"/>
        <v>49043149.202943109</v>
      </c>
      <c r="F55" s="37">
        <f t="shared" si="2"/>
        <v>1256078.7300735777</v>
      </c>
      <c r="G55" s="21">
        <f t="shared" si="3"/>
        <v>670630.70329137193</v>
      </c>
      <c r="I55" s="28" t="str">
        <f t="shared" si="4"/>
        <v/>
      </c>
      <c r="J55" s="39" t="str">
        <f t="shared" si="5"/>
        <v/>
      </c>
      <c r="K55" s="39" t="str">
        <f t="shared" si="6"/>
        <v/>
      </c>
    </row>
    <row r="56" spans="4:11" ht="30" x14ac:dyDescent="0.3">
      <c r="D56" s="37" t="str">
        <f t="shared" si="0"/>
        <v/>
      </c>
      <c r="E56" s="38" t="str">
        <f t="shared" si="1"/>
        <v/>
      </c>
      <c r="F56" s="37" t="str">
        <f t="shared" si="2"/>
        <v/>
      </c>
      <c r="G56" s="21" t="str">
        <f t="shared" si="3"/>
        <v/>
      </c>
      <c r="I56" s="28" t="str">
        <f t="shared" si="4"/>
        <v/>
      </c>
      <c r="J56" s="39" t="str">
        <f t="shared" si="5"/>
        <v/>
      </c>
      <c r="K56" s="39" t="str">
        <f t="shared" si="6"/>
        <v/>
      </c>
    </row>
    <row r="57" spans="4:11" ht="30" x14ac:dyDescent="0.3">
      <c r="D57" s="37" t="str">
        <f t="shared" si="0"/>
        <v/>
      </c>
      <c r="E57" s="38" t="str">
        <f t="shared" si="1"/>
        <v/>
      </c>
      <c r="F57" s="37" t="str">
        <f t="shared" si="2"/>
        <v/>
      </c>
      <c r="G57" s="21" t="str">
        <f t="shared" si="3"/>
        <v/>
      </c>
      <c r="I57" s="28" t="str">
        <f t="shared" si="4"/>
        <v/>
      </c>
      <c r="J57" s="39" t="str">
        <f t="shared" si="5"/>
        <v/>
      </c>
      <c r="K57" s="39" t="str">
        <f t="shared" si="6"/>
        <v/>
      </c>
    </row>
    <row r="58" spans="4:11" ht="30" x14ac:dyDescent="0.3">
      <c r="D58" s="21" t="str">
        <f t="shared" ref="D58:D59" si="7">IF(ROW(A19)&lt;=F$34, ROW(A19), "")</f>
        <v/>
      </c>
      <c r="E58" s="38" t="str">
        <f t="shared" si="1"/>
        <v/>
      </c>
      <c r="F58" s="21" t="str">
        <f t="shared" si="2"/>
        <v/>
      </c>
      <c r="G58" s="21" t="str">
        <f t="shared" si="3"/>
        <v/>
      </c>
      <c r="I58" s="28" t="str">
        <f t="shared" si="4"/>
        <v/>
      </c>
      <c r="J58" s="39" t="str">
        <f t="shared" si="5"/>
        <v/>
      </c>
      <c r="K58" s="39" t="str">
        <f t="shared" si="6"/>
        <v/>
      </c>
    </row>
    <row r="59" spans="4:11" ht="30" x14ac:dyDescent="0.3">
      <c r="D59" s="21" t="str">
        <f t="shared" si="7"/>
        <v/>
      </c>
      <c r="E59" s="38" t="str">
        <f t="shared" si="1"/>
        <v/>
      </c>
      <c r="F59" s="21" t="str">
        <f t="shared" si="2"/>
        <v/>
      </c>
      <c r="G59" s="21" t="str">
        <f t="shared" si="3"/>
        <v/>
      </c>
      <c r="I59" s="28" t="str">
        <f t="shared" si="4"/>
        <v/>
      </c>
      <c r="J59" s="39" t="str">
        <f t="shared" si="5"/>
        <v/>
      </c>
      <c r="K59" s="39" t="str">
        <f t="shared" si="6"/>
        <v/>
      </c>
    </row>
    <row r="60" spans="4:11" ht="26" customHeight="1" x14ac:dyDescent="0.3">
      <c r="D60" s="21" t="str">
        <f t="shared" ref="D60:D74" si="8">IF(ROW(D59)-ROW($D$39)&lt;Years_of_Stay, ROW(D59)-ROW($D$39)+1, "")</f>
        <v/>
      </c>
      <c r="E60" s="38" t="str">
        <f t="shared" si="1"/>
        <v/>
      </c>
      <c r="F60" s="21"/>
      <c r="G60" s="21" t="str">
        <f>IF(D60&lt;=Years_of_Stay,#REF! / ( Discount_Rate+1)^D60, "")</f>
        <v/>
      </c>
      <c r="I60" s="28" t="str">
        <f t="shared" si="4"/>
        <v/>
      </c>
      <c r="J60" s="39" t="str">
        <f t="shared" si="5"/>
        <v/>
      </c>
      <c r="K60" s="39" t="str">
        <f t="shared" si="6"/>
        <v/>
      </c>
    </row>
    <row r="61" spans="4:11" ht="27" customHeight="1" x14ac:dyDescent="0.3">
      <c r="D61" s="21" t="str">
        <f t="shared" si="8"/>
        <v/>
      </c>
      <c r="E61" s="38" t="str">
        <f t="shared" si="1"/>
        <v/>
      </c>
      <c r="F61" s="21"/>
      <c r="G61" s="21" t="str">
        <f>IF(D61&lt;=Years_of_Stay,#REF! / ( Discount_Rate+1)^D61, "")</f>
        <v/>
      </c>
      <c r="I61" s="28" t="str">
        <f t="shared" si="4"/>
        <v/>
      </c>
      <c r="J61" s="39" t="str">
        <f t="shared" si="5"/>
        <v/>
      </c>
      <c r="K61" s="39" t="str">
        <f t="shared" si="6"/>
        <v/>
      </c>
    </row>
    <row r="62" spans="4:11" ht="39" customHeight="1" x14ac:dyDescent="0.3">
      <c r="D62" s="21" t="str">
        <f t="shared" si="8"/>
        <v/>
      </c>
      <c r="E62" s="38" t="str">
        <f t="shared" si="1"/>
        <v/>
      </c>
      <c r="F62" s="21"/>
      <c r="G62" s="21" t="str">
        <f>IF(D62&lt;=Years_of_Stay,#REF! / ( Discount_Rate+1)^D62, "")</f>
        <v/>
      </c>
      <c r="I62" s="28" t="str">
        <f t="shared" si="4"/>
        <v/>
      </c>
      <c r="J62" s="39" t="str">
        <f t="shared" si="5"/>
        <v/>
      </c>
      <c r="K62" s="39" t="str">
        <f t="shared" si="6"/>
        <v/>
      </c>
    </row>
    <row r="63" spans="4:11" ht="33" customHeight="1" x14ac:dyDescent="0.3">
      <c r="D63" s="21" t="str">
        <f t="shared" si="8"/>
        <v/>
      </c>
      <c r="E63" s="38" t="str">
        <f t="shared" si="1"/>
        <v/>
      </c>
      <c r="F63" s="21"/>
      <c r="G63" s="21" t="str">
        <f>IF(D63&lt;=Years_of_Stay,#REF! / ( Discount_Rate+1)^D63, "")</f>
        <v/>
      </c>
      <c r="I63" s="28" t="str">
        <f t="shared" si="4"/>
        <v/>
      </c>
      <c r="J63" s="39" t="str">
        <f t="shared" si="5"/>
        <v/>
      </c>
      <c r="K63" s="39" t="str">
        <f t="shared" si="6"/>
        <v/>
      </c>
    </row>
    <row r="64" spans="4:11" ht="23" customHeight="1" x14ac:dyDescent="0.3">
      <c r="D64" t="str">
        <f t="shared" si="8"/>
        <v/>
      </c>
      <c r="E64" s="38" t="str">
        <f t="shared" si="1"/>
        <v/>
      </c>
      <c r="G64" t="str">
        <f>IF(D64&lt;=Years_of_Stay,#REF! / ( Discount_Rate+1)^D64, "")</f>
        <v/>
      </c>
      <c r="I64" s="28" t="str">
        <f t="shared" si="4"/>
        <v/>
      </c>
      <c r="J64" s="39" t="str">
        <f t="shared" si="5"/>
        <v/>
      </c>
      <c r="K64" s="39" t="str">
        <f t="shared" si="6"/>
        <v/>
      </c>
    </row>
    <row r="65" spans="4:11" ht="25" customHeight="1" x14ac:dyDescent="0.2">
      <c r="D65" t="str">
        <f t="shared" si="8"/>
        <v/>
      </c>
      <c r="G65" t="str">
        <f>IF(D65&lt;=Years_of_Stay,#REF! / ( Discount_Rate+1)^D65, "")</f>
        <v/>
      </c>
      <c r="I65" s="40" t="str">
        <f t="shared" si="4"/>
        <v/>
      </c>
      <c r="J65" s="41" t="str">
        <f t="shared" si="5"/>
        <v/>
      </c>
      <c r="K65" s="41" t="str">
        <f t="shared" si="6"/>
        <v/>
      </c>
    </row>
    <row r="66" spans="4:11" ht="20" customHeight="1" x14ac:dyDescent="0.2">
      <c r="D66" t="str">
        <f t="shared" si="8"/>
        <v/>
      </c>
      <c r="G66" t="str">
        <f>IF(D66&lt;=Years_of_Stay,#REF! / ( Discount_Rate+1)^D66, "")</f>
        <v/>
      </c>
      <c r="I66" s="40" t="str">
        <f t="shared" si="4"/>
        <v/>
      </c>
      <c r="J66" s="41" t="str">
        <f t="shared" si="5"/>
        <v/>
      </c>
      <c r="K66" s="41" t="str">
        <f t="shared" si="6"/>
        <v/>
      </c>
    </row>
    <row r="67" spans="4:11" ht="13" customHeight="1" x14ac:dyDescent="0.2">
      <c r="D67" t="str">
        <f t="shared" si="8"/>
        <v/>
      </c>
      <c r="G67" t="str">
        <f>IF(D67&lt;=Years_of_Stay,#REF! / ( Discount_Rate+1)^D67, "")</f>
        <v/>
      </c>
      <c r="I67" s="40" t="str">
        <f t="shared" si="4"/>
        <v/>
      </c>
      <c r="J67" s="41" t="str">
        <f t="shared" si="5"/>
        <v/>
      </c>
      <c r="K67" s="41" t="str">
        <f t="shared" si="6"/>
        <v/>
      </c>
    </row>
    <row r="68" spans="4:11" ht="13" customHeight="1" x14ac:dyDescent="0.2">
      <c r="D68" t="str">
        <f t="shared" si="8"/>
        <v/>
      </c>
      <c r="G68" t="str">
        <f>IF(D68&lt;=Years_of_Stay,#REF! / ( Discount_Rate+1)^D68, "")</f>
        <v/>
      </c>
      <c r="I68" s="40" t="str">
        <f t="shared" si="4"/>
        <v/>
      </c>
      <c r="J68" s="41" t="str">
        <f t="shared" si="5"/>
        <v/>
      </c>
      <c r="K68" s="41" t="str">
        <f t="shared" si="6"/>
        <v/>
      </c>
    </row>
    <row r="69" spans="4:11" ht="13" customHeight="1" x14ac:dyDescent="0.2">
      <c r="D69" t="str">
        <f t="shared" si="8"/>
        <v/>
      </c>
      <c r="G69" t="str">
        <f>IF(D69&lt;=Years_of_Stay,#REF! / ( Discount_Rate+1)^D69, "")</f>
        <v/>
      </c>
      <c r="I69" s="40" t="str">
        <f t="shared" si="4"/>
        <v/>
      </c>
      <c r="J69" s="41" t="str">
        <f t="shared" si="5"/>
        <v/>
      </c>
      <c r="K69" s="41" t="str">
        <f t="shared" si="6"/>
        <v/>
      </c>
    </row>
    <row r="70" spans="4:11" ht="13" customHeight="1" x14ac:dyDescent="0.2">
      <c r="D70" t="str">
        <f t="shared" si="8"/>
        <v/>
      </c>
      <c r="G70" t="str">
        <f>IF(D70&lt;=Years_of_Stay,#REF! / ( Discount_Rate+1)^D70, "")</f>
        <v/>
      </c>
      <c r="I70" s="40" t="str">
        <f t="shared" si="4"/>
        <v/>
      </c>
      <c r="J70" s="41" t="str">
        <f t="shared" si="5"/>
        <v/>
      </c>
      <c r="K70" s="41" t="str">
        <f t="shared" si="6"/>
        <v/>
      </c>
    </row>
    <row r="71" spans="4:11" ht="13" customHeight="1" x14ac:dyDescent="0.2">
      <c r="D71" t="str">
        <f t="shared" si="8"/>
        <v/>
      </c>
      <c r="G71" t="str">
        <f>IF(D71&lt;=Years_of_Stay,#REF! / ( Discount_Rate+1)^D71, "")</f>
        <v/>
      </c>
      <c r="I71" s="40" t="str">
        <f t="shared" si="4"/>
        <v/>
      </c>
      <c r="J71" s="41" t="str">
        <f t="shared" si="5"/>
        <v/>
      </c>
      <c r="K71" s="41" t="str">
        <f t="shared" si="6"/>
        <v/>
      </c>
    </row>
    <row r="72" spans="4:11" ht="13" customHeight="1" x14ac:dyDescent="0.2">
      <c r="D72" t="str">
        <f t="shared" si="8"/>
        <v/>
      </c>
      <c r="G72" t="str">
        <f>IF(D72&lt;=Years_of_Stay,#REF! / ( Discount_Rate+1)^D72, "")</f>
        <v/>
      </c>
      <c r="I72" s="40" t="str">
        <f t="shared" si="4"/>
        <v/>
      </c>
      <c r="J72" s="41" t="str">
        <f t="shared" si="5"/>
        <v/>
      </c>
      <c r="K72" s="41" t="str">
        <f t="shared" si="6"/>
        <v/>
      </c>
    </row>
    <row r="73" spans="4:11" ht="20" customHeight="1" x14ac:dyDescent="0.2">
      <c r="D73" t="str">
        <f t="shared" si="8"/>
        <v/>
      </c>
      <c r="G73" t="str">
        <f>IF(D73&lt;=Years_of_Stay,#REF! / ( Discount_Rate+1)^D73, "")</f>
        <v/>
      </c>
      <c r="I73" s="40" t="str">
        <f t="shared" si="4"/>
        <v/>
      </c>
      <c r="J73" s="41" t="str">
        <f t="shared" si="5"/>
        <v/>
      </c>
      <c r="K73" s="41" t="str">
        <f t="shared" si="6"/>
        <v/>
      </c>
    </row>
    <row r="74" spans="4:11" ht="21" customHeight="1" x14ac:dyDescent="0.2">
      <c r="D74" t="str">
        <f t="shared" si="8"/>
        <v/>
      </c>
      <c r="G74" t="str">
        <f>IF(D74&lt;=Years_of_Stay,#REF! / ( Discount_Rate+1)^D74, "")</f>
        <v/>
      </c>
      <c r="I74" s="40" t="str">
        <f t="shared" si="4"/>
        <v/>
      </c>
      <c r="J74" s="41" t="str">
        <f t="shared" si="5"/>
        <v/>
      </c>
      <c r="K74" s="41" t="str">
        <f t="shared" si="6"/>
        <v/>
      </c>
    </row>
    <row r="75" spans="4:11" ht="50" customHeight="1" x14ac:dyDescent="0.35">
      <c r="E75" s="16" t="s">
        <v>53</v>
      </c>
      <c r="I75" s="40" t="str">
        <f t="shared" si="4"/>
        <v/>
      </c>
      <c r="J75" s="41" t="str">
        <f t="shared" si="5"/>
        <v/>
      </c>
      <c r="K75" s="41" t="str">
        <f t="shared" si="6"/>
        <v/>
      </c>
    </row>
    <row r="76" spans="4:11" x14ac:dyDescent="0.2">
      <c r="I76" s="40" t="str">
        <f t="shared" si="4"/>
        <v/>
      </c>
      <c r="J76" s="41" t="str">
        <f t="shared" si="5"/>
        <v/>
      </c>
      <c r="K76" s="41" t="str">
        <f t="shared" si="6"/>
        <v/>
      </c>
    </row>
    <row r="77" spans="4:11" x14ac:dyDescent="0.2">
      <c r="I77" s="40" t="str">
        <f t="shared" si="4"/>
        <v/>
      </c>
      <c r="J77" s="41" t="str">
        <f t="shared" si="5"/>
        <v/>
      </c>
      <c r="K77" s="41" t="str">
        <f t="shared" si="6"/>
        <v/>
      </c>
    </row>
    <row r="78" spans="4:11" ht="28" x14ac:dyDescent="0.3">
      <c r="E78" s="21" t="s">
        <v>54</v>
      </c>
      <c r="F78" s="35">
        <f>PMT( Interest_Rate,  Loan_Term, Loan_Amount)*-1</f>
        <v>768078.62158227037</v>
      </c>
      <c r="I78" s="40" t="str">
        <f t="shared" si="4"/>
        <v/>
      </c>
      <c r="J78" s="41" t="str">
        <f t="shared" si="5"/>
        <v/>
      </c>
      <c r="K78" s="41" t="str">
        <f t="shared" si="6"/>
        <v/>
      </c>
    </row>
    <row r="79" spans="4:11" ht="28" x14ac:dyDescent="0.3">
      <c r="E79" s="21" t="s">
        <v>55</v>
      </c>
      <c r="F79" s="21">
        <f>Buying_Closing_Cost*Initial_Home_Purchase_Price</f>
        <v>480000</v>
      </c>
      <c r="I79" s="40" t="str">
        <f t="shared" si="4"/>
        <v/>
      </c>
      <c r="J79" s="41" t="str">
        <f t="shared" si="5"/>
        <v/>
      </c>
      <c r="K79" s="41" t="str">
        <f t="shared" si="6"/>
        <v/>
      </c>
    </row>
    <row r="80" spans="4:11" ht="28" x14ac:dyDescent="0.3">
      <c r="E80" s="21" t="s">
        <v>56</v>
      </c>
      <c r="F80" s="36">
        <f>PV(Discount_Rate, MIN(Years_of_Stay,Loan_Term),Yearly_EMI_paid_on_Loan)</f>
        <v>-7208474.5174115235</v>
      </c>
      <c r="I80" s="40" t="str">
        <f t="shared" si="4"/>
        <v/>
      </c>
      <c r="J80" s="41" t="str">
        <f t="shared" si="5"/>
        <v/>
      </c>
      <c r="K80" s="41" t="str">
        <f t="shared" si="6"/>
        <v/>
      </c>
    </row>
    <row r="81" spans="5:17" ht="28" x14ac:dyDescent="0.3">
      <c r="E81" s="21" t="s">
        <v>57</v>
      </c>
      <c r="F81" s="21">
        <f>MAX(Loan_Term-Years_of_Stay, 0)</f>
        <v>0</v>
      </c>
      <c r="I81" s="40" t="str">
        <f t="shared" si="4"/>
        <v/>
      </c>
      <c r="J81" s="41" t="str">
        <f t="shared" si="5"/>
        <v/>
      </c>
      <c r="K81" s="41" t="str">
        <f t="shared" si="6"/>
        <v/>
      </c>
    </row>
    <row r="82" spans="5:17" ht="28" x14ac:dyDescent="0.3">
      <c r="E82" s="21" t="s">
        <v>58</v>
      </c>
      <c r="F82" s="21">
        <f>IF(No._of_Yearly_Loan_Installments_remaining=0,0, PV(Discount_Rate,F81,Yearly_EMI_paid_on_Loan)*-1)</f>
        <v>0</v>
      </c>
      <c r="P82" s="17"/>
      <c r="Q82" s="17"/>
    </row>
    <row r="83" spans="5:17" ht="28" x14ac:dyDescent="0.3">
      <c r="E83" s="21"/>
      <c r="F83" s="21"/>
      <c r="P83" s="17"/>
      <c r="Q83" s="17"/>
    </row>
    <row r="84" spans="5:17" ht="28" x14ac:dyDescent="0.3">
      <c r="E84" s="21" t="s">
        <v>59</v>
      </c>
      <c r="F84" s="21">
        <f>Initial_Home_Purchase_Price*(1+Home_Value_Appreciation)^Years_of_Stay</f>
        <v>49043149.202943109</v>
      </c>
      <c r="P84" s="17"/>
      <c r="Q84" s="17"/>
    </row>
    <row r="85" spans="5:17" ht="28" x14ac:dyDescent="0.3">
      <c r="E85" s="21" t="s">
        <v>60</v>
      </c>
      <c r="F85" s="21">
        <f>Listed_Selling_Price_of_House*Selling_Closing_Price___Associated_Cost</f>
        <v>980862.9840588622</v>
      </c>
    </row>
    <row r="86" spans="5:17" ht="28" x14ac:dyDescent="0.3">
      <c r="E86" s="21"/>
      <c r="F86" s="21"/>
    </row>
    <row r="87" spans="5:17" ht="28" x14ac:dyDescent="0.3">
      <c r="E87" s="21" t="s">
        <v>61</v>
      </c>
      <c r="F87" s="21">
        <f>Listed_Selling_Price_of_House - Associated_Costs_with_Selling - Selling_Time_Worth_of_Loan_Amount_remaining</f>
        <v>48062286.218884245</v>
      </c>
    </row>
    <row r="88" spans="5:17" ht="28" x14ac:dyDescent="0.3">
      <c r="E88" s="21"/>
      <c r="F88" s="21"/>
    </row>
    <row r="89" spans="5:17" ht="28" x14ac:dyDescent="0.3">
      <c r="E89" s="21"/>
      <c r="F89" s="21"/>
    </row>
    <row r="90" spans="5:17" ht="28" x14ac:dyDescent="0.3">
      <c r="E90" s="21" t="s">
        <v>62</v>
      </c>
      <c r="F90" s="21">
        <f>Net_Selling_Price_of_House/(1+Discount_Rate)^Years_of_Stay</f>
        <v>25660847.554415226</v>
      </c>
    </row>
    <row r="91" spans="5:17" ht="28" x14ac:dyDescent="0.3">
      <c r="E91" s="21"/>
      <c r="F91" s="21"/>
    </row>
    <row r="92" spans="5:17" ht="28" x14ac:dyDescent="0.3">
      <c r="E92" s="21" t="s">
        <v>63</v>
      </c>
      <c r="F92" s="37">
        <f>SUM(G40:INDEX(G:G,Years_of_Stay+39))</f>
        <v>6714157.2805267703</v>
      </c>
    </row>
    <row r="93" spans="5:17" ht="29" x14ac:dyDescent="0.35">
      <c r="E93" s="23"/>
      <c r="F93" s="23"/>
    </row>
    <row r="94" spans="5:17" ht="29" x14ac:dyDescent="0.35">
      <c r="E94" s="23"/>
      <c r="F94" s="23"/>
    </row>
    <row r="95" spans="5:17" ht="29" x14ac:dyDescent="0.35">
      <c r="E95" s="23"/>
      <c r="F95" s="23"/>
    </row>
    <row r="96" spans="5:17" ht="35" x14ac:dyDescent="0.35">
      <c r="E96" s="44" t="s">
        <v>64</v>
      </c>
      <c r="F96" s="16">
        <f>Present_value_of_Net_selling_Price_of_Home-Down_Payment_Amount-Present_value_of_Loan_amount_paid_back_till_staying_in_the_home-Present_worth_of_annual_costs</f>
        <v>23655164.791299976</v>
      </c>
    </row>
    <row r="101" spans="5:20" ht="33" x14ac:dyDescent="0.35">
      <c r="P101" s="20" t="s">
        <v>65</v>
      </c>
      <c r="T101" s="8"/>
    </row>
    <row r="105" spans="5:20" ht="35" x14ac:dyDescent="0.35">
      <c r="E105" s="45" t="s">
        <v>6</v>
      </c>
      <c r="O105" s="33" t="s">
        <v>47</v>
      </c>
      <c r="P105" s="33" t="s">
        <v>66</v>
      </c>
      <c r="Q105" s="33" t="s">
        <v>67</v>
      </c>
      <c r="R105" s="33" t="s">
        <v>68</v>
      </c>
    </row>
    <row r="106" spans="5:20" ht="34" x14ac:dyDescent="0.4">
      <c r="F106" s="28" t="s">
        <v>8</v>
      </c>
      <c r="G106" s="28" t="s">
        <v>69</v>
      </c>
      <c r="H106" s="29" t="s">
        <v>9</v>
      </c>
      <c r="O106" s="34">
        <f t="shared" ref="O106:O127" si="9">IF(ROW(A1)&lt;=Years_of_Stay, ROW(A1), "")</f>
        <v>1</v>
      </c>
      <c r="P106" s="34">
        <f t="shared" ref="P106:P120" si="10">IF(O106&lt;=Years_of_Stay, Yearly_Rental_Cost * (1 + Rental_Cost_Increase) ^ (O106-1) + Maintenance_Fees*(1+Maintenance_Fee_Increase)^O106-1, "")</f>
        <v>381999</v>
      </c>
      <c r="Q106" s="33">
        <f t="shared" ref="Q106:Q125" si="11">IF(O106&lt;=Years_of_Stay, Yearly_EMI_paid_on_Loan-P106, "")</f>
        <v>386079.62158227037</v>
      </c>
      <c r="R106" s="33">
        <f t="shared" ref="R106:R128" si="12">IF(O106&lt;=Years_of_Stay, Q106*(1+Interest_Rate)^(Years_of_Stay-O106), "")</f>
        <v>1406288.2496562162</v>
      </c>
    </row>
    <row r="107" spans="5:20" ht="34" x14ac:dyDescent="0.4">
      <c r="E107" s="21" t="s">
        <v>12</v>
      </c>
      <c r="F107" s="30">
        <v>30000</v>
      </c>
      <c r="G107" s="29"/>
      <c r="H107" s="29" t="s">
        <v>13</v>
      </c>
      <c r="O107" s="34">
        <f t="shared" si="9"/>
        <v>2</v>
      </c>
      <c r="P107" s="34">
        <f t="shared" si="10"/>
        <v>412999</v>
      </c>
      <c r="Q107" s="33">
        <f t="shared" si="11"/>
        <v>355079.62158227037</v>
      </c>
      <c r="R107" s="33">
        <f t="shared" si="12"/>
        <v>1186579.1682622964</v>
      </c>
    </row>
    <row r="108" spans="5:20" ht="34" x14ac:dyDescent="0.4">
      <c r="E108" s="21" t="s">
        <v>16</v>
      </c>
      <c r="F108" s="30">
        <f>Monthly_Rental_Cost*12</f>
        <v>360000</v>
      </c>
      <c r="G108" s="29"/>
      <c r="H108" s="29" t="s">
        <v>13</v>
      </c>
      <c r="O108" s="34">
        <f t="shared" si="9"/>
        <v>3</v>
      </c>
      <c r="P108" s="34">
        <f t="shared" si="10"/>
        <v>446523.00000000006</v>
      </c>
      <c r="Q108" s="33">
        <f t="shared" si="11"/>
        <v>321555.62158227031</v>
      </c>
      <c r="R108" s="33">
        <f t="shared" si="12"/>
        <v>985826.7077075484</v>
      </c>
    </row>
    <row r="109" spans="5:20" ht="34" x14ac:dyDescent="0.4">
      <c r="E109" s="21" t="s">
        <v>18</v>
      </c>
      <c r="F109" s="31">
        <v>0.08</v>
      </c>
      <c r="G109" s="29"/>
      <c r="H109" s="32" t="s">
        <v>19</v>
      </c>
      <c r="O109" s="34">
        <f t="shared" si="9"/>
        <v>4</v>
      </c>
      <c r="P109" s="34">
        <f t="shared" si="10"/>
        <v>482777.32000000007</v>
      </c>
      <c r="Q109" s="33">
        <f t="shared" si="11"/>
        <v>285301.3015822703</v>
      </c>
      <c r="R109" s="33">
        <f t="shared" si="12"/>
        <v>802456.92315727251</v>
      </c>
    </row>
    <row r="110" spans="5:20" ht="34" x14ac:dyDescent="0.4">
      <c r="E110" s="21" t="s">
        <v>22</v>
      </c>
      <c r="F110" s="30">
        <v>5000</v>
      </c>
      <c r="G110" s="29"/>
      <c r="H110" s="29" t="s">
        <v>23</v>
      </c>
      <c r="O110" s="34">
        <f t="shared" si="9"/>
        <v>5</v>
      </c>
      <c r="P110" s="34">
        <f t="shared" si="10"/>
        <v>521985.22560000012</v>
      </c>
      <c r="Q110" s="33">
        <f t="shared" si="11"/>
        <v>246093.39598227025</v>
      </c>
      <c r="R110" s="33">
        <f t="shared" si="12"/>
        <v>635025.89716393023</v>
      </c>
    </row>
    <row r="111" spans="5:20" ht="34" x14ac:dyDescent="0.4">
      <c r="E111" s="21" t="s">
        <v>25</v>
      </c>
      <c r="F111" s="30">
        <v>20000</v>
      </c>
      <c r="G111" s="29"/>
      <c r="H111" s="29" t="s">
        <v>26</v>
      </c>
      <c r="O111" s="34">
        <f t="shared" si="9"/>
        <v>6</v>
      </c>
      <c r="P111" s="34">
        <f t="shared" si="10"/>
        <v>564388.32764800009</v>
      </c>
      <c r="Q111" s="33">
        <f t="shared" si="11"/>
        <v>203690.29393427027</v>
      </c>
      <c r="R111" s="33">
        <f t="shared" si="12"/>
        <v>482209.00272698281</v>
      </c>
    </row>
    <row r="112" spans="5:20" ht="34" x14ac:dyDescent="0.4">
      <c r="E112" s="21" t="s">
        <v>29</v>
      </c>
      <c r="F112" s="31">
        <v>0.1</v>
      </c>
      <c r="G112" s="29"/>
      <c r="H112" s="29" t="s">
        <v>23</v>
      </c>
      <c r="O112" s="34">
        <f t="shared" si="9"/>
        <v>7</v>
      </c>
      <c r="P112" s="34">
        <f t="shared" si="10"/>
        <v>610248.09825984028</v>
      </c>
      <c r="Q112" s="33">
        <f t="shared" si="11"/>
        <v>157830.52332243009</v>
      </c>
      <c r="R112" s="33">
        <f t="shared" si="12"/>
        <v>342791.05289484875</v>
      </c>
    </row>
    <row r="113" spans="5:18" ht="34" x14ac:dyDescent="0.4">
      <c r="E113" s="21" t="s">
        <v>32</v>
      </c>
      <c r="F113" s="30">
        <f>Monthly_Rental_Cost*3</f>
        <v>90000</v>
      </c>
      <c r="G113" s="29"/>
      <c r="H113" s="29" t="s">
        <v>13</v>
      </c>
      <c r="O113" s="34">
        <f t="shared" si="9"/>
        <v>8</v>
      </c>
      <c r="P113" s="34">
        <f t="shared" si="10"/>
        <v>659847.51296062744</v>
      </c>
      <c r="Q113" s="33">
        <f t="shared" si="11"/>
        <v>108231.10862164292</v>
      </c>
      <c r="R113" s="33">
        <f t="shared" si="12"/>
        <v>215657.26370819905</v>
      </c>
    </row>
    <row r="114" spans="5:18" ht="34" x14ac:dyDescent="0.4">
      <c r="E114" s="21" t="s">
        <v>34</v>
      </c>
      <c r="F114" s="30">
        <f>Security_Deposit+Maintenance_Fees+Monthly_Rental_Cost+Renter_s_Insurance</f>
        <v>145000</v>
      </c>
      <c r="G114" s="29"/>
      <c r="H114" s="29" t="s">
        <v>35</v>
      </c>
      <c r="O114" s="34">
        <f t="shared" si="9"/>
        <v>9</v>
      </c>
      <c r="P114" s="34">
        <f t="shared" si="10"/>
        <v>713492.82952147769</v>
      </c>
      <c r="Q114" s="33">
        <f t="shared" si="11"/>
        <v>54585.792060792679</v>
      </c>
      <c r="R114" s="33">
        <f t="shared" si="12"/>
        <v>99784.963327894133</v>
      </c>
    </row>
    <row r="115" spans="5:18" ht="33" x14ac:dyDescent="0.35">
      <c r="F115" s="22"/>
      <c r="O115" s="34">
        <f t="shared" si="9"/>
        <v>10</v>
      </c>
      <c r="P115" s="34">
        <f t="shared" si="10"/>
        <v>771515.51495959598</v>
      </c>
      <c r="Q115" s="33">
        <f t="shared" si="11"/>
        <v>-3436.893377325614</v>
      </c>
      <c r="R115" s="33">
        <f t="shared" si="12"/>
        <v>-5764.0142640614886</v>
      </c>
    </row>
    <row r="116" spans="5:18" ht="33" x14ac:dyDescent="0.35">
      <c r="F116" s="22"/>
      <c r="O116" s="34">
        <f t="shared" si="9"/>
        <v>11</v>
      </c>
      <c r="P116" s="34">
        <f t="shared" si="10"/>
        <v>834274.33314040361</v>
      </c>
      <c r="Q116" s="33">
        <f t="shared" si="11"/>
        <v>-66195.711558133247</v>
      </c>
      <c r="R116" s="33">
        <f t="shared" si="12"/>
        <v>-101850.30751499465</v>
      </c>
    </row>
    <row r="117" spans="5:18" ht="33" x14ac:dyDescent="0.35">
      <c r="O117" s="34">
        <f t="shared" si="9"/>
        <v>12</v>
      </c>
      <c r="P117" s="34">
        <f t="shared" si="10"/>
        <v>902157.60647407989</v>
      </c>
      <c r="Q117" s="33">
        <f t="shared" si="11"/>
        <v>-134078.98489180952</v>
      </c>
      <c r="R117" s="33">
        <f t="shared" si="12"/>
        <v>-189263.4293607462</v>
      </c>
    </row>
    <row r="118" spans="5:18" ht="33" x14ac:dyDescent="0.35">
      <c r="O118" s="34">
        <f t="shared" si="9"/>
        <v>13</v>
      </c>
      <c r="P118" s="34">
        <f t="shared" si="10"/>
        <v>975585.66634269478</v>
      </c>
      <c r="Q118" s="33">
        <f t="shared" si="11"/>
        <v>-207507.04476042441</v>
      </c>
      <c r="R118" s="33">
        <f t="shared" si="12"/>
        <v>-268727.64066904772</v>
      </c>
    </row>
    <row r="119" spans="5:18" ht="33" x14ac:dyDescent="0.35">
      <c r="O119" s="34">
        <f t="shared" si="9"/>
        <v>14</v>
      </c>
      <c r="P119" s="34">
        <f t="shared" si="10"/>
        <v>1055013.5081358675</v>
      </c>
      <c r="Q119" s="33">
        <f t="shared" si="11"/>
        <v>-286934.88655359717</v>
      </c>
      <c r="R119" s="33">
        <f t="shared" si="12"/>
        <v>-340907.33871432883</v>
      </c>
    </row>
    <row r="120" spans="5:18" ht="33" x14ac:dyDescent="0.35">
      <c r="O120" s="34">
        <f t="shared" si="9"/>
        <v>15</v>
      </c>
      <c r="P120" s="34">
        <f t="shared" si="10"/>
        <v>1140933.6681210701</v>
      </c>
      <c r="Q120" s="33">
        <f t="shared" si="11"/>
        <v>-372855.04653879977</v>
      </c>
      <c r="R120" s="33">
        <f t="shared" si="12"/>
        <v>-406412.0007272918</v>
      </c>
    </row>
    <row r="121" spans="5:18" ht="33" x14ac:dyDescent="0.35">
      <c r="O121" s="34">
        <f t="shared" si="9"/>
        <v>16</v>
      </c>
      <c r="P121" s="34"/>
      <c r="Q121" s="33">
        <f t="shared" si="11"/>
        <v>768078.62158227037</v>
      </c>
      <c r="R121" s="33">
        <f t="shared" si="12"/>
        <v>768078.62158227037</v>
      </c>
    </row>
    <row r="122" spans="5:18" ht="35" x14ac:dyDescent="0.35">
      <c r="E122" s="45" t="s">
        <v>70</v>
      </c>
      <c r="O122" s="34" t="str">
        <f t="shared" si="9"/>
        <v/>
      </c>
      <c r="P122" s="34"/>
      <c r="Q122" s="33" t="str">
        <f t="shared" si="11"/>
        <v/>
      </c>
      <c r="R122" s="33" t="str">
        <f t="shared" si="12"/>
        <v/>
      </c>
    </row>
    <row r="123" spans="5:18" ht="33" x14ac:dyDescent="0.35">
      <c r="O123" s="34" t="str">
        <f t="shared" si="9"/>
        <v/>
      </c>
      <c r="P123" s="34"/>
      <c r="Q123" s="33" t="str">
        <f t="shared" si="11"/>
        <v/>
      </c>
      <c r="R123" s="33" t="str">
        <f t="shared" si="12"/>
        <v/>
      </c>
    </row>
    <row r="124" spans="5:18" ht="35" x14ac:dyDescent="0.35">
      <c r="E124" s="24" t="s">
        <v>71</v>
      </c>
      <c r="F124" s="25">
        <f>Down_Payment_Amount-Upfront_Cost</f>
        <v>2355000</v>
      </c>
      <c r="O124" s="34" t="str">
        <f t="shared" si="9"/>
        <v/>
      </c>
      <c r="P124" s="34"/>
      <c r="Q124" s="33" t="str">
        <f t="shared" si="11"/>
        <v/>
      </c>
      <c r="R124" s="33" t="str">
        <f t="shared" si="12"/>
        <v/>
      </c>
    </row>
    <row r="125" spans="5:18" ht="35" x14ac:dyDescent="0.35">
      <c r="E125" s="24" t="s">
        <v>72</v>
      </c>
      <c r="F125" s="25">
        <f xml:space="preserve"> Initial_Investment*(1+Interest_Rate)^Years_of_Stay</f>
        <v>9350070.3498948868</v>
      </c>
      <c r="O125" s="34" t="str">
        <f t="shared" si="9"/>
        <v/>
      </c>
      <c r="P125" s="34"/>
      <c r="Q125" s="33" t="str">
        <f t="shared" si="11"/>
        <v/>
      </c>
      <c r="R125" s="33" t="str">
        <f t="shared" si="12"/>
        <v/>
      </c>
    </row>
    <row r="126" spans="5:18" ht="37" x14ac:dyDescent="0.45">
      <c r="E126" s="26" t="s">
        <v>73</v>
      </c>
      <c r="F126" s="25">
        <f>Future_Value_of_Initial_Investment/((1+Discount_Rate)^Years_of_Stay)</f>
        <v>4992079.0030466523</v>
      </c>
      <c r="O126" s="34" t="str">
        <f t="shared" si="9"/>
        <v/>
      </c>
      <c r="P126" s="34"/>
      <c r="Q126" s="33"/>
      <c r="R126" s="33" t="str">
        <f t="shared" si="12"/>
        <v/>
      </c>
    </row>
    <row r="127" spans="5:18" ht="37" x14ac:dyDescent="0.45">
      <c r="E127" s="26" t="s">
        <v>74</v>
      </c>
      <c r="F127" s="25">
        <f>SUM(R106:INDEX(R:R, Years_of_Stay+105))</f>
        <v>5611773.1189369885</v>
      </c>
      <c r="O127" s="34" t="str">
        <f t="shared" si="9"/>
        <v/>
      </c>
      <c r="P127" s="34"/>
      <c r="Q127" s="33"/>
      <c r="R127" s="33" t="str">
        <f t="shared" si="12"/>
        <v/>
      </c>
    </row>
    <row r="128" spans="5:18" ht="37" x14ac:dyDescent="0.45">
      <c r="E128" s="26" t="s">
        <v>75</v>
      </c>
      <c r="F128" s="25">
        <f>Security_Deposit</f>
        <v>90000</v>
      </c>
      <c r="O128" s="34" t="str">
        <f t="shared" ref="O128:O131" si="13">IF(ROW(A23)&lt;=Years_of_Stay, ROW(A23), "")</f>
        <v/>
      </c>
      <c r="P128" s="34"/>
      <c r="Q128" s="33"/>
      <c r="R128" s="33" t="str">
        <f t="shared" si="12"/>
        <v/>
      </c>
    </row>
    <row r="129" spans="5:18" ht="37" x14ac:dyDescent="0.45">
      <c r="E129" s="26"/>
      <c r="F129" s="25"/>
      <c r="O129" s="34" t="str">
        <f t="shared" si="13"/>
        <v/>
      </c>
      <c r="P129" s="34" t="str">
        <f t="shared" ref="P129:P131" si="14">IF(O129&lt;=Years_of_Stay, Yearly_Rental_Cost * (1 + Rental_Cost_Increase) ^ (O129-1) + Maintenance_Fees*(1+Maintenance_Fee_Increase), "")</f>
        <v/>
      </c>
      <c r="Q129" s="33"/>
      <c r="R129" s="33"/>
    </row>
    <row r="130" spans="5:18" ht="37" x14ac:dyDescent="0.45">
      <c r="E130" s="26" t="s">
        <v>76</v>
      </c>
      <c r="F130" s="25">
        <f>Future_Value_of_Initial_Investment+Total_Future_Value_of_Annual_Investments+Security_Deposit</f>
        <v>15051843.468831874</v>
      </c>
      <c r="O130" s="34" t="str">
        <f t="shared" si="13"/>
        <v/>
      </c>
      <c r="P130" s="34" t="str">
        <f t="shared" si="14"/>
        <v/>
      </c>
      <c r="Q130" s="33"/>
      <c r="R130" s="33"/>
    </row>
    <row r="131" spans="5:18" ht="37" x14ac:dyDescent="0.45">
      <c r="E131" s="26"/>
      <c r="F131" s="25"/>
      <c r="O131" s="34" t="str">
        <f t="shared" si="13"/>
        <v/>
      </c>
      <c r="P131" s="34" t="str">
        <f t="shared" si="14"/>
        <v/>
      </c>
      <c r="Q131" s="33"/>
      <c r="R131" s="33"/>
    </row>
    <row r="132" spans="5:18" ht="37" x14ac:dyDescent="0.45">
      <c r="E132" s="42" t="s">
        <v>77</v>
      </c>
      <c r="F132" s="27">
        <f>Net_Future_Value_of_all_Investments/(1+Discount_Rate)^Years_of_Stay</f>
        <v>8036302.2871528678</v>
      </c>
    </row>
    <row r="138" spans="5:18" ht="35" x14ac:dyDescent="0.35">
      <c r="E138" s="48" t="s">
        <v>78</v>
      </c>
      <c r="F138" s="48">
        <f>NET_PRESENT_VALUE_OF_HOUSE-Net_Future_Value_of_all_Investments</f>
        <v>8603321.322468102</v>
      </c>
    </row>
  </sheetData>
  <hyperlinks>
    <hyperlink ref="H109" r:id="rId1" display="https://www.financeoutlookindia.com/news/q1-2024-rent-skyrockets-in-india-s-top-7-cities-with-bengaluru-seeing-an-8-increase-nwid-1606.html?utm_source=chatgpt.com" xr:uid="{35CB7658-9C67-C84C-9108-37F2929B873E}"/>
    <hyperlink ref="K22" r:id="rId2" display="https://www.financeoutlookindia.com/news/q1-2024-rent-skyrockets-in-india-s-top-7-cities-with-bengaluru-seeing-an-8-increase-nwid-1606.html?utm_source=chatgpt.com" xr:uid="{A81D2B29-71B0-DD4F-921B-ED96DFB7BEE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0433-5023-5447-B49C-03E735774CF7}">
  <dimension ref="E5:J28"/>
  <sheetViews>
    <sheetView topLeftCell="C5" workbookViewId="0">
      <selection activeCell="J9" sqref="J9"/>
    </sheetView>
  </sheetViews>
  <sheetFormatPr baseColWidth="10" defaultColWidth="11" defaultRowHeight="16" x14ac:dyDescent="0.2"/>
  <cols>
    <col min="4" max="4" width="10.1640625" customWidth="1"/>
    <col min="5" max="5" width="5" hidden="1" customWidth="1"/>
    <col min="6" max="6" width="10.83203125" hidden="1" customWidth="1"/>
    <col min="7" max="7" width="13.83203125" customWidth="1"/>
    <col min="8" max="8" width="66.5" customWidth="1"/>
    <col min="9" max="9" width="28.5" customWidth="1"/>
    <col min="10" max="10" width="40.1640625" customWidth="1"/>
  </cols>
  <sheetData>
    <row r="5" spans="7:10" ht="25" x14ac:dyDescent="0.25">
      <c r="H5" s="15" t="s">
        <v>79</v>
      </c>
    </row>
    <row r="12" spans="7:10" ht="29" x14ac:dyDescent="0.35">
      <c r="G12" s="2" t="s">
        <v>2</v>
      </c>
      <c r="H12" s="1" t="s">
        <v>3</v>
      </c>
      <c r="I12" s="7" t="s">
        <v>4</v>
      </c>
      <c r="J12" s="3" t="s">
        <v>5</v>
      </c>
    </row>
    <row r="13" spans="7:10" ht="22" x14ac:dyDescent="0.3">
      <c r="G13" s="4"/>
      <c r="I13" s="8"/>
      <c r="J13" s="8"/>
    </row>
    <row r="14" spans="7:10" ht="27" x14ac:dyDescent="0.35">
      <c r="G14" s="14">
        <v>1</v>
      </c>
      <c r="H14" s="13" t="s">
        <v>10</v>
      </c>
      <c r="I14" s="9">
        <v>8000000</v>
      </c>
      <c r="J14" s="9" t="s">
        <v>11</v>
      </c>
    </row>
    <row r="15" spans="7:10" ht="27" x14ac:dyDescent="0.35">
      <c r="G15" s="14">
        <v>2</v>
      </c>
      <c r="H15" s="13" t="s">
        <v>14</v>
      </c>
      <c r="I15" s="12">
        <v>0.25</v>
      </c>
      <c r="J15" s="9" t="s">
        <v>15</v>
      </c>
    </row>
    <row r="16" spans="7:10" ht="27" x14ac:dyDescent="0.35">
      <c r="G16" s="14">
        <v>3</v>
      </c>
      <c r="H16" s="13" t="s">
        <v>17</v>
      </c>
      <c r="I16" s="9">
        <v>2500000</v>
      </c>
      <c r="J16" s="9" t="s">
        <v>11</v>
      </c>
    </row>
    <row r="17" spans="7:10" ht="27" x14ac:dyDescent="0.35">
      <c r="G17" s="14">
        <v>4</v>
      </c>
      <c r="H17" s="13" t="s">
        <v>20</v>
      </c>
      <c r="I17" s="12">
        <v>0.09</v>
      </c>
      <c r="J17" s="9" t="s">
        <v>21</v>
      </c>
    </row>
    <row r="18" spans="7:10" ht="27" x14ac:dyDescent="0.35">
      <c r="G18" s="14">
        <v>5</v>
      </c>
      <c r="H18" s="13" t="s">
        <v>24</v>
      </c>
      <c r="I18" s="9">
        <v>5500000</v>
      </c>
      <c r="J18" s="9" t="s">
        <v>11</v>
      </c>
    </row>
    <row r="19" spans="7:10" ht="27" x14ac:dyDescent="0.35">
      <c r="G19" s="14">
        <v>7</v>
      </c>
      <c r="H19" s="13" t="s">
        <v>27</v>
      </c>
      <c r="I19" s="9">
        <v>25</v>
      </c>
      <c r="J19" s="9" t="s">
        <v>28</v>
      </c>
    </row>
    <row r="20" spans="7:10" ht="27" x14ac:dyDescent="0.35">
      <c r="G20" s="14">
        <v>8</v>
      </c>
      <c r="H20" s="13" t="s">
        <v>30</v>
      </c>
      <c r="I20" s="10">
        <v>0.06</v>
      </c>
      <c r="J20" s="11" t="s">
        <v>31</v>
      </c>
    </row>
    <row r="21" spans="7:10" ht="27" x14ac:dyDescent="0.35">
      <c r="G21" s="14">
        <v>10</v>
      </c>
      <c r="H21" s="13" t="s">
        <v>33</v>
      </c>
      <c r="I21" s="12">
        <v>5.0000000000000001E-3</v>
      </c>
      <c r="J21" s="9" t="s">
        <v>15</v>
      </c>
    </row>
    <row r="22" spans="7:10" ht="27" x14ac:dyDescent="0.35">
      <c r="G22" s="14">
        <v>11</v>
      </c>
      <c r="H22" s="13" t="s">
        <v>36</v>
      </c>
      <c r="I22" s="9">
        <v>10000</v>
      </c>
      <c r="J22" s="9" t="s">
        <v>11</v>
      </c>
    </row>
    <row r="23" spans="7:10" ht="27" x14ac:dyDescent="0.35">
      <c r="G23" s="14">
        <v>12</v>
      </c>
      <c r="H23" s="13" t="s">
        <v>37</v>
      </c>
      <c r="I23" s="9">
        <v>20000</v>
      </c>
      <c r="J23" s="9" t="s">
        <v>11</v>
      </c>
    </row>
    <row r="24" spans="7:10" ht="27" x14ac:dyDescent="0.35">
      <c r="G24" s="14">
        <v>13</v>
      </c>
      <c r="H24" s="13" t="s">
        <v>38</v>
      </c>
      <c r="I24" s="12">
        <v>0.02</v>
      </c>
      <c r="J24" s="9" t="s">
        <v>15</v>
      </c>
    </row>
    <row r="25" spans="7:10" ht="27" x14ac:dyDescent="0.35">
      <c r="G25" s="14">
        <v>14</v>
      </c>
      <c r="H25" s="13" t="s">
        <v>39</v>
      </c>
      <c r="I25" s="10">
        <v>0.14000000000000001</v>
      </c>
      <c r="J25" s="9" t="s">
        <v>15</v>
      </c>
    </row>
    <row r="26" spans="7:10" ht="27" x14ac:dyDescent="0.35">
      <c r="G26" s="14">
        <v>15</v>
      </c>
      <c r="H26" s="13" t="s">
        <v>40</v>
      </c>
      <c r="I26" s="10">
        <v>0.02</v>
      </c>
      <c r="J26" s="9" t="s">
        <v>41</v>
      </c>
    </row>
    <row r="27" spans="7:10" ht="27" x14ac:dyDescent="0.35">
      <c r="G27" s="14">
        <v>16</v>
      </c>
      <c r="H27" s="13" t="s">
        <v>42</v>
      </c>
      <c r="I27" s="10">
        <v>0.05</v>
      </c>
      <c r="J27" s="9" t="s">
        <v>43</v>
      </c>
    </row>
    <row r="28" spans="7:10" ht="27" x14ac:dyDescent="0.35">
      <c r="G28" s="14">
        <v>17</v>
      </c>
      <c r="H28" s="5" t="s">
        <v>44</v>
      </c>
      <c r="I28" s="18">
        <v>10</v>
      </c>
      <c r="J2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Sheet1</vt:lpstr>
      <vt:lpstr>Sheet2</vt:lpstr>
      <vt:lpstr>Associated_Costs_with_Selling</vt:lpstr>
      <vt:lpstr>Buying_Closing_Cost</vt:lpstr>
      <vt:lpstr>Discount_Rate</vt:lpstr>
      <vt:lpstr>Discounted_Present_Worth_of_Costs</vt:lpstr>
      <vt:lpstr>Down_Payment_Amount</vt:lpstr>
      <vt:lpstr>Down_Payment_Percent</vt:lpstr>
      <vt:lpstr>Extra_Profit_from_Buying_a_House</vt:lpstr>
      <vt:lpstr>Future_Value_of_Initial_Investment</vt:lpstr>
      <vt:lpstr>Home_Insurance</vt:lpstr>
      <vt:lpstr>Home_Value_Appreciation</vt:lpstr>
      <vt:lpstr>House_Owner_Association__HOA__Fee</vt:lpstr>
      <vt:lpstr>Initial_Home_Purchase_Price</vt:lpstr>
      <vt:lpstr>Initial_Investment</vt:lpstr>
      <vt:lpstr>Interest_Rate</vt:lpstr>
      <vt:lpstr>Listed_Selling_Price_of_House</vt:lpstr>
      <vt:lpstr>Loan_Amount</vt:lpstr>
      <vt:lpstr>Loan_repayment_present_cost</vt:lpstr>
      <vt:lpstr>Loan_Term</vt:lpstr>
      <vt:lpstr>LoanRepaymentpresentCost</vt:lpstr>
      <vt:lpstr>Maintenance_Cost</vt:lpstr>
      <vt:lpstr>Maintenance_Fee</vt:lpstr>
      <vt:lpstr>Maintenance_Fee_Increase</vt:lpstr>
      <vt:lpstr>Maintenance_Fees</vt:lpstr>
      <vt:lpstr>Monthly_Rental_Cost</vt:lpstr>
      <vt:lpstr>Net_Future_Value_of_all_Investments</vt:lpstr>
      <vt:lpstr>Net_Present_Value_of_all_investments</vt:lpstr>
      <vt:lpstr>NET_PRESENT_VALUE_OF_HOUSE</vt:lpstr>
      <vt:lpstr>Net_Selling_Price_of_House</vt:lpstr>
      <vt:lpstr>No._of_Yearly_Loan_Installments_remaining</vt:lpstr>
      <vt:lpstr>Present_value_of_Loan_amount_paid_back_till_staying_in_the_home</vt:lpstr>
      <vt:lpstr>Present_value_of_Net_selling_Price_of_Home</vt:lpstr>
      <vt:lpstr>Present_worth_of_annual_costs</vt:lpstr>
      <vt:lpstr>Property_Tax</vt:lpstr>
      <vt:lpstr>Rental_Cost_Increase</vt:lpstr>
      <vt:lpstr>Renter_s_Insurance</vt:lpstr>
      <vt:lpstr>Security_Deposit</vt:lpstr>
      <vt:lpstr>Selling_Closing_Price___Associated_Cost</vt:lpstr>
      <vt:lpstr>Selling_Time_Worth_of_Loan_Amount_remaining</vt:lpstr>
      <vt:lpstr>Total_Future_Value_of_Annual_Investments</vt:lpstr>
      <vt:lpstr>Upfront_Cost</vt:lpstr>
      <vt:lpstr>Yearly_EMI_paid_on_Loan</vt:lpstr>
      <vt:lpstr>Yearly_Rental_Cost</vt:lpstr>
      <vt:lpstr>Years_of_Stay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Yamin Rashid</dc:creator>
  <cp:keywords/>
  <dc:description/>
  <cp:lastModifiedBy>Deepak Chaurasia Chaurasia</cp:lastModifiedBy>
  <cp:revision/>
  <dcterms:created xsi:type="dcterms:W3CDTF">2025-02-18T17:43:31Z</dcterms:created>
  <dcterms:modified xsi:type="dcterms:W3CDTF">2025-02-20T17:17:13Z</dcterms:modified>
  <cp:category/>
  <cp:contentStatus/>
</cp:coreProperties>
</file>