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599940A-BF5A-4334-BD34-EFD428CA40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cal Financials" sheetId="2" r:id="rId1"/>
    <sheet name="Assumptions" sheetId="7" r:id="rId2"/>
    <sheet name="Income Statement" sheetId="3" r:id="rId3"/>
    <sheet name="Balance Sheet" sheetId="4" r:id="rId4"/>
    <sheet name="Cash Flow Statement" sheetId="5" r:id="rId5"/>
    <sheet name="Valuation (DCF)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G11" i="6" l="1"/>
  <c r="F11" i="6"/>
  <c r="E11" i="6"/>
  <c r="D11" i="6"/>
  <c r="C11" i="6"/>
  <c r="G8" i="6"/>
  <c r="F8" i="6"/>
  <c r="E8" i="6"/>
  <c r="D8" i="6"/>
  <c r="C8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D47" i="2"/>
  <c r="E47" i="2"/>
  <c r="F47" i="2"/>
  <c r="G47" i="2"/>
  <c r="C47" i="2"/>
  <c r="D46" i="2"/>
  <c r="E46" i="2"/>
  <c r="F46" i="2"/>
  <c r="G46" i="2"/>
  <c r="C46" i="2"/>
  <c r="D45" i="2"/>
  <c r="E45" i="2"/>
  <c r="F45" i="2"/>
  <c r="G45" i="2"/>
  <c r="C45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39" i="2"/>
  <c r="E39" i="2"/>
  <c r="F39" i="2"/>
  <c r="G39" i="2"/>
  <c r="C39" i="2"/>
  <c r="D37" i="2"/>
  <c r="E37" i="2"/>
  <c r="F37" i="2"/>
  <c r="G37" i="2"/>
  <c r="C37" i="2"/>
  <c r="D36" i="2"/>
  <c r="E36" i="2"/>
  <c r="F36" i="2"/>
  <c r="G36" i="2"/>
  <c r="C36" i="2"/>
  <c r="D12" i="3"/>
  <c r="E12" i="3"/>
  <c r="F12" i="3"/>
  <c r="G12" i="3"/>
  <c r="C12" i="3"/>
  <c r="C13" i="2"/>
  <c r="D14" i="2"/>
  <c r="D13" i="2" s="1"/>
  <c r="E14" i="2"/>
  <c r="E13" i="2" s="1"/>
  <c r="F14" i="2"/>
  <c r="F13" i="2" s="1"/>
  <c r="G14" i="2"/>
  <c r="G13" i="2" s="1"/>
  <c r="C14" i="2"/>
  <c r="D8" i="2"/>
  <c r="D33" i="2" s="1"/>
  <c r="E8" i="2"/>
  <c r="E10" i="2" s="1"/>
  <c r="E12" i="2" s="1"/>
  <c r="F8" i="2"/>
  <c r="F33" i="2" s="1"/>
  <c r="G8" i="2"/>
  <c r="G33" i="2" s="1"/>
  <c r="C8" i="2"/>
  <c r="C10" i="2" s="1"/>
  <c r="C12" i="2" s="1"/>
  <c r="D7" i="7"/>
  <c r="E7" i="7" s="1"/>
  <c r="F7" i="7" s="1"/>
  <c r="G7" i="7" s="1"/>
  <c r="C6" i="7"/>
  <c r="C4" i="7"/>
  <c r="E34" i="2"/>
  <c r="D30" i="2"/>
  <c r="E30" i="2"/>
  <c r="F30" i="2"/>
  <c r="G30" i="2"/>
  <c r="G31" i="2" s="1"/>
  <c r="C30" i="2"/>
  <c r="D25" i="2"/>
  <c r="E25" i="2"/>
  <c r="F25" i="2"/>
  <c r="G25" i="2"/>
  <c r="C25" i="2"/>
  <c r="G23" i="2"/>
  <c r="F23" i="2"/>
  <c r="E23" i="2"/>
  <c r="D23" i="2"/>
  <c r="C23" i="2"/>
  <c r="G19" i="2"/>
  <c r="G20" i="2" s="1"/>
  <c r="F19" i="2"/>
  <c r="F20" i="2" s="1"/>
  <c r="E19" i="2"/>
  <c r="E21" i="2" s="1"/>
  <c r="E22" i="2" s="1"/>
  <c r="D19" i="2"/>
  <c r="D20" i="2" s="1"/>
  <c r="C19" i="2"/>
  <c r="C21" i="2" s="1"/>
  <c r="C22" i="2" s="1"/>
  <c r="G18" i="2"/>
  <c r="F18" i="2"/>
  <c r="E18" i="2"/>
  <c r="D18" i="2"/>
  <c r="C18" i="2"/>
  <c r="D6" i="7"/>
  <c r="E6" i="7" s="1"/>
  <c r="F6" i="7" s="1"/>
  <c r="G6" i="7" s="1"/>
  <c r="D4" i="7"/>
  <c r="D4" i="3" l="1"/>
  <c r="C4" i="3"/>
  <c r="D14" i="4"/>
  <c r="E14" i="4"/>
  <c r="E16" i="4"/>
  <c r="C8" i="5"/>
  <c r="C9" i="5" s="1"/>
  <c r="D8" i="5"/>
  <c r="D9" i="5" s="1"/>
  <c r="D9" i="6"/>
  <c r="D10" i="6"/>
  <c r="D12" i="6" s="1"/>
  <c r="E9" i="4"/>
  <c r="D8" i="3"/>
  <c r="D5" i="3"/>
  <c r="D6" i="3" s="1"/>
  <c r="D9" i="4"/>
  <c r="C8" i="3"/>
  <c r="C5" i="3"/>
  <c r="E33" i="2"/>
  <c r="F34" i="2"/>
  <c r="D34" i="2"/>
  <c r="C34" i="2"/>
  <c r="C6" i="3"/>
  <c r="C10" i="3"/>
  <c r="C5" i="5" s="1"/>
  <c r="D10" i="3"/>
  <c r="D5" i="5" s="1"/>
  <c r="D6" i="4"/>
  <c r="E6" i="4"/>
  <c r="D8" i="4"/>
  <c r="E8" i="4"/>
  <c r="C7" i="3"/>
  <c r="D7" i="3"/>
  <c r="D5" i="4"/>
  <c r="E5" i="4"/>
  <c r="D7" i="4"/>
  <c r="E7" i="4"/>
  <c r="G34" i="2"/>
  <c r="G32" i="2"/>
  <c r="D10" i="2"/>
  <c r="D12" i="2" s="1"/>
  <c r="C33" i="2"/>
  <c r="D31" i="2"/>
  <c r="D32" i="2" s="1"/>
  <c r="E31" i="2"/>
  <c r="E32" i="2" s="1"/>
  <c r="F10" i="2"/>
  <c r="F12" i="2" s="1"/>
  <c r="F31" i="2"/>
  <c r="F32" i="2" s="1"/>
  <c r="G10" i="2"/>
  <c r="G12" i="2" s="1"/>
  <c r="C20" i="2"/>
  <c r="F21" i="2"/>
  <c r="F22" i="2" s="1"/>
  <c r="G21" i="2"/>
  <c r="G22" i="2" s="1"/>
  <c r="D5" i="7"/>
  <c r="E4" i="7"/>
  <c r="E4" i="3" s="1"/>
  <c r="E20" i="2"/>
  <c r="D21" i="2"/>
  <c r="D22" i="2" s="1"/>
  <c r="C9" i="6" l="1"/>
  <c r="C10" i="6" s="1"/>
  <c r="C12" i="6" s="1"/>
  <c r="D15" i="4"/>
  <c r="C10" i="5" s="1"/>
  <c r="C11" i="5" s="1"/>
  <c r="D13" i="4"/>
  <c r="D17" i="4" s="1"/>
  <c r="D16" i="4"/>
  <c r="E15" i="4"/>
  <c r="E13" i="4"/>
  <c r="E17" i="4" s="1"/>
  <c r="E10" i="3"/>
  <c r="E5" i="5" s="1"/>
  <c r="F15" i="4"/>
  <c r="F13" i="4"/>
  <c r="F16" i="4"/>
  <c r="F14" i="4"/>
  <c r="E9" i="6"/>
  <c r="E10" i="6" s="1"/>
  <c r="E12" i="6" s="1"/>
  <c r="E8" i="5"/>
  <c r="E9" i="5" s="1"/>
  <c r="D9" i="3"/>
  <c r="D11" i="3" s="1"/>
  <c r="D13" i="3" s="1"/>
  <c r="E7" i="3"/>
  <c r="F6" i="4"/>
  <c r="F7" i="4"/>
  <c r="E8" i="3"/>
  <c r="F9" i="4"/>
  <c r="E5" i="3"/>
  <c r="F5" i="4"/>
  <c r="C9" i="3"/>
  <c r="C11" i="3" s="1"/>
  <c r="C13" i="3" s="1"/>
  <c r="C14" i="3" s="1"/>
  <c r="C15" i="3" s="1"/>
  <c r="F8" i="4"/>
  <c r="E6" i="3"/>
  <c r="D10" i="4"/>
  <c r="D14" i="3"/>
  <c r="D15" i="3" s="1"/>
  <c r="D4" i="5" s="1"/>
  <c r="D7" i="5" s="1"/>
  <c r="E10" i="4"/>
  <c r="F4" i="7"/>
  <c r="F4" i="3" s="1"/>
  <c r="E5" i="7"/>
  <c r="D10" i="5" l="1"/>
  <c r="C4" i="5"/>
  <c r="C7" i="5" s="1"/>
  <c r="C12" i="5" s="1"/>
  <c r="D21" i="4"/>
  <c r="G16" i="4"/>
  <c r="G14" i="4"/>
  <c r="G15" i="4"/>
  <c r="G13" i="4"/>
  <c r="F9" i="6"/>
  <c r="F10" i="6" s="1"/>
  <c r="F12" i="6" s="1"/>
  <c r="F8" i="5"/>
  <c r="F9" i="5" s="1"/>
  <c r="F17" i="4"/>
  <c r="F10" i="4"/>
  <c r="G8" i="4"/>
  <c r="F8" i="3"/>
  <c r="G9" i="4"/>
  <c r="G6" i="4"/>
  <c r="F7" i="3"/>
  <c r="G7" i="4"/>
  <c r="F5" i="3"/>
  <c r="F6" i="3" s="1"/>
  <c r="F10" i="3"/>
  <c r="F5" i="5" s="1"/>
  <c r="G5" i="4"/>
  <c r="E9" i="3"/>
  <c r="E11" i="3" s="1"/>
  <c r="E13" i="3" s="1"/>
  <c r="F5" i="7"/>
  <c r="G4" i="7"/>
  <c r="E10" i="5" l="1"/>
  <c r="D11" i="5"/>
  <c r="D12" i="5" s="1"/>
  <c r="G17" i="4"/>
  <c r="E21" i="4"/>
  <c r="D22" i="4"/>
  <c r="E14" i="3"/>
  <c r="E15" i="3" s="1"/>
  <c r="E4" i="5" s="1"/>
  <c r="E7" i="5" s="1"/>
  <c r="G5" i="7"/>
  <c r="G4" i="3"/>
  <c r="G10" i="4"/>
  <c r="F9" i="3"/>
  <c r="F11" i="3" s="1"/>
  <c r="F13" i="3" s="1"/>
  <c r="F14" i="3" s="1"/>
  <c r="F15" i="3" s="1"/>
  <c r="F4" i="5" s="1"/>
  <c r="F7" i="5" s="1"/>
  <c r="F10" i="5" l="1"/>
  <c r="F11" i="5" s="1"/>
  <c r="E11" i="5"/>
  <c r="E12" i="5" s="1"/>
  <c r="F12" i="5"/>
  <c r="F21" i="4"/>
  <c r="E22" i="4"/>
  <c r="G9" i="6"/>
  <c r="G10" i="6" s="1"/>
  <c r="G12" i="6" s="1"/>
  <c r="G8" i="5"/>
  <c r="G9" i="5" s="1"/>
  <c r="H16" i="4"/>
  <c r="H14" i="4"/>
  <c r="H15" i="4"/>
  <c r="G10" i="5" s="1"/>
  <c r="G11" i="5" s="1"/>
  <c r="H13" i="4"/>
  <c r="H8" i="4"/>
  <c r="H7" i="4"/>
  <c r="G5" i="3"/>
  <c r="G6" i="3" s="1"/>
  <c r="G7" i="3"/>
  <c r="G8" i="3"/>
  <c r="H9" i="4"/>
  <c r="H5" i="4"/>
  <c r="G10" i="3"/>
  <c r="G5" i="5" s="1"/>
  <c r="H6" i="4"/>
  <c r="G21" i="4" l="1"/>
  <c r="F22" i="4"/>
  <c r="H17" i="4"/>
  <c r="G9" i="3"/>
  <c r="G11" i="3" s="1"/>
  <c r="G13" i="3" s="1"/>
  <c r="G14" i="3" s="1"/>
  <c r="G15" i="3" s="1"/>
  <c r="G4" i="5" s="1"/>
  <c r="G7" i="5" s="1"/>
  <c r="G12" i="5" s="1"/>
  <c r="H10" i="4"/>
  <c r="H21" i="4" l="1"/>
  <c r="H22" i="4" s="1"/>
  <c r="G22" i="4"/>
</calcChain>
</file>

<file path=xl/sharedStrings.xml><?xml version="1.0" encoding="utf-8"?>
<sst xmlns="http://schemas.openxmlformats.org/spreadsheetml/2006/main" count="122" uniqueCount="107">
  <si>
    <t>Year</t>
  </si>
  <si>
    <t>COGS</t>
  </si>
  <si>
    <t>D&amp;A</t>
  </si>
  <si>
    <t>EBIT</t>
  </si>
  <si>
    <t>Interest Expense</t>
  </si>
  <si>
    <t>Taxes</t>
  </si>
  <si>
    <t>Net Income</t>
  </si>
  <si>
    <t>Line Item</t>
  </si>
  <si>
    <t>Gross Profit</t>
  </si>
  <si>
    <t>EBITDA</t>
  </si>
  <si>
    <t>EBT</t>
  </si>
  <si>
    <t>Accounts Receivable</t>
  </si>
  <si>
    <t>Total Assets</t>
  </si>
  <si>
    <t>Accounts Payable</t>
  </si>
  <si>
    <t>Add: D&amp;A</t>
  </si>
  <si>
    <t>Change in Working Capital</t>
  </si>
  <si>
    <t>Cash from Operating Activities</t>
  </si>
  <si>
    <t>CapEx</t>
  </si>
  <si>
    <t>Cash from Investing Activities</t>
  </si>
  <si>
    <t>Debt Issued/(Repaid)</t>
  </si>
  <si>
    <t>Cash from Financing Activities</t>
  </si>
  <si>
    <t>Net Change in Cash</t>
  </si>
  <si>
    <t>Discount Factor</t>
  </si>
  <si>
    <t>Revenue(Mn $)</t>
  </si>
  <si>
    <t>COGS(Mn $)</t>
  </si>
  <si>
    <t>OPEX  (Mn $)</t>
  </si>
  <si>
    <t>D&amp;A (Mn $)</t>
  </si>
  <si>
    <t>EBIT (Mn $)</t>
  </si>
  <si>
    <t>Interest Expense (Mn $)</t>
  </si>
  <si>
    <t>Taxes (Mn $)</t>
  </si>
  <si>
    <t>Net Income (Mn $)</t>
  </si>
  <si>
    <t>YoY Growth %</t>
  </si>
  <si>
    <t>Marketing (% of Revenue)</t>
  </si>
  <si>
    <t>Tech &amp; G&amp;A (% of Revenue)</t>
  </si>
  <si>
    <t>Depreciation (% of Revenue)</t>
  </si>
  <si>
    <t>Change in WC (% of Revenue)</t>
  </si>
  <si>
    <t>Subscribers (Mn)</t>
  </si>
  <si>
    <t>ARPU ($ per user/year</t>
  </si>
  <si>
    <t>COGS % (Content Related)</t>
  </si>
  <si>
    <t>Marketing Cost (35% of OPEX)</t>
  </si>
  <si>
    <t>Marketing % of Revenue</t>
  </si>
  <si>
    <t>Tech &amp; G&amp;A</t>
  </si>
  <si>
    <t>D&amp;A (% of Revenue)</t>
  </si>
  <si>
    <t>Item/Year</t>
  </si>
  <si>
    <t>Capex (Mn $)</t>
  </si>
  <si>
    <t>Capex % of Revenue</t>
  </si>
  <si>
    <t>YoY Growth % (Subscribers)</t>
  </si>
  <si>
    <t>Starting Subscribers (Millions)</t>
  </si>
  <si>
    <t>Tax Rate %</t>
  </si>
  <si>
    <t>Operating Margin (EBIT %)</t>
  </si>
  <si>
    <t>Terminal Growth Rate (for DCF)</t>
  </si>
  <si>
    <t>WACC (Discount Rate)</t>
  </si>
  <si>
    <t>Accounts Payable (Mn $)</t>
  </si>
  <si>
    <t>Accounts Receivable (AR)  (Mn $)</t>
  </si>
  <si>
    <t>Other Current Assets (Mn $)</t>
  </si>
  <si>
    <t>Other Current Liabilities (Mn $)</t>
  </si>
  <si>
    <t>Working Capital (WC) per year</t>
  </si>
  <si>
    <t>Change in WC</t>
  </si>
  <si>
    <t>Change in WC % of Revenue</t>
  </si>
  <si>
    <t>Marketing Expense</t>
  </si>
  <si>
    <t>Tech &amp; G&amp;A Expense</t>
  </si>
  <si>
    <t>Average Revenue per User (ARPU) ($/Year)</t>
  </si>
  <si>
    <t>EBT (Mn $)</t>
  </si>
  <si>
    <t>Total Debt (Mn $)</t>
  </si>
  <si>
    <t>Interest Rate (%)</t>
  </si>
  <si>
    <t>Average Debt  (Mn $)</t>
  </si>
  <si>
    <t>Line Item/ Year</t>
  </si>
  <si>
    <t>Property, Plant &amp; Equipment (PP&amp;E)</t>
  </si>
  <si>
    <t>Total Liabilities</t>
  </si>
  <si>
    <t>Retained Earnings</t>
  </si>
  <si>
    <t>Total Equity</t>
  </si>
  <si>
    <t>Assets:</t>
  </si>
  <si>
    <t>Liabilities:</t>
  </si>
  <si>
    <t>Accrued Expenses and Other Current Liabilities</t>
  </si>
  <si>
    <t>Equity:</t>
  </si>
  <si>
    <t>Content Assets</t>
  </si>
  <si>
    <t xml:space="preserve">Other Assets </t>
  </si>
  <si>
    <t>Deferred Revenue</t>
  </si>
  <si>
    <t>Total Debt</t>
  </si>
  <si>
    <t>Cash as % of Revenue</t>
  </si>
  <si>
    <t>Accounts Receivable %</t>
  </si>
  <si>
    <t>Cash &amp; Cash Equivalents (Mn $)</t>
  </si>
  <si>
    <t xml:space="preserve">Cash &amp; Cash Equivalents </t>
  </si>
  <si>
    <t>Content Assets  (Mn $)</t>
  </si>
  <si>
    <t>Content Assets  %</t>
  </si>
  <si>
    <t>Content Assets  % of Revenue</t>
  </si>
  <si>
    <t>Property, Plant &amp; Equipment %</t>
  </si>
  <si>
    <t>Property, Plant &amp; Equipment % of Revenue</t>
  </si>
  <si>
    <t>Property, Plant &amp; Equipment (Mn $)</t>
  </si>
  <si>
    <t>Other Current Assets %</t>
  </si>
  <si>
    <t>Other Current Assets % of Revenue</t>
  </si>
  <si>
    <t>Accounts Payable %</t>
  </si>
  <si>
    <t>Accounts Payable % of Revenue</t>
  </si>
  <si>
    <t>Deferred Revenue (Mn $)</t>
  </si>
  <si>
    <t>Deferred Revenue %</t>
  </si>
  <si>
    <t>Deferred Revenue % of Revenue</t>
  </si>
  <si>
    <t>Debt % of Revenue</t>
  </si>
  <si>
    <t>OCL % of Revenue</t>
  </si>
  <si>
    <t>Common Stock + APIC (Mn $)</t>
  </si>
  <si>
    <t>Retained Earnings (Mn $)</t>
  </si>
  <si>
    <t>– Change in Working Capital (Mn $)</t>
  </si>
  <si>
    <t>Tax Rate (%)</t>
  </si>
  <si>
    <t>NOPAT (Mn $)</t>
  </si>
  <si>
    <t>+ Depreciation &amp; Amortization (Mn $)</t>
  </si>
  <si>
    <t>– Capex (Mn $)</t>
  </si>
  <si>
    <t>Unlevered Free Cash Flow (UFCF)</t>
  </si>
  <si>
    <t>Present Value of UFCF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</si>
</sst>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28C442"/>
        <bgColor indexed="64"/>
      </patternFill>
    </fill>
    <fill>
      <patternFill patternType="solid">
        <fgColor rgb="FF007BB8"/>
        <bgColor indexed="64"/>
      </patternFill>
    </fill>
    <fill>
      <patternFill patternType="solid">
        <fgColor rgb="FFE96D82"/>
        <bgColor indexed="64"/>
      </patternFill>
    </fill>
    <fill>
      <patternFill patternType="solid">
        <fgColor rgb="FF5B938C"/>
        <bgColor indexed="64"/>
      </patternFill>
    </fill>
    <fill>
      <patternFill patternType="solid">
        <fgColor rgb="FF9A00B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0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vertical="center" wrapText="1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FF"/>
      <color rgb="FF9A00B4"/>
      <color rgb="FF5B938C"/>
      <color rgb="FF76618D"/>
      <color rgb="FF84485C"/>
      <color rgb="FFE96D82"/>
      <color rgb="FF17464F"/>
      <color rgb="FF5C3240"/>
      <color rgb="FFEAD8DE"/>
      <color rgb="FF28C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fc2b42cbf8dd06/Documents/Deepanshu/Financial%20Modelling/Netflix_Financial_Model_Template.xlsx" TargetMode="External"/><Relationship Id="rId1" Type="http://schemas.openxmlformats.org/officeDocument/2006/relationships/externalLinkPath" Target="https://d.docs.live.net/34fc2b42cbf8dd06/Documents/Deepanshu/Financial%20Modelling/Netflix_Financial_Model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 Financials"/>
      <sheetName val="Assumptions"/>
      <sheetName val="Income Statement"/>
      <sheetName val="Balance Sheet"/>
      <sheetName val="Cash Flow Statement"/>
      <sheetName val="Valuation (DCF)"/>
      <sheetName val="Notes"/>
    </sheetNames>
    <sheetDataSet>
      <sheetData sheetId="0" refreshError="1"/>
      <sheetData sheetId="1">
        <row r="10">
          <cell r="C10">
            <v>2</v>
          </cell>
          <cell r="D10">
            <v>2</v>
          </cell>
          <cell r="E10">
            <v>2</v>
          </cell>
          <cell r="F10">
            <v>2</v>
          </cell>
          <cell r="G10">
            <v>2</v>
          </cell>
        </row>
        <row r="12">
          <cell r="C12">
            <v>13</v>
          </cell>
          <cell r="D12">
            <v>13</v>
          </cell>
          <cell r="E12">
            <v>13</v>
          </cell>
          <cell r="F12">
            <v>13</v>
          </cell>
          <cell r="G12">
            <v>13</v>
          </cell>
        </row>
      </sheetData>
      <sheetData sheetId="2">
        <row r="3">
          <cell r="C3">
            <v>43407</v>
          </cell>
          <cell r="D3">
            <v>48311.991000000002</v>
          </cell>
          <cell r="E3">
            <v>53771.245983000008</v>
          </cell>
          <cell r="F3">
            <v>59847.396779079019</v>
          </cell>
          <cell r="G3">
            <v>66610.152615114959</v>
          </cell>
        </row>
        <row r="9">
          <cell r="C9">
            <v>18230.939999999999</v>
          </cell>
          <cell r="D9">
            <v>20291.036219999998</v>
          </cell>
          <cell r="E9">
            <v>22583.923312860006</v>
          </cell>
          <cell r="F9">
            <v>25135.906647213189</v>
          </cell>
          <cell r="G9">
            <v>27976.264098348282</v>
          </cell>
        </row>
        <row r="10">
          <cell r="C10">
            <v>-6945.1199999999953</v>
          </cell>
          <cell r="D10">
            <v>-7488.3586049999994</v>
          </cell>
          <cell r="E10">
            <v>-8065.6868974500085</v>
          </cell>
          <cell r="F10">
            <v>-8677.8725329664594</v>
          </cell>
          <cell r="G10">
            <v>-9325.4213661160938</v>
          </cell>
        </row>
      </sheetData>
      <sheetData sheetId="3" refreshError="1"/>
      <sheetData sheetId="4" refreshError="1"/>
      <sheetData sheetId="5">
        <row r="3">
          <cell r="B3">
            <v>13</v>
          </cell>
          <cell r="C3">
            <v>13</v>
          </cell>
          <cell r="D3">
            <v>13</v>
          </cell>
          <cell r="E3">
            <v>13</v>
          </cell>
          <cell r="F3">
            <v>13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showGridLines="0" tabSelected="1" workbookViewId="0">
      <selection activeCell="C59" sqref="C59"/>
    </sheetView>
  </sheetViews>
  <sheetFormatPr defaultRowHeight="14.4"/>
  <cols>
    <col min="1" max="1" width="3.77734375" customWidth="1"/>
    <col min="2" max="2" width="33.33203125" style="12" bestFit="1" customWidth="1"/>
    <col min="3" max="7" width="12.77734375" customWidth="1"/>
    <col min="8" max="17" width="8.88671875" customWidth="1"/>
  </cols>
  <sheetData>
    <row r="2" spans="2:7" ht="19.95" customHeight="1">
      <c r="B2" s="37" t="s">
        <v>43</v>
      </c>
      <c r="C2" s="37">
        <v>2020</v>
      </c>
      <c r="D2" s="37">
        <v>2021</v>
      </c>
      <c r="E2" s="37">
        <v>2022</v>
      </c>
      <c r="F2" s="37">
        <v>2023</v>
      </c>
      <c r="G2" s="37">
        <v>2024</v>
      </c>
    </row>
    <row r="3" spans="2:7" ht="14.4" customHeight="1">
      <c r="B3"/>
    </row>
    <row r="4" spans="2:7">
      <c r="B4" s="29" t="s">
        <v>23</v>
      </c>
      <c r="C4" s="1">
        <v>24996</v>
      </c>
      <c r="D4" s="1">
        <v>29698</v>
      </c>
      <c r="E4" s="1">
        <v>31616</v>
      </c>
      <c r="F4" s="1">
        <v>33723</v>
      </c>
      <c r="G4" s="1">
        <v>39001</v>
      </c>
    </row>
    <row r="5" spans="2:7">
      <c r="B5" s="29" t="s">
        <v>24</v>
      </c>
      <c r="C5" s="1">
        <v>14175</v>
      </c>
      <c r="D5" s="1">
        <v>17333</v>
      </c>
      <c r="E5" s="1">
        <v>19168</v>
      </c>
      <c r="F5" s="1">
        <v>19715</v>
      </c>
      <c r="G5" s="1">
        <v>21038</v>
      </c>
    </row>
    <row r="6" spans="2:7">
      <c r="B6" s="29" t="s">
        <v>25</v>
      </c>
      <c r="C6" s="1">
        <v>5134</v>
      </c>
      <c r="D6" s="1">
        <v>6171</v>
      </c>
      <c r="E6" s="1">
        <v>6814</v>
      </c>
      <c r="F6" s="1">
        <v>7054</v>
      </c>
      <c r="G6" s="1">
        <v>7545</v>
      </c>
    </row>
    <row r="7" spans="2:7">
      <c r="B7" s="29" t="s">
        <v>26</v>
      </c>
      <c r="C7" s="1">
        <v>10923</v>
      </c>
      <c r="D7" s="1">
        <v>12439</v>
      </c>
      <c r="E7" s="1">
        <v>14363</v>
      </c>
      <c r="F7" s="1">
        <v>14554</v>
      </c>
      <c r="G7" s="1">
        <v>15630</v>
      </c>
    </row>
    <row r="8" spans="2:7">
      <c r="B8" s="29" t="s">
        <v>27</v>
      </c>
      <c r="C8" s="1">
        <f>C4-C5-C6-C7</f>
        <v>-5236</v>
      </c>
      <c r="D8" s="1">
        <f t="shared" ref="D8:G8" si="0">D4-D5-D6-D7</f>
        <v>-6245</v>
      </c>
      <c r="E8" s="1">
        <f t="shared" si="0"/>
        <v>-8729</v>
      </c>
      <c r="F8" s="1">
        <f t="shared" si="0"/>
        <v>-7600</v>
      </c>
      <c r="G8" s="1">
        <f t="shared" si="0"/>
        <v>-5212</v>
      </c>
    </row>
    <row r="9" spans="2:7">
      <c r="B9" s="29" t="s">
        <v>28</v>
      </c>
      <c r="C9" s="1">
        <v>766</v>
      </c>
      <c r="D9" s="1">
        <v>706</v>
      </c>
      <c r="E9" s="1">
        <v>749</v>
      </c>
      <c r="F9" s="1">
        <v>719</v>
      </c>
      <c r="G9" s="1">
        <v>730</v>
      </c>
    </row>
    <row r="10" spans="2:7">
      <c r="B10" s="29" t="s">
        <v>62</v>
      </c>
      <c r="C10" s="1">
        <f>C8-C9</f>
        <v>-6002</v>
      </c>
      <c r="D10" s="1">
        <f>D8-D9</f>
        <v>-6951</v>
      </c>
      <c r="E10" s="1">
        <f>E8-E9</f>
        <v>-9478</v>
      </c>
      <c r="F10" s="1">
        <f>F8-F9</f>
        <v>-8319</v>
      </c>
      <c r="G10" s="1">
        <f>G8-G9</f>
        <v>-5942</v>
      </c>
    </row>
    <row r="11" spans="2:7">
      <c r="B11" s="29" t="s">
        <v>29</v>
      </c>
      <c r="C11" s="1">
        <v>438</v>
      </c>
      <c r="D11" s="1">
        <v>724</v>
      </c>
      <c r="E11" s="1">
        <v>797</v>
      </c>
      <c r="F11" s="1">
        <v>1254</v>
      </c>
      <c r="G11" s="1">
        <v>1435</v>
      </c>
    </row>
    <row r="12" spans="2:7">
      <c r="B12" s="29" t="s">
        <v>30</v>
      </c>
      <c r="C12" s="3">
        <f>C10-C11</f>
        <v>-6440</v>
      </c>
      <c r="D12" s="3">
        <f t="shared" ref="D12:G12" si="1">D10-D11</f>
        <v>-7675</v>
      </c>
      <c r="E12" s="3">
        <f t="shared" si="1"/>
        <v>-10275</v>
      </c>
      <c r="F12" s="3">
        <f t="shared" si="1"/>
        <v>-9573</v>
      </c>
      <c r="G12" s="3">
        <f t="shared" si="1"/>
        <v>-7377</v>
      </c>
    </row>
    <row r="13" spans="2:7">
      <c r="B13" s="29" t="s">
        <v>64</v>
      </c>
      <c r="C13" s="3">
        <f>(C9/C14)*100</f>
        <v>4.8343325970337645</v>
      </c>
      <c r="D13" s="3">
        <f t="shared" ref="D13:G13" si="2">(D9/D14)*100</f>
        <v>4.7478143913920645</v>
      </c>
      <c r="E13" s="3">
        <f t="shared" si="2"/>
        <v>5.1851851851851851</v>
      </c>
      <c r="F13" s="3">
        <f t="shared" si="2"/>
        <v>4.7742363877822047</v>
      </c>
      <c r="G13" s="3">
        <f t="shared" si="2"/>
        <v>9.3709884467265727</v>
      </c>
    </row>
    <row r="14" spans="2:7">
      <c r="B14" s="29" t="s">
        <v>65</v>
      </c>
      <c r="C14" s="3">
        <f>(C15+D15)/2</f>
        <v>15845</v>
      </c>
      <c r="D14" s="3">
        <f t="shared" ref="D14:G14" si="3">(D15+E15)/2</f>
        <v>14870</v>
      </c>
      <c r="E14" s="3">
        <f t="shared" si="3"/>
        <v>14445</v>
      </c>
      <c r="F14" s="3">
        <f t="shared" si="3"/>
        <v>15060</v>
      </c>
      <c r="G14" s="3">
        <f t="shared" si="3"/>
        <v>7790</v>
      </c>
    </row>
    <row r="15" spans="2:7">
      <c r="B15" s="29" t="s">
        <v>63</v>
      </c>
      <c r="C15" s="1">
        <v>16300</v>
      </c>
      <c r="D15" s="1">
        <v>15390</v>
      </c>
      <c r="E15" s="1">
        <v>14350</v>
      </c>
      <c r="F15" s="1">
        <v>14540</v>
      </c>
      <c r="G15" s="1">
        <v>15580</v>
      </c>
    </row>
    <row r="16" spans="2:7">
      <c r="B16" s="29" t="s">
        <v>36</v>
      </c>
      <c r="C16" s="1">
        <v>204</v>
      </c>
      <c r="D16" s="1">
        <v>222</v>
      </c>
      <c r="E16" s="1">
        <v>231</v>
      </c>
      <c r="F16" s="1">
        <v>247</v>
      </c>
      <c r="G16" s="1">
        <v>260</v>
      </c>
    </row>
    <row r="17" spans="2:14">
      <c r="B17" s="29" t="s">
        <v>31</v>
      </c>
      <c r="C17" s="1"/>
      <c r="D17" s="10">
        <v>8.7999999999999995E-2</v>
      </c>
      <c r="E17" s="10">
        <v>4.1000000000000002E-2</v>
      </c>
      <c r="F17" s="10">
        <v>6.9000000000000006E-2</v>
      </c>
      <c r="G17" s="11">
        <v>5.2999999999999999E-2</v>
      </c>
    </row>
    <row r="18" spans="2:14">
      <c r="B18" s="29" t="s">
        <v>37</v>
      </c>
      <c r="C18" s="8">
        <f>C4/C16</f>
        <v>122.52941176470588</v>
      </c>
      <c r="D18" s="8">
        <f>D4/D16</f>
        <v>133.77477477477478</v>
      </c>
      <c r="E18" s="8">
        <f>E4/E16</f>
        <v>136.86580086580088</v>
      </c>
      <c r="F18" s="8">
        <f>F4/F16</f>
        <v>136.53036437246965</v>
      </c>
      <c r="G18" s="8">
        <f>G4/G16</f>
        <v>150.00384615384615</v>
      </c>
    </row>
    <row r="19" spans="2:14">
      <c r="B19" s="29" t="s">
        <v>39</v>
      </c>
      <c r="C19" s="8">
        <f>C6*35%</f>
        <v>1796.8999999999999</v>
      </c>
      <c r="D19" s="8">
        <f>D6*35%</f>
        <v>2159.85</v>
      </c>
      <c r="E19" s="8">
        <f>E6*35%</f>
        <v>2384.8999999999996</v>
      </c>
      <c r="F19" s="8">
        <f>F6*35%</f>
        <v>2468.8999999999996</v>
      </c>
      <c r="G19" s="8">
        <f>G6*35%</f>
        <v>2640.75</v>
      </c>
    </row>
    <row r="20" spans="2:14">
      <c r="B20" s="29" t="s">
        <v>40</v>
      </c>
      <c r="C20" s="8">
        <f>(C19/C4)*100</f>
        <v>7.188750200032004</v>
      </c>
      <c r="D20" s="8">
        <f>(D19/D4)*100</f>
        <v>7.2727119671358338</v>
      </c>
      <c r="E20" s="8">
        <f>(E19/E4)*100</f>
        <v>7.5433324898785417</v>
      </c>
      <c r="F20" s="8">
        <f>(F19/F4)*100</f>
        <v>7.3211161521810038</v>
      </c>
      <c r="G20" s="8">
        <f>(G19/G4)*100</f>
        <v>6.7709802312761207</v>
      </c>
    </row>
    <row r="21" spans="2:14">
      <c r="B21" s="29" t="s">
        <v>41</v>
      </c>
      <c r="C21" s="1">
        <f>C6-C19</f>
        <v>3337.1000000000004</v>
      </c>
      <c r="D21" s="1">
        <f>D6-D19</f>
        <v>4011.15</v>
      </c>
      <c r="E21" s="1">
        <f>E6-E19</f>
        <v>4429.1000000000004</v>
      </c>
      <c r="F21" s="1">
        <f>F6-F19</f>
        <v>4585.1000000000004</v>
      </c>
      <c r="G21" s="1">
        <f>G6-G19</f>
        <v>4904.25</v>
      </c>
    </row>
    <row r="22" spans="2:14">
      <c r="B22" s="29" t="s">
        <v>33</v>
      </c>
      <c r="C22" s="8">
        <f>(C21/C4)*100</f>
        <v>13.350536085773726</v>
      </c>
      <c r="D22" s="8">
        <f>(D21/D4)*100</f>
        <v>13.506465081823693</v>
      </c>
      <c r="E22" s="8">
        <f>(E21/E4)*100</f>
        <v>14.009046052631579</v>
      </c>
      <c r="F22" s="8">
        <f>(F21/F4)*100</f>
        <v>13.59635856833615</v>
      </c>
      <c r="G22" s="8">
        <f>(G21/G4)*100</f>
        <v>12.574677572369938</v>
      </c>
      <c r="J22" s="8"/>
    </row>
    <row r="23" spans="2:14">
      <c r="B23" s="29" t="s">
        <v>42</v>
      </c>
      <c r="C23" s="8">
        <f>(C7/C4)*100</f>
        <v>43.698991838694191</v>
      </c>
      <c r="D23" s="8">
        <f>(D7/D4)*100</f>
        <v>41.884975419220147</v>
      </c>
      <c r="E23" s="8">
        <f>(E7/E4)*100</f>
        <v>45.429529352226723</v>
      </c>
      <c r="F23" s="8">
        <f>(F7/F4)*100</f>
        <v>43.157488954126265</v>
      </c>
      <c r="G23" s="8">
        <f>(G7/G4)*100</f>
        <v>40.075895489859235</v>
      </c>
      <c r="J23" s="8"/>
    </row>
    <row r="24" spans="2:14">
      <c r="B24" s="29" t="s">
        <v>44</v>
      </c>
      <c r="C24" s="2">
        <v>505</v>
      </c>
      <c r="D24" s="2">
        <v>488</v>
      </c>
      <c r="E24" s="2">
        <v>597</v>
      </c>
      <c r="F24" s="2">
        <v>410</v>
      </c>
      <c r="G24">
        <v>450</v>
      </c>
      <c r="J24" s="8"/>
    </row>
    <row r="25" spans="2:14">
      <c r="B25" s="29" t="s">
        <v>45</v>
      </c>
      <c r="C25" s="8">
        <f>(C24/C4)*100</f>
        <v>2.0203232517202752</v>
      </c>
      <c r="D25" s="8">
        <f>(D24/D4)*100</f>
        <v>1.643208296855007</v>
      </c>
      <c r="E25" s="8">
        <f>(E24/E4)*100</f>
        <v>1.8882844129554655</v>
      </c>
      <c r="F25" s="8">
        <f>(F24/F4)*100</f>
        <v>1.2157874447706314</v>
      </c>
      <c r="G25" s="8">
        <f>(G24/G4)*100</f>
        <v>1.1538165688059281</v>
      </c>
      <c r="J25" s="8"/>
    </row>
    <row r="26" spans="2:14">
      <c r="B26" s="29" t="s">
        <v>53</v>
      </c>
      <c r="C26" s="2">
        <v>610.79999999999995</v>
      </c>
      <c r="D26" s="2">
        <v>804.3</v>
      </c>
      <c r="E26" s="2">
        <v>988.9</v>
      </c>
      <c r="F26" s="13">
        <v>1287.0999999999999</v>
      </c>
      <c r="G26" s="13">
        <v>1335.3</v>
      </c>
      <c r="J26" s="8"/>
    </row>
    <row r="27" spans="2:14">
      <c r="B27" s="29" t="s">
        <v>54</v>
      </c>
      <c r="C27" s="3">
        <v>1556</v>
      </c>
      <c r="D27" s="3">
        <v>2042</v>
      </c>
      <c r="E27" s="3">
        <v>3208</v>
      </c>
      <c r="F27" s="3">
        <v>2780</v>
      </c>
      <c r="G27" s="3">
        <v>3517</v>
      </c>
      <c r="J27" s="7"/>
      <c r="K27" s="3"/>
    </row>
    <row r="28" spans="2:14">
      <c r="B28" s="29" t="s">
        <v>52</v>
      </c>
      <c r="C28" s="2">
        <v>656</v>
      </c>
      <c r="D28" s="2">
        <v>837</v>
      </c>
      <c r="E28" s="2">
        <v>672</v>
      </c>
      <c r="F28" s="2">
        <v>747</v>
      </c>
      <c r="G28" s="2">
        <v>900</v>
      </c>
      <c r="J28" s="2"/>
      <c r="K28" s="2"/>
      <c r="N28" s="2"/>
    </row>
    <row r="29" spans="2:14">
      <c r="B29" s="29" t="s">
        <v>55</v>
      </c>
      <c r="C29" s="3">
        <v>4430</v>
      </c>
      <c r="D29" s="3">
        <v>4293</v>
      </c>
      <c r="E29" s="3">
        <v>4480</v>
      </c>
      <c r="F29" s="3">
        <v>4466</v>
      </c>
      <c r="G29" s="3">
        <v>4394</v>
      </c>
      <c r="J29" s="2"/>
      <c r="K29" s="2"/>
    </row>
    <row r="30" spans="2:14">
      <c r="B30" s="29" t="s">
        <v>56</v>
      </c>
      <c r="C30" s="1">
        <f>(C26+C27)-(C28+C29)</f>
        <v>-2919.2</v>
      </c>
      <c r="D30" s="1">
        <f t="shared" ref="D30:G30" si="4">(D26+D27)-(D28+D29)</f>
        <v>-2283.6999999999998</v>
      </c>
      <c r="E30" s="1">
        <f t="shared" si="4"/>
        <v>-955.10000000000036</v>
      </c>
      <c r="F30" s="1">
        <f t="shared" si="4"/>
        <v>-1145.9000000000001</v>
      </c>
      <c r="G30" s="1">
        <f t="shared" si="4"/>
        <v>-441.69999999999982</v>
      </c>
    </row>
    <row r="31" spans="2:14">
      <c r="B31" s="29" t="s">
        <v>57</v>
      </c>
      <c r="D31" s="1">
        <f>D30-C30</f>
        <v>635.5</v>
      </c>
      <c r="E31" s="1">
        <f t="shared" ref="E31:F31" si="5">E30-D30</f>
        <v>1328.5999999999995</v>
      </c>
      <c r="F31" s="1">
        <f t="shared" si="5"/>
        <v>-190.79999999999973</v>
      </c>
      <c r="G31" s="1">
        <f>G30-F30</f>
        <v>704.20000000000027</v>
      </c>
    </row>
    <row r="32" spans="2:14">
      <c r="B32" s="29" t="s">
        <v>58</v>
      </c>
      <c r="D32" s="8">
        <f>(D31/D4)*100</f>
        <v>2.1398747390396657</v>
      </c>
      <c r="E32" s="8">
        <f>(E31/E4)*100</f>
        <v>4.2023026315789451</v>
      </c>
      <c r="F32" s="8">
        <f>(F31/F4)*100</f>
        <v>-0.56578596210301491</v>
      </c>
      <c r="G32" s="8">
        <f>(G31/G4)*100</f>
        <v>1.8055947283402998</v>
      </c>
    </row>
    <row r="33" spans="2:14">
      <c r="B33" s="29" t="s">
        <v>48</v>
      </c>
      <c r="C33" s="8">
        <f>(C11/C8)*100</f>
        <v>-8.365164247517189</v>
      </c>
      <c r="D33" s="8">
        <f>(D11/D8)*100</f>
        <v>-11.593274619695757</v>
      </c>
      <c r="E33" s="8">
        <f>(E11/E8)*100</f>
        <v>-9.130484591591248</v>
      </c>
      <c r="F33" s="8">
        <f>(F11/F8)*100</f>
        <v>-16.5</v>
      </c>
      <c r="G33" s="8">
        <f>(G11/G8)*100</f>
        <v>-27.532617037605529</v>
      </c>
    </row>
    <row r="34" spans="2:14">
      <c r="B34" s="29" t="s">
        <v>49</v>
      </c>
      <c r="C34" s="8">
        <f>(C8/C4)*100</f>
        <v>-20.947351576252203</v>
      </c>
      <c r="D34" s="8">
        <f>(D8/D4)*100</f>
        <v>-21.02835207758098</v>
      </c>
      <c r="E34" s="8">
        <f>(E8/E4)*100</f>
        <v>-27.609438259109311</v>
      </c>
      <c r="F34" s="8">
        <f>(F8/F4)*100</f>
        <v>-22.536547756723898</v>
      </c>
      <c r="G34" s="8">
        <f>(G8/G4)*100</f>
        <v>-13.363759903592214</v>
      </c>
    </row>
    <row r="35" spans="2:14">
      <c r="B35" s="29" t="s">
        <v>81</v>
      </c>
      <c r="C35" s="3">
        <v>8238.8700000000008</v>
      </c>
      <c r="D35" s="3">
        <v>7552.97</v>
      </c>
      <c r="E35" s="3">
        <v>6081.86</v>
      </c>
      <c r="F35" s="3">
        <v>7139.49</v>
      </c>
      <c r="G35" s="1">
        <v>7804.73</v>
      </c>
      <c r="N35" s="6"/>
    </row>
    <row r="36" spans="2:14">
      <c r="B36" s="29" t="s">
        <v>79</v>
      </c>
      <c r="C36" s="8">
        <f>(C35/C4)*100</f>
        <v>32.960753720595299</v>
      </c>
      <c r="D36" s="8">
        <f t="shared" ref="D36:G36" si="6">(D35/D4)*100</f>
        <v>25.432588053067544</v>
      </c>
      <c r="E36" s="8">
        <f t="shared" si="6"/>
        <v>19.236652327935222</v>
      </c>
      <c r="F36" s="8">
        <f t="shared" si="6"/>
        <v>21.170981229427987</v>
      </c>
      <c r="G36" s="8">
        <f t="shared" si="6"/>
        <v>20.011615086792645</v>
      </c>
    </row>
    <row r="37" spans="2:14">
      <c r="B37" s="29" t="s">
        <v>80</v>
      </c>
      <c r="C37" s="8">
        <f>(C26/C4)*100</f>
        <v>2.4435909745559288</v>
      </c>
      <c r="D37" s="8">
        <f t="shared" ref="D37:G37" si="7">(D26/D4)*100</f>
        <v>2.708263182705906</v>
      </c>
      <c r="E37" s="8">
        <f t="shared" si="7"/>
        <v>3.1278466599190287</v>
      </c>
      <c r="F37" s="8">
        <f t="shared" si="7"/>
        <v>3.8166829760104375</v>
      </c>
      <c r="G37" s="8">
        <f t="shared" si="7"/>
        <v>3.4237583651701238</v>
      </c>
      <c r="N37" s="6"/>
    </row>
    <row r="38" spans="2:14">
      <c r="B38" s="29" t="s">
        <v>83</v>
      </c>
      <c r="C38" s="1">
        <v>25384</v>
      </c>
      <c r="D38" s="1">
        <v>30919.5</v>
      </c>
      <c r="E38" s="1">
        <v>32736.7</v>
      </c>
      <c r="F38" s="1">
        <v>31658.1</v>
      </c>
      <c r="G38" s="1">
        <v>32450</v>
      </c>
    </row>
    <row r="39" spans="2:14">
      <c r="B39" s="29" t="s">
        <v>84</v>
      </c>
      <c r="C39" s="8">
        <f>(C38/C4)*100</f>
        <v>101.55224835973755</v>
      </c>
      <c r="D39" s="8">
        <f t="shared" ref="D39:G39" si="8">(D38/D4)*100</f>
        <v>104.11307158731226</v>
      </c>
      <c r="E39" s="8">
        <f t="shared" si="8"/>
        <v>103.5447241902834</v>
      </c>
      <c r="F39" s="8">
        <f t="shared" si="8"/>
        <v>93.876879281202747</v>
      </c>
      <c r="G39" s="8">
        <f t="shared" si="8"/>
        <v>83.202994795005253</v>
      </c>
      <c r="N39" s="6"/>
    </row>
    <row r="40" spans="2:14">
      <c r="B40" s="29" t="s">
        <v>88</v>
      </c>
      <c r="C40" s="2">
        <v>960</v>
      </c>
      <c r="D40" s="3">
        <v>1323</v>
      </c>
      <c r="E40" s="3">
        <v>1398</v>
      </c>
      <c r="F40" s="3">
        <v>1491</v>
      </c>
      <c r="G40" s="3">
        <v>1594</v>
      </c>
    </row>
    <row r="41" spans="2:14">
      <c r="B41" s="29" t="s">
        <v>86</v>
      </c>
      <c r="C41" s="8">
        <f>(C40/C4)*100</f>
        <v>3.8406144983197312</v>
      </c>
      <c r="D41" s="8">
        <f t="shared" ref="D41:G41" si="9">(D40/D4)*100</f>
        <v>4.4548454441376526</v>
      </c>
      <c r="E41" s="8">
        <f t="shared" si="9"/>
        <v>4.4218117408906883</v>
      </c>
      <c r="F41" s="8">
        <f t="shared" si="9"/>
        <v>4.4213148296414904</v>
      </c>
      <c r="G41" s="8">
        <f t="shared" si="9"/>
        <v>4.0870746903925541</v>
      </c>
      <c r="N41" s="6"/>
    </row>
    <row r="42" spans="2:14">
      <c r="B42" s="29" t="s">
        <v>89</v>
      </c>
      <c r="C42" s="8">
        <f>(C27/C4)*100</f>
        <v>6.2249959993598978</v>
      </c>
      <c r="D42" s="8">
        <f t="shared" ref="D42:G42" si="10">(D27/D4)*100</f>
        <v>6.8758838979055827</v>
      </c>
      <c r="E42" s="8">
        <f t="shared" si="10"/>
        <v>10.14676113360324</v>
      </c>
      <c r="F42" s="8">
        <f t="shared" si="10"/>
        <v>8.2436319425911098</v>
      </c>
      <c r="G42" s="8">
        <f t="shared" si="10"/>
        <v>9.0177174944232199</v>
      </c>
    </row>
    <row r="43" spans="2:14">
      <c r="B43" s="29" t="s">
        <v>91</v>
      </c>
      <c r="C43" s="8">
        <f>(C28/C4)*100</f>
        <v>2.6244199071851497</v>
      </c>
      <c r="D43" s="8">
        <f t="shared" ref="D43:G43" si="11">(D28/D4)*100</f>
        <v>2.8183716075156577</v>
      </c>
      <c r="E43" s="8">
        <f t="shared" si="11"/>
        <v>2.1255060728744937</v>
      </c>
      <c r="F43" s="8">
        <f t="shared" si="11"/>
        <v>2.2151054176674676</v>
      </c>
      <c r="G43" s="8">
        <f t="shared" si="11"/>
        <v>2.3076331376118562</v>
      </c>
    </row>
    <row r="44" spans="2:14">
      <c r="B44" s="29" t="s">
        <v>93</v>
      </c>
      <c r="C44" s="3">
        <v>1118</v>
      </c>
      <c r="D44" s="3">
        <v>1209.3</v>
      </c>
      <c r="E44" s="3">
        <v>1264.7</v>
      </c>
      <c r="F44" s="3">
        <v>1443</v>
      </c>
      <c r="G44" s="1">
        <v>1469</v>
      </c>
    </row>
    <row r="45" spans="2:14">
      <c r="B45" s="29" t="s">
        <v>94</v>
      </c>
      <c r="C45" s="8">
        <f>(C44/C4)*100</f>
        <v>4.4727156345015198</v>
      </c>
      <c r="D45" s="8">
        <f t="shared" ref="D45:G45" si="12">(D44/D4)*100</f>
        <v>4.0719913798909015</v>
      </c>
      <c r="E45" s="8">
        <f t="shared" si="12"/>
        <v>4.0001897773279351</v>
      </c>
      <c r="F45" s="8">
        <f t="shared" si="12"/>
        <v>4.2789787385463924</v>
      </c>
      <c r="G45" s="8">
        <f t="shared" si="12"/>
        <v>3.7665700879464628</v>
      </c>
    </row>
    <row r="46" spans="2:14">
      <c r="B46" s="29" t="s">
        <v>96</v>
      </c>
      <c r="C46" s="8">
        <f>(C15/C4)*100</f>
        <v>65.210433669387101</v>
      </c>
      <c r="D46" s="8">
        <f t="shared" ref="D46:G46" si="13">(D15/D4)*100</f>
        <v>51.821671493029832</v>
      </c>
      <c r="E46" s="8">
        <f t="shared" si="13"/>
        <v>45.388410931174086</v>
      </c>
      <c r="F46" s="8">
        <f t="shared" si="13"/>
        <v>43.115974260890191</v>
      </c>
      <c r="G46" s="8">
        <f t="shared" si="13"/>
        <v>39.947693648880801</v>
      </c>
    </row>
    <row r="47" spans="2:14">
      <c r="B47" s="29" t="s">
        <v>97</v>
      </c>
      <c r="C47" s="8">
        <f>(C29/C4)*100</f>
        <v>17.722835653704593</v>
      </c>
      <c r="D47" s="8">
        <f t="shared" ref="D47:G47" si="14">(D29/D4)*100</f>
        <v>14.455518890160954</v>
      </c>
      <c r="E47" s="8">
        <f t="shared" si="14"/>
        <v>14.17004048582996</v>
      </c>
      <c r="F47" s="8">
        <f t="shared" si="14"/>
        <v>13.243187142306438</v>
      </c>
      <c r="G47" s="8">
        <f t="shared" si="14"/>
        <v>11.266377785184996</v>
      </c>
    </row>
    <row r="48" spans="2:14" ht="14.4" customHeight="1">
      <c r="B48" s="29" t="s">
        <v>98</v>
      </c>
      <c r="C48" s="3">
        <v>3448</v>
      </c>
      <c r="D48" s="3">
        <v>4025</v>
      </c>
      <c r="E48" s="3">
        <v>4638</v>
      </c>
      <c r="F48" s="3">
        <v>5145</v>
      </c>
      <c r="G48" s="3">
        <v>6252</v>
      </c>
    </row>
    <row r="49" spans="2:7">
      <c r="B49" s="29" t="s">
        <v>99</v>
      </c>
      <c r="C49" s="3">
        <v>7573</v>
      </c>
      <c r="D49" s="3">
        <v>12689</v>
      </c>
      <c r="E49" s="3">
        <v>17181</v>
      </c>
      <c r="F49" s="3">
        <v>22589</v>
      </c>
      <c r="G49" s="3">
        <v>31301</v>
      </c>
    </row>
  </sheetData>
  <sortState xmlns:xlrd2="http://schemas.microsoft.com/office/spreadsheetml/2017/richdata2" ref="G27:G31">
    <sortCondition descending="1" ref="G27:G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31DA-143E-44C1-8FCE-F9F2C6A91E7E}">
  <dimension ref="B2:G26"/>
  <sheetViews>
    <sheetView showGridLines="0" workbookViewId="0">
      <selection activeCell="M24" sqref="M24"/>
    </sheetView>
  </sheetViews>
  <sheetFormatPr defaultRowHeight="14.4"/>
  <cols>
    <col min="1" max="1" width="3.77734375" customWidth="1"/>
    <col min="2" max="2" width="39.77734375" style="5" bestFit="1" customWidth="1"/>
    <col min="3" max="3" width="9.44140625" bestFit="1" customWidth="1"/>
  </cols>
  <sheetData>
    <row r="2" spans="2:7" ht="19.95" customHeight="1">
      <c r="B2" s="38" t="s">
        <v>43</v>
      </c>
      <c r="C2" s="38">
        <v>2025</v>
      </c>
      <c r="D2" s="38">
        <v>2026</v>
      </c>
      <c r="E2" s="38">
        <v>2027</v>
      </c>
      <c r="F2" s="38">
        <v>2028</v>
      </c>
      <c r="G2" s="38">
        <v>2029</v>
      </c>
    </row>
    <row r="3" spans="2:7" ht="14.4" customHeight="1">
      <c r="B3"/>
    </row>
    <row r="4" spans="2:7">
      <c r="B4" s="28" t="s">
        <v>47</v>
      </c>
      <c r="C4" s="9">
        <f>260*(1+6%)</f>
        <v>275.60000000000002</v>
      </c>
      <c r="D4" s="9">
        <f>C4*(1+6%)</f>
        <v>292.13600000000002</v>
      </c>
      <c r="E4" s="9">
        <f t="shared" ref="E4:G4" si="0">D4*(1+6%)</f>
        <v>309.66416000000004</v>
      </c>
      <c r="F4" s="9">
        <f t="shared" si="0"/>
        <v>328.24400960000008</v>
      </c>
      <c r="G4" s="9">
        <f t="shared" si="0"/>
        <v>347.93865017600012</v>
      </c>
    </row>
    <row r="5" spans="2:7">
      <c r="B5" s="28" t="s">
        <v>46</v>
      </c>
      <c r="C5">
        <v>6</v>
      </c>
      <c r="D5">
        <f>((D4-C4)/C4)*100</f>
        <v>6</v>
      </c>
      <c r="E5">
        <f t="shared" ref="E5:G5" si="1">((E4-D4)/D4)*100</f>
        <v>6.0000000000000036</v>
      </c>
      <c r="F5">
        <f t="shared" si="1"/>
        <v>6.0000000000000133</v>
      </c>
      <c r="G5">
        <f t="shared" si="1"/>
        <v>6.0000000000000107</v>
      </c>
    </row>
    <row r="6" spans="2:7">
      <c r="B6" s="28" t="s">
        <v>61</v>
      </c>
      <c r="C6" s="9">
        <f>150*1.05</f>
        <v>157.5</v>
      </c>
      <c r="D6" s="9">
        <f>C6*1.05</f>
        <v>165.375</v>
      </c>
      <c r="E6" s="9">
        <f t="shared" ref="E6:G6" si="2">D6*1.05</f>
        <v>173.64375000000001</v>
      </c>
      <c r="F6" s="9">
        <f t="shared" si="2"/>
        <v>182.32593750000001</v>
      </c>
      <c r="G6" s="9">
        <f t="shared" si="2"/>
        <v>191.44223437500003</v>
      </c>
    </row>
    <row r="7" spans="2:7">
      <c r="B7" s="28" t="s">
        <v>38</v>
      </c>
      <c r="C7">
        <v>54</v>
      </c>
      <c r="D7">
        <f>C7-0.5</f>
        <v>53.5</v>
      </c>
      <c r="E7">
        <f t="shared" ref="E7:G7" si="3">D7-0.5</f>
        <v>53</v>
      </c>
      <c r="F7">
        <f t="shared" si="3"/>
        <v>52.5</v>
      </c>
      <c r="G7">
        <f t="shared" si="3"/>
        <v>52</v>
      </c>
    </row>
    <row r="8" spans="2:7">
      <c r="B8" s="28" t="s">
        <v>32</v>
      </c>
      <c r="C8">
        <v>7</v>
      </c>
      <c r="D8">
        <v>7</v>
      </c>
      <c r="E8">
        <v>7</v>
      </c>
      <c r="F8">
        <v>7</v>
      </c>
      <c r="G8">
        <v>7</v>
      </c>
    </row>
    <row r="9" spans="2:7">
      <c r="B9" s="28" t="s">
        <v>33</v>
      </c>
      <c r="C9">
        <v>13</v>
      </c>
      <c r="D9">
        <v>13</v>
      </c>
      <c r="E9">
        <v>13</v>
      </c>
      <c r="F9">
        <v>13</v>
      </c>
      <c r="G9">
        <v>13</v>
      </c>
    </row>
    <row r="10" spans="2:7">
      <c r="B10" s="28" t="s">
        <v>34</v>
      </c>
      <c r="C10">
        <v>42</v>
      </c>
      <c r="D10">
        <v>42</v>
      </c>
      <c r="E10">
        <v>42</v>
      </c>
      <c r="F10">
        <v>42</v>
      </c>
      <c r="G10">
        <v>42</v>
      </c>
    </row>
    <row r="11" spans="2:7">
      <c r="B11" s="28" t="s">
        <v>45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2:7">
      <c r="B12" s="28" t="s">
        <v>35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2:7">
      <c r="B13" s="28" t="s">
        <v>48</v>
      </c>
      <c r="C13">
        <v>13</v>
      </c>
      <c r="D13">
        <v>13</v>
      </c>
      <c r="E13">
        <v>13</v>
      </c>
      <c r="F13">
        <v>13</v>
      </c>
      <c r="G13">
        <v>13</v>
      </c>
    </row>
    <row r="14" spans="2:7">
      <c r="B14" s="28" t="s">
        <v>49</v>
      </c>
      <c r="C14">
        <v>21</v>
      </c>
      <c r="D14">
        <v>21</v>
      </c>
      <c r="E14">
        <v>21</v>
      </c>
      <c r="F14">
        <v>21</v>
      </c>
      <c r="G14">
        <v>21</v>
      </c>
    </row>
    <row r="15" spans="2:7">
      <c r="B15" s="28" t="s">
        <v>50</v>
      </c>
      <c r="C15">
        <v>2</v>
      </c>
      <c r="D15">
        <v>2</v>
      </c>
      <c r="E15">
        <v>2</v>
      </c>
      <c r="F15">
        <v>2</v>
      </c>
      <c r="G15">
        <v>2</v>
      </c>
    </row>
    <row r="16" spans="2:7">
      <c r="B16" s="28" t="s">
        <v>51</v>
      </c>
      <c r="C16">
        <v>8.5</v>
      </c>
      <c r="D16">
        <v>8.5</v>
      </c>
      <c r="E16">
        <v>8.5</v>
      </c>
      <c r="F16">
        <v>8.5</v>
      </c>
      <c r="G16">
        <v>8.5</v>
      </c>
    </row>
    <row r="17" spans="2:7">
      <c r="B17" s="28" t="s">
        <v>64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2:7">
      <c r="B18" s="28" t="s">
        <v>79</v>
      </c>
      <c r="C18" s="2">
        <v>24</v>
      </c>
      <c r="D18" s="2">
        <v>24</v>
      </c>
      <c r="E18" s="2">
        <v>24</v>
      </c>
      <c r="F18" s="2">
        <v>24</v>
      </c>
      <c r="G18" s="2">
        <v>24</v>
      </c>
    </row>
    <row r="19" spans="2:7">
      <c r="B19" s="28" t="s">
        <v>80</v>
      </c>
      <c r="C19" s="2">
        <v>3</v>
      </c>
      <c r="D19" s="2">
        <v>3</v>
      </c>
      <c r="E19" s="2">
        <v>3</v>
      </c>
      <c r="F19" s="2">
        <v>3</v>
      </c>
      <c r="G19" s="2">
        <v>3</v>
      </c>
    </row>
    <row r="20" spans="2:7">
      <c r="B20" s="28" t="s">
        <v>85</v>
      </c>
      <c r="C20" s="2">
        <v>97</v>
      </c>
      <c r="D20" s="2">
        <v>97</v>
      </c>
      <c r="E20" s="2">
        <v>97</v>
      </c>
      <c r="F20" s="2">
        <v>97</v>
      </c>
      <c r="G20" s="2">
        <v>97</v>
      </c>
    </row>
    <row r="21" spans="2:7">
      <c r="B21" s="28" t="s">
        <v>87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</row>
    <row r="22" spans="2:7">
      <c r="B22" s="28" t="s">
        <v>90</v>
      </c>
      <c r="C22" s="2">
        <v>8</v>
      </c>
      <c r="D22" s="2">
        <v>8</v>
      </c>
      <c r="E22" s="2">
        <v>8</v>
      </c>
      <c r="F22" s="2">
        <v>8</v>
      </c>
      <c r="G22" s="2">
        <v>8</v>
      </c>
    </row>
    <row r="23" spans="2:7">
      <c r="B23" s="29" t="s">
        <v>92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</row>
    <row r="24" spans="2:7">
      <c r="B24" s="29" t="s">
        <v>95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</row>
    <row r="25" spans="2:7">
      <c r="B25" s="28" t="s">
        <v>96</v>
      </c>
      <c r="C25" s="2">
        <v>49</v>
      </c>
      <c r="D25" s="2">
        <v>49</v>
      </c>
      <c r="E25" s="2">
        <v>49</v>
      </c>
      <c r="F25" s="2">
        <v>49</v>
      </c>
      <c r="G25" s="2">
        <v>49</v>
      </c>
    </row>
    <row r="26" spans="2:7">
      <c r="B26" s="29" t="s">
        <v>97</v>
      </c>
      <c r="C26" s="2">
        <v>14</v>
      </c>
      <c r="D26" s="2">
        <v>14</v>
      </c>
      <c r="E26" s="2">
        <v>14</v>
      </c>
      <c r="F26" s="2">
        <v>14</v>
      </c>
      <c r="G26" s="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5"/>
  <sheetViews>
    <sheetView showGridLines="0" workbookViewId="0">
      <selection activeCell="M20" sqref="M20"/>
    </sheetView>
  </sheetViews>
  <sheetFormatPr defaultRowHeight="14.4"/>
  <cols>
    <col min="1" max="1" width="3.77734375" customWidth="1"/>
    <col min="2" max="2" width="18.77734375" bestFit="1" customWidth="1"/>
    <col min="3" max="7" width="9.88671875" bestFit="1" customWidth="1"/>
  </cols>
  <sheetData>
    <row r="2" spans="2:7" ht="19.95" customHeight="1">
      <c r="B2" s="34" t="s">
        <v>66</v>
      </c>
      <c r="C2" s="34">
        <v>2025</v>
      </c>
      <c r="D2" s="34">
        <v>2026</v>
      </c>
      <c r="E2" s="34">
        <v>2027</v>
      </c>
      <c r="F2" s="34">
        <v>2028</v>
      </c>
      <c r="G2" s="34">
        <v>2029</v>
      </c>
    </row>
    <row r="3" spans="2:7" ht="14.4" customHeight="1"/>
    <row r="4" spans="2:7">
      <c r="B4" s="29" t="s">
        <v>23</v>
      </c>
      <c r="C4" s="14">
        <f>Assumptions!C4*Assumptions!C6</f>
        <v>43407</v>
      </c>
      <c r="D4" s="14">
        <f>Assumptions!D4*Assumptions!D6</f>
        <v>48311.991000000002</v>
      </c>
      <c r="E4" s="14">
        <f>Assumptions!E4*Assumptions!E6</f>
        <v>53771.245983000008</v>
      </c>
      <c r="F4" s="14">
        <f>Assumptions!F4*Assumptions!F6</f>
        <v>59847.396779079019</v>
      </c>
      <c r="G4" s="14">
        <f>Assumptions!G4*Assumptions!G6</f>
        <v>66610.152615114959</v>
      </c>
    </row>
    <row r="5" spans="2:7">
      <c r="B5" s="4" t="s">
        <v>1</v>
      </c>
      <c r="C5" s="14">
        <f>('Income Statement'!C4*Assumptions!C7)/100</f>
        <v>23439.78</v>
      </c>
      <c r="D5" s="14">
        <f>('Income Statement'!D4*Assumptions!D7)/100</f>
        <v>25846.915185000002</v>
      </c>
      <c r="E5" s="14">
        <f>('Income Statement'!E4*Assumptions!E7)/100</f>
        <v>28498.760370990007</v>
      </c>
      <c r="F5" s="14">
        <f>('Income Statement'!F4*Assumptions!F7)/100</f>
        <v>31419.883309016484</v>
      </c>
      <c r="G5" s="14">
        <f>('Income Statement'!G4*Assumptions!G7)/100</f>
        <v>34637.279359859778</v>
      </c>
    </row>
    <row r="6" spans="2:7">
      <c r="B6" s="4" t="s">
        <v>8</v>
      </c>
      <c r="C6" s="15">
        <f>C4-C5</f>
        <v>19967.22</v>
      </c>
      <c r="D6" s="15">
        <f t="shared" ref="D6:G6" si="0">D4-D5</f>
        <v>22465.075815</v>
      </c>
      <c r="E6" s="15">
        <f t="shared" si="0"/>
        <v>25272.485612010001</v>
      </c>
      <c r="F6" s="15">
        <f t="shared" si="0"/>
        <v>28427.513470062535</v>
      </c>
      <c r="G6" s="15">
        <f t="shared" si="0"/>
        <v>31972.873255255181</v>
      </c>
    </row>
    <row r="7" spans="2:7">
      <c r="B7" s="4" t="s">
        <v>59</v>
      </c>
      <c r="C7" s="15">
        <f>(C4*Assumptions!C8)/100</f>
        <v>3038.49</v>
      </c>
      <c r="D7" s="15">
        <f>(D4*Assumptions!D8)/100</f>
        <v>3381.8393700000001</v>
      </c>
      <c r="E7" s="15">
        <f>(E4*Assumptions!E8)/100</f>
        <v>3763.9872188100003</v>
      </c>
      <c r="F7" s="15">
        <f>(F4*Assumptions!F8)/100</f>
        <v>4189.3177745355315</v>
      </c>
      <c r="G7" s="15">
        <f>(G4*Assumptions!G8)/100</f>
        <v>4662.7106830580478</v>
      </c>
    </row>
    <row r="8" spans="2:7">
      <c r="B8" s="4" t="s">
        <v>60</v>
      </c>
      <c r="C8" s="15">
        <f>(C4*Assumptions!C9)/100</f>
        <v>5642.91</v>
      </c>
      <c r="D8" s="15">
        <f>(D4*Assumptions!D9)/100</f>
        <v>6280.5588299999999</v>
      </c>
      <c r="E8" s="15">
        <f>(E4*Assumptions!E9)/100</f>
        <v>6990.2619777900018</v>
      </c>
      <c r="F8" s="15">
        <f>(F4*Assumptions!F9)/100</f>
        <v>7780.161581280272</v>
      </c>
      <c r="G8" s="15">
        <f>(G4*Assumptions!G9)/100</f>
        <v>8659.3198399649445</v>
      </c>
    </row>
    <row r="9" spans="2:7">
      <c r="B9" s="4" t="s">
        <v>9</v>
      </c>
      <c r="C9" s="15">
        <f>C4-C5-C7-C8</f>
        <v>11285.820000000003</v>
      </c>
      <c r="D9" s="15">
        <f t="shared" ref="D9:G9" si="1">D4-D5-D7-D8</f>
        <v>12802.677614999999</v>
      </c>
      <c r="E9" s="15">
        <f t="shared" si="1"/>
        <v>14518.236415409998</v>
      </c>
      <c r="F9" s="15">
        <f t="shared" si="1"/>
        <v>16458.03411424673</v>
      </c>
      <c r="G9" s="15">
        <f t="shared" si="1"/>
        <v>18650.842732232188</v>
      </c>
    </row>
    <row r="10" spans="2:7">
      <c r="B10" s="4" t="s">
        <v>2</v>
      </c>
      <c r="C10" s="15">
        <f>(C4*Assumptions!C10)/100</f>
        <v>18230.939999999999</v>
      </c>
      <c r="D10" s="15">
        <f>(D4*Assumptions!D10)/100</f>
        <v>20291.036219999998</v>
      </c>
      <c r="E10" s="15">
        <f>(E4*Assumptions!E10)/100</f>
        <v>22583.923312860006</v>
      </c>
      <c r="F10" s="15">
        <f>(F4*Assumptions!F10)/100</f>
        <v>25135.906647213189</v>
      </c>
      <c r="G10" s="15">
        <f>(G4*Assumptions!G10)/100</f>
        <v>27976.264098348282</v>
      </c>
    </row>
    <row r="11" spans="2:7">
      <c r="B11" s="4" t="s">
        <v>3</v>
      </c>
      <c r="C11" s="15">
        <f>C9-C10</f>
        <v>-6945.1199999999953</v>
      </c>
      <c r="D11" s="15">
        <f t="shared" ref="D11:G11" si="2">D9-D10</f>
        <v>-7488.3586049999994</v>
      </c>
      <c r="E11" s="15">
        <f t="shared" si="2"/>
        <v>-8065.6868974500085</v>
      </c>
      <c r="F11" s="15">
        <f t="shared" si="2"/>
        <v>-8677.8725329664594</v>
      </c>
      <c r="G11" s="15">
        <f t="shared" si="2"/>
        <v>-9325.4213661160938</v>
      </c>
    </row>
    <row r="12" spans="2:7">
      <c r="B12" s="4" t="s">
        <v>4</v>
      </c>
      <c r="C12" s="8">
        <f>(13602*6)/100</f>
        <v>816.12</v>
      </c>
      <c r="D12" s="8">
        <f t="shared" ref="D12:G12" si="3">(13602*6)/100</f>
        <v>816.12</v>
      </c>
      <c r="E12" s="8">
        <f t="shared" si="3"/>
        <v>816.12</v>
      </c>
      <c r="F12" s="8">
        <f t="shared" si="3"/>
        <v>816.12</v>
      </c>
      <c r="G12" s="8">
        <f t="shared" si="3"/>
        <v>816.12</v>
      </c>
    </row>
    <row r="13" spans="2:7">
      <c r="B13" s="4" t="s">
        <v>10</v>
      </c>
      <c r="C13" s="15">
        <f>C11-C12</f>
        <v>-7761.2399999999952</v>
      </c>
      <c r="D13" s="15">
        <f t="shared" ref="D13:G13" si="4">D11-D12</f>
        <v>-8304.4786050000002</v>
      </c>
      <c r="E13" s="15">
        <f t="shared" si="4"/>
        <v>-8881.8068974500093</v>
      </c>
      <c r="F13" s="15">
        <f t="shared" si="4"/>
        <v>-9493.9925329664602</v>
      </c>
      <c r="G13" s="15">
        <f t="shared" si="4"/>
        <v>-10141.541366116095</v>
      </c>
    </row>
    <row r="14" spans="2:7">
      <c r="B14" s="4" t="s">
        <v>5</v>
      </c>
      <c r="C14">
        <f>MAX(0,C13)*Assumptions!C13</f>
        <v>0</v>
      </c>
      <c r="D14">
        <f>MAX(0,D13)*Assumptions!D13</f>
        <v>0</v>
      </c>
      <c r="E14">
        <f>MAX(0,E13)*Assumptions!E13</f>
        <v>0</v>
      </c>
      <c r="F14">
        <f>MAX(0,F13)*Assumptions!F13</f>
        <v>0</v>
      </c>
      <c r="G14">
        <f>MAX(0,G13)*Assumptions!G13</f>
        <v>0</v>
      </c>
    </row>
    <row r="15" spans="2:7">
      <c r="B15" s="4" t="s">
        <v>6</v>
      </c>
      <c r="C15" s="15">
        <f>C13-C14</f>
        <v>-7761.2399999999952</v>
      </c>
      <c r="D15" s="15">
        <f t="shared" ref="D15:G15" si="5">D13-D14</f>
        <v>-8304.4786050000002</v>
      </c>
      <c r="E15" s="15">
        <f t="shared" si="5"/>
        <v>-8881.8068974500093</v>
      </c>
      <c r="F15" s="15">
        <f t="shared" si="5"/>
        <v>-9493.9925329664602</v>
      </c>
      <c r="G15" s="15">
        <f t="shared" si="5"/>
        <v>-10141.541366116095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2"/>
  <sheetViews>
    <sheetView showGridLines="0" workbookViewId="0">
      <selection activeCell="L21" sqref="L21"/>
    </sheetView>
  </sheetViews>
  <sheetFormatPr defaultRowHeight="14.4"/>
  <cols>
    <col min="1" max="1" width="3.77734375" customWidth="1"/>
    <col min="2" max="2" width="15.21875" bestFit="1" customWidth="1"/>
    <col min="3" max="3" width="46.5546875" style="5" bestFit="1" customWidth="1"/>
  </cols>
  <sheetData>
    <row r="2" spans="2:15" ht="19.95" customHeight="1">
      <c r="C2" s="33" t="s">
        <v>66</v>
      </c>
      <c r="D2" s="33">
        <v>2025</v>
      </c>
      <c r="E2" s="33">
        <v>2026</v>
      </c>
      <c r="F2" s="33">
        <v>2027</v>
      </c>
      <c r="G2" s="33">
        <v>2028</v>
      </c>
      <c r="H2" s="33">
        <v>2029</v>
      </c>
    </row>
    <row r="3" spans="2:15" ht="14.4" customHeight="1">
      <c r="C3"/>
    </row>
    <row r="4" spans="2:15" ht="15.6">
      <c r="B4" s="21" t="s">
        <v>71</v>
      </c>
    </row>
    <row r="5" spans="2:15" ht="15.6">
      <c r="B5" s="22"/>
      <c r="C5" s="18" t="s">
        <v>82</v>
      </c>
      <c r="D5" s="8">
        <f>('Income Statement'!C4*Assumptions!C18)/100</f>
        <v>10417.68</v>
      </c>
      <c r="E5" s="8">
        <f>('Income Statement'!D4*Assumptions!D18)/100</f>
        <v>11594.877839999999</v>
      </c>
      <c r="F5" s="8">
        <f>('Income Statement'!E4*Assumptions!E18)/100</f>
        <v>12905.099035920002</v>
      </c>
      <c r="G5" s="8">
        <f>('Income Statement'!F4*Assumptions!F18)/100</f>
        <v>14363.375226978964</v>
      </c>
      <c r="H5" s="8">
        <f>('Income Statement'!G4*Assumptions!G18)/100</f>
        <v>15986.43662762759</v>
      </c>
      <c r="O5" s="5"/>
    </row>
    <row r="6" spans="2:15" ht="15.6">
      <c r="B6" s="22"/>
      <c r="C6" s="19" t="s">
        <v>11</v>
      </c>
      <c r="D6" s="8">
        <f>('Income Statement'!C4*Assumptions!C19)/100</f>
        <v>1302.21</v>
      </c>
      <c r="E6" s="8">
        <f>('Income Statement'!D4*Assumptions!D19)/100</f>
        <v>1449.3597299999999</v>
      </c>
      <c r="F6" s="8">
        <f>('Income Statement'!E4*Assumptions!E19)/100</f>
        <v>1613.1373794900003</v>
      </c>
      <c r="G6" s="8">
        <f>('Income Statement'!F4*Assumptions!F19)/100</f>
        <v>1795.4219033723705</v>
      </c>
      <c r="H6" s="8">
        <f>('Income Statement'!G4*Assumptions!G19)/100</f>
        <v>1998.3045784534488</v>
      </c>
      <c r="O6" s="16"/>
    </row>
    <row r="7" spans="2:15" ht="15.6">
      <c r="B7" s="22"/>
      <c r="C7" s="19" t="s">
        <v>75</v>
      </c>
      <c r="D7" s="8">
        <f>('Income Statement'!C4*Assumptions!C20)/100</f>
        <v>42104.79</v>
      </c>
      <c r="E7" s="8">
        <f>('Income Statement'!D4*Assumptions!D20)/100</f>
        <v>46862.631270000005</v>
      </c>
      <c r="F7" s="8">
        <f>('Income Statement'!E4*Assumptions!E20)/100</f>
        <v>52158.108603510009</v>
      </c>
      <c r="G7" s="8">
        <f>('Income Statement'!F4*Assumptions!F20)/100</f>
        <v>58051.974875706648</v>
      </c>
      <c r="H7" s="8">
        <f>('Income Statement'!G4*Assumptions!G20)/100</f>
        <v>64611.848036661511</v>
      </c>
      <c r="O7" s="16"/>
    </row>
    <row r="8" spans="2:15" ht="15.6">
      <c r="B8" s="22"/>
      <c r="C8" s="19" t="s">
        <v>67</v>
      </c>
      <c r="D8" s="8">
        <f>('Income Statement'!C4*Assumptions!C21)/100</f>
        <v>1736.28</v>
      </c>
      <c r="E8" s="8">
        <f>('Income Statement'!D4*Assumptions!D21)/100</f>
        <v>1932.47964</v>
      </c>
      <c r="F8" s="8">
        <f>('Income Statement'!E4*Assumptions!E21)/100</f>
        <v>2150.8498393200002</v>
      </c>
      <c r="G8" s="8">
        <f>('Income Statement'!F4*Assumptions!F21)/100</f>
        <v>2393.8958711631608</v>
      </c>
      <c r="H8" s="8">
        <f>('Income Statement'!G4*Assumptions!G21)/100</f>
        <v>2664.4061046045986</v>
      </c>
    </row>
    <row r="9" spans="2:15" ht="15.6">
      <c r="B9" s="22"/>
      <c r="C9" s="19" t="s">
        <v>76</v>
      </c>
      <c r="D9" s="8">
        <f>('Income Statement'!C4*Assumptions!C22)/100</f>
        <v>3472.56</v>
      </c>
      <c r="E9" s="8">
        <f>('Income Statement'!D4*Assumptions!D22)/100</f>
        <v>3864.95928</v>
      </c>
      <c r="F9" s="8">
        <f>('Income Statement'!E4*Assumptions!E22)/100</f>
        <v>4301.6996786400005</v>
      </c>
      <c r="G9" s="8">
        <f>('Income Statement'!F4*Assumptions!F22)/100</f>
        <v>4787.7917423263216</v>
      </c>
      <c r="H9" s="8">
        <f>('Income Statement'!G4*Assumptions!G22)/100</f>
        <v>5328.8122092091971</v>
      </c>
    </row>
    <row r="10" spans="2:15" ht="15.6">
      <c r="B10" s="23" t="s">
        <v>12</v>
      </c>
      <c r="C10" s="24"/>
      <c r="D10" s="25">
        <f>SUM(D5:D9)</f>
        <v>59033.52</v>
      </c>
      <c r="E10" s="25">
        <f t="shared" ref="E10:H10" si="0">SUM(E5:E9)</f>
        <v>65704.307759999996</v>
      </c>
      <c r="F10" s="25">
        <f t="shared" si="0"/>
        <v>73128.894536880005</v>
      </c>
      <c r="G10" s="25">
        <f t="shared" si="0"/>
        <v>81392.459619547473</v>
      </c>
      <c r="H10" s="26">
        <f t="shared" si="0"/>
        <v>90589.807556556334</v>
      </c>
    </row>
    <row r="11" spans="2:15" ht="15.6">
      <c r="B11" s="21"/>
      <c r="C11" s="4"/>
      <c r="D11" s="8"/>
      <c r="E11" s="8"/>
      <c r="F11" s="8"/>
      <c r="G11" s="8"/>
      <c r="H11" s="8"/>
      <c r="K11" s="8"/>
    </row>
    <row r="12" spans="2:15" ht="15.6">
      <c r="B12" s="21" t="s">
        <v>72</v>
      </c>
      <c r="C12" s="4"/>
      <c r="N12" s="1"/>
    </row>
    <row r="13" spans="2:15" ht="15.6">
      <c r="B13" s="22"/>
      <c r="C13" s="19" t="s">
        <v>13</v>
      </c>
      <c r="D13" s="8">
        <f>('Income Statement'!C4*Assumptions!C23)/100</f>
        <v>868.14</v>
      </c>
      <c r="E13" s="8">
        <f>('Income Statement'!D4*Assumptions!D23)/100</f>
        <v>966.23982000000001</v>
      </c>
      <c r="F13" s="8">
        <f>('Income Statement'!E4*Assumptions!E23)/100</f>
        <v>1075.4249196600001</v>
      </c>
      <c r="G13" s="8">
        <f>('Income Statement'!F4*Assumptions!F23)/100</f>
        <v>1196.9479355815804</v>
      </c>
      <c r="H13" s="8">
        <f>('Income Statement'!G4*Assumptions!G23)/100</f>
        <v>1332.2030523022993</v>
      </c>
      <c r="O13" s="16"/>
    </row>
    <row r="14" spans="2:15" ht="15.6">
      <c r="B14" s="22"/>
      <c r="C14" s="19" t="s">
        <v>77</v>
      </c>
      <c r="D14" s="8">
        <f>('Income Statement'!C4*Assumptions!C24)/100</f>
        <v>1736.28</v>
      </c>
      <c r="E14" s="8">
        <f>('Income Statement'!D4*Assumptions!D24)/100</f>
        <v>1932.47964</v>
      </c>
      <c r="F14" s="8">
        <f>('Income Statement'!E4*Assumptions!E24)/100</f>
        <v>2150.8498393200002</v>
      </c>
      <c r="G14" s="8">
        <f>('Income Statement'!F4*Assumptions!F24)/100</f>
        <v>2393.8958711631608</v>
      </c>
      <c r="H14" s="8">
        <f>('Income Statement'!G4*Assumptions!G24)/100</f>
        <v>2664.4061046045986</v>
      </c>
      <c r="O14" s="16"/>
    </row>
    <row r="15" spans="2:15" ht="15.6">
      <c r="B15" s="22"/>
      <c r="C15" s="19" t="s">
        <v>78</v>
      </c>
      <c r="D15" s="8">
        <f>('Income Statement'!C4*Assumptions!C25)/100</f>
        <v>21269.43</v>
      </c>
      <c r="E15" s="8">
        <f>('Income Statement'!D4*Assumptions!D25)/100</f>
        <v>23672.87559</v>
      </c>
      <c r="F15" s="8">
        <f>('Income Statement'!E4*Assumptions!E25)/100</f>
        <v>26347.910531670004</v>
      </c>
      <c r="G15" s="8">
        <f>('Income Statement'!F4*Assumptions!F25)/100</f>
        <v>29325.22442174872</v>
      </c>
      <c r="H15" s="8">
        <f>('Income Statement'!G4*Assumptions!G25)/100</f>
        <v>32638.97478140633</v>
      </c>
      <c r="O15" s="16"/>
    </row>
    <row r="16" spans="2:15" ht="15.6">
      <c r="B16" s="22"/>
      <c r="C16" s="19" t="s">
        <v>73</v>
      </c>
      <c r="D16" s="8">
        <f>('Income Statement'!C4*Assumptions!C26)/100</f>
        <v>6076.98</v>
      </c>
      <c r="E16" s="8">
        <f>('Income Statement'!D4*Assumptions!D26)/100</f>
        <v>6763.6787400000003</v>
      </c>
      <c r="F16" s="8">
        <f>('Income Statement'!E4*Assumptions!E26)/100</f>
        <v>7527.9744376200006</v>
      </c>
      <c r="G16" s="8">
        <f>('Income Statement'!F4*Assumptions!F26)/100</f>
        <v>8378.635549071063</v>
      </c>
      <c r="H16" s="8">
        <f>('Income Statement'!G4*Assumptions!G26)/100</f>
        <v>9325.4213661160957</v>
      </c>
      <c r="O16" s="16"/>
    </row>
    <row r="17" spans="2:15" ht="15.6">
      <c r="B17" s="23" t="s">
        <v>68</v>
      </c>
      <c r="C17" s="24"/>
      <c r="D17" s="25">
        <f>SUM(D13:D16)</f>
        <v>29950.829999999998</v>
      </c>
      <c r="E17" s="25">
        <f t="shared" ref="E17:H17" si="1">SUM(E13:E16)</f>
        <v>33335.273789999999</v>
      </c>
      <c r="F17" s="25">
        <f t="shared" si="1"/>
        <v>37102.15972827001</v>
      </c>
      <c r="G17" s="25">
        <f t="shared" si="1"/>
        <v>41294.703777564522</v>
      </c>
      <c r="H17" s="26">
        <f t="shared" si="1"/>
        <v>45961.005304429324</v>
      </c>
      <c r="O17" s="17"/>
    </row>
    <row r="18" spans="2:15" ht="15.6">
      <c r="B18" s="21"/>
      <c r="C18" s="4"/>
      <c r="D18" s="20"/>
      <c r="E18" s="20"/>
      <c r="F18" s="20"/>
      <c r="G18" s="20"/>
      <c r="H18" s="20"/>
      <c r="O18" s="17"/>
    </row>
    <row r="19" spans="2:15" ht="15.6">
      <c r="B19" s="21" t="s">
        <v>74</v>
      </c>
      <c r="C19" s="4"/>
    </row>
    <row r="20" spans="2:15" ht="15.6">
      <c r="B20" s="22"/>
      <c r="C20" s="19" t="s">
        <v>98</v>
      </c>
      <c r="D20" s="3">
        <v>6252</v>
      </c>
      <c r="E20" s="3">
        <v>6252</v>
      </c>
      <c r="F20" s="3">
        <v>6252</v>
      </c>
      <c r="G20" s="3">
        <v>6252</v>
      </c>
      <c r="H20" s="3">
        <v>6252</v>
      </c>
      <c r="O20" s="16"/>
    </row>
    <row r="21" spans="2:15" ht="15.6">
      <c r="B21" s="22"/>
      <c r="C21" s="19" t="s">
        <v>69</v>
      </c>
      <c r="D21" s="1">
        <f>'Historical Financials'!G49+'Income Statement'!C15</f>
        <v>23539.760000000006</v>
      </c>
      <c r="E21" s="1">
        <f>D21+'Income Statement'!D15</f>
        <v>15235.281395000005</v>
      </c>
      <c r="F21" s="1">
        <f>E21+'Income Statement'!E15</f>
        <v>6353.4744975499962</v>
      </c>
      <c r="G21" s="1">
        <f>F21+'Income Statement'!F15</f>
        <v>-3140.518035416464</v>
      </c>
      <c r="H21" s="1">
        <f>G21+'Income Statement'!G15</f>
        <v>-13282.059401532559</v>
      </c>
    </row>
    <row r="22" spans="2:15" ht="15.6">
      <c r="B22" s="21" t="s">
        <v>70</v>
      </c>
      <c r="C22" s="4"/>
      <c r="D22" s="27">
        <f>SUM(D20:D21)</f>
        <v>29791.760000000006</v>
      </c>
      <c r="E22" s="27">
        <f t="shared" ref="E22:H22" si="2">SUM(E20:E21)</f>
        <v>21487.281395000005</v>
      </c>
      <c r="F22" s="27">
        <f t="shared" si="2"/>
        <v>12605.474497549996</v>
      </c>
      <c r="G22" s="27">
        <f t="shared" si="2"/>
        <v>3111.481964583536</v>
      </c>
      <c r="H22" s="27">
        <f t="shared" si="2"/>
        <v>-7030.0594015325587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2"/>
  <sheetViews>
    <sheetView showGridLines="0" workbookViewId="0">
      <selection activeCell="S14" sqref="S14"/>
    </sheetView>
  </sheetViews>
  <sheetFormatPr defaultRowHeight="14.4"/>
  <cols>
    <col min="1" max="1" width="3.77734375" customWidth="1"/>
    <col min="2" max="2" width="26.77734375" bestFit="1" customWidth="1"/>
    <col min="7" max="7" width="9.6640625" customWidth="1"/>
  </cols>
  <sheetData>
    <row r="2" spans="2:7" ht="19.95" customHeight="1">
      <c r="B2" s="36" t="s">
        <v>7</v>
      </c>
      <c r="C2" s="36">
        <v>2025</v>
      </c>
      <c r="D2" s="36">
        <v>2026</v>
      </c>
      <c r="E2" s="36">
        <v>2027</v>
      </c>
      <c r="F2" s="36">
        <v>2028</v>
      </c>
      <c r="G2" s="36">
        <v>2029</v>
      </c>
    </row>
    <row r="3" spans="2:7" ht="14.4" customHeight="1"/>
    <row r="4" spans="2:7">
      <c r="B4" s="28" t="s">
        <v>6</v>
      </c>
      <c r="C4" s="8">
        <f>'Income Statement'!C15</f>
        <v>-7761.2399999999952</v>
      </c>
      <c r="D4" s="8">
        <f>'Income Statement'!D15</f>
        <v>-8304.4786050000002</v>
      </c>
      <c r="E4" s="8">
        <f>'Income Statement'!E15</f>
        <v>-8881.8068974500093</v>
      </c>
      <c r="F4" s="8">
        <f>'Income Statement'!F15</f>
        <v>-9493.9925329664602</v>
      </c>
      <c r="G4" s="8">
        <f>'Income Statement'!G15</f>
        <v>-10141.541366116095</v>
      </c>
    </row>
    <row r="5" spans="2:7">
      <c r="B5" s="28" t="s">
        <v>14</v>
      </c>
      <c r="C5" s="8">
        <f>'Income Statement'!C10</f>
        <v>18230.939999999999</v>
      </c>
      <c r="D5" s="8">
        <f>'Income Statement'!D10</f>
        <v>20291.036219999998</v>
      </c>
      <c r="E5" s="8">
        <f>'Income Statement'!E10</f>
        <v>22583.923312860006</v>
      </c>
      <c r="F5" s="8">
        <f>'Income Statement'!F10</f>
        <v>25135.906647213189</v>
      </c>
      <c r="G5" s="8">
        <f>'Income Statement'!G10</f>
        <v>27976.264098348282</v>
      </c>
    </row>
    <row r="6" spans="2:7">
      <c r="B6" s="28" t="s">
        <v>15</v>
      </c>
      <c r="C6" s="8">
        <v>2128.2700000000004</v>
      </c>
      <c r="D6" s="8">
        <v>-1147.0209900000009</v>
      </c>
      <c r="E6" s="8">
        <v>60.969038130001536</v>
      </c>
      <c r="F6" s="8">
        <v>67.858539438690059</v>
      </c>
      <c r="G6" s="8">
        <v>75.526554395262792</v>
      </c>
    </row>
    <row r="7" spans="2:7">
      <c r="B7" s="28" t="s">
        <v>16</v>
      </c>
      <c r="C7" s="8">
        <f>C4+C5-C6</f>
        <v>8341.4300000000039</v>
      </c>
      <c r="D7" s="8">
        <f t="shared" ref="D7:G7" si="0">D4+D5-D6</f>
        <v>13133.578604999999</v>
      </c>
      <c r="E7" s="8">
        <f t="shared" si="0"/>
        <v>13641.147377279995</v>
      </c>
      <c r="F7" s="8">
        <f t="shared" si="0"/>
        <v>15574.055574808039</v>
      </c>
      <c r="G7" s="8">
        <f t="shared" si="0"/>
        <v>17759.196177836922</v>
      </c>
    </row>
    <row r="8" spans="2:7">
      <c r="B8" s="28" t="s">
        <v>17</v>
      </c>
      <c r="C8" s="8">
        <f>('Income Statement'!C4*Assumptions!C11)/100</f>
        <v>868.14</v>
      </c>
      <c r="D8" s="8">
        <f>('Income Statement'!D4*Assumptions!D11)/100</f>
        <v>966.23982000000001</v>
      </c>
      <c r="E8" s="8">
        <f>('Income Statement'!E4*Assumptions!E11)/100</f>
        <v>1075.4249196600001</v>
      </c>
      <c r="F8" s="8">
        <f>('Income Statement'!F4*Assumptions!F11)/100</f>
        <v>1196.9479355815804</v>
      </c>
      <c r="G8" s="8">
        <f>('Income Statement'!G4*Assumptions!G11)/100</f>
        <v>1332.2030523022993</v>
      </c>
    </row>
    <row r="9" spans="2:7">
      <c r="B9" s="28" t="s">
        <v>18</v>
      </c>
      <c r="C9" s="8">
        <f>C8</f>
        <v>868.14</v>
      </c>
      <c r="D9" s="8">
        <f t="shared" ref="D9:G9" si="1">D8</f>
        <v>966.23982000000001</v>
      </c>
      <c r="E9" s="8">
        <f t="shared" si="1"/>
        <v>1075.4249196600001</v>
      </c>
      <c r="F9" s="8">
        <f t="shared" si="1"/>
        <v>1196.9479355815804</v>
      </c>
      <c r="G9" s="8">
        <f t="shared" si="1"/>
        <v>1332.2030523022993</v>
      </c>
    </row>
    <row r="10" spans="2:7">
      <c r="B10" s="28" t="s">
        <v>19</v>
      </c>
      <c r="C10" s="8">
        <f>'Balance Sheet'!D15-'Historical Financials'!G15</f>
        <v>5689.43</v>
      </c>
      <c r="D10" s="8">
        <f>'Balance Sheet'!E15-'Cash Flow Statement'!C10</f>
        <v>17983.445589999999</v>
      </c>
      <c r="E10" s="8">
        <f>'Balance Sheet'!F15-'Cash Flow Statement'!D10</f>
        <v>8364.4649416700049</v>
      </c>
      <c r="F10" s="8">
        <f>'Balance Sheet'!G15-'Cash Flow Statement'!E10</f>
        <v>20960.759480078716</v>
      </c>
      <c r="G10" s="8">
        <f>'Balance Sheet'!H15-'Cash Flow Statement'!F10</f>
        <v>11678.215301327615</v>
      </c>
    </row>
    <row r="11" spans="2:7">
      <c r="B11" s="28" t="s">
        <v>20</v>
      </c>
      <c r="C11" s="8">
        <f>C10</f>
        <v>5689.43</v>
      </c>
      <c r="D11" s="8">
        <f t="shared" ref="D11:G11" si="2">D10</f>
        <v>17983.445589999999</v>
      </c>
      <c r="E11" s="8">
        <f t="shared" si="2"/>
        <v>8364.4649416700049</v>
      </c>
      <c r="F11" s="8">
        <f t="shared" si="2"/>
        <v>20960.759480078716</v>
      </c>
      <c r="G11" s="8">
        <f t="shared" si="2"/>
        <v>11678.215301327615</v>
      </c>
    </row>
    <row r="12" spans="2:7">
      <c r="B12" s="28" t="s">
        <v>21</v>
      </c>
      <c r="C12" s="8">
        <f>C7+(-C8)+C11</f>
        <v>13162.720000000005</v>
      </c>
      <c r="D12" s="8">
        <f t="shared" ref="D12:G12" si="3">D7+(-D8)+D11</f>
        <v>30150.784374999996</v>
      </c>
      <c r="E12" s="8">
        <f t="shared" si="3"/>
        <v>20930.18739929</v>
      </c>
      <c r="F12" s="8">
        <f t="shared" si="3"/>
        <v>35337.86711930517</v>
      </c>
      <c r="G12" s="8">
        <f t="shared" si="3"/>
        <v>28105.208426862238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2"/>
  <sheetViews>
    <sheetView showGridLines="0" workbookViewId="0">
      <selection activeCell="H26" sqref="H26"/>
    </sheetView>
  </sheetViews>
  <sheetFormatPr defaultRowHeight="14.4"/>
  <cols>
    <col min="1" max="1" width="3.77734375" customWidth="1"/>
    <col min="2" max="2" width="32.77734375" customWidth="1"/>
    <col min="3" max="3" width="11.5546875" bestFit="1" customWidth="1"/>
    <col min="4" max="4" width="14.109375" bestFit="1" customWidth="1"/>
    <col min="5" max="5" width="12.5546875" bestFit="1" customWidth="1"/>
    <col min="6" max="7" width="11.5546875" bestFit="1" customWidth="1"/>
  </cols>
  <sheetData>
    <row r="2" spans="2:7" ht="19.95" customHeight="1">
      <c r="B2" s="35" t="s">
        <v>0</v>
      </c>
      <c r="C2" s="35">
        <v>2025</v>
      </c>
      <c r="D2" s="35">
        <v>2026</v>
      </c>
      <c r="E2" s="35">
        <v>2027</v>
      </c>
      <c r="F2" s="35">
        <v>2028</v>
      </c>
      <c r="G2" s="35">
        <v>2029</v>
      </c>
    </row>
    <row r="3" spans="2:7" ht="14.4" customHeight="1"/>
    <row r="4" spans="2:7" ht="14.4" customHeight="1">
      <c r="B4" s="29" t="s">
        <v>27</v>
      </c>
      <c r="C4" s="30">
        <f>'[1]Income Statement'!C10</f>
        <v>-6945.1199999999953</v>
      </c>
      <c r="D4" s="30">
        <f>'[1]Income Statement'!D10</f>
        <v>-7488.3586049999994</v>
      </c>
      <c r="E4" s="30">
        <f>'[1]Income Statement'!E10</f>
        <v>-8065.6868974500085</v>
      </c>
      <c r="F4" s="30">
        <f>'[1]Income Statement'!F10</f>
        <v>-8677.8725329664594</v>
      </c>
      <c r="G4" s="30">
        <f>'[1]Income Statement'!G10</f>
        <v>-9325.4213661160938</v>
      </c>
    </row>
    <row r="5" spans="2:7" ht="14.4" customHeight="1">
      <c r="B5" s="29" t="s">
        <v>101</v>
      </c>
      <c r="C5" s="18">
        <f>[1]Assumptions!C12</f>
        <v>13</v>
      </c>
      <c r="D5" s="18">
        <f>[1]Assumptions!D12</f>
        <v>13</v>
      </c>
      <c r="E5" s="18">
        <f>[1]Assumptions!E12</f>
        <v>13</v>
      </c>
      <c r="F5" s="18">
        <f>[1]Assumptions!F12</f>
        <v>13</v>
      </c>
      <c r="G5" s="18">
        <f>[1]Assumptions!G12</f>
        <v>13</v>
      </c>
    </row>
    <row r="6" spans="2:7" ht="14.4" customHeight="1">
      <c r="B6" s="29" t="s">
        <v>102</v>
      </c>
      <c r="C6" s="31">
        <f>('[1]Income Statement'!C10*(1-'[1]Valuation (DCF)'!B3/100))</f>
        <v>-6042.2543999999962</v>
      </c>
      <c r="D6" s="31">
        <f>('[1]Income Statement'!D10*(1-'[1]Valuation (DCF)'!C3/100))</f>
        <v>-6514.8719863499991</v>
      </c>
      <c r="E6" s="31">
        <f>('[1]Income Statement'!E10*(1-'[1]Valuation (DCF)'!D3/100))</f>
        <v>-7017.1476007815072</v>
      </c>
      <c r="F6" s="31">
        <f>('[1]Income Statement'!F10*(1-'[1]Valuation (DCF)'!E3/100))</f>
        <v>-7549.7491036808196</v>
      </c>
      <c r="G6" s="31">
        <f>('[1]Income Statement'!G10*(1-'[1]Valuation (DCF)'!F3/100))</f>
        <v>-8113.1165885210012</v>
      </c>
    </row>
    <row r="7" spans="2:7" ht="14.4" customHeight="1">
      <c r="B7" s="29" t="s">
        <v>103</v>
      </c>
      <c r="C7" s="31">
        <f>'[1]Income Statement'!C9</f>
        <v>18230.939999999999</v>
      </c>
      <c r="D7" s="31">
        <f>'[1]Income Statement'!D9</f>
        <v>20291.036219999998</v>
      </c>
      <c r="E7" s="31">
        <f>'[1]Income Statement'!E9</f>
        <v>22583.923312860006</v>
      </c>
      <c r="F7" s="31">
        <f>'[1]Income Statement'!F9</f>
        <v>25135.906647213189</v>
      </c>
      <c r="G7" s="31">
        <f>'[1]Income Statement'!G9</f>
        <v>27976.264098348282</v>
      </c>
    </row>
    <row r="8" spans="2:7" ht="14.4" customHeight="1">
      <c r="B8" s="29" t="s">
        <v>104</v>
      </c>
      <c r="C8" s="31">
        <f>('[1]Income Statement'!C3*[1]Assumptions!C10/100)</f>
        <v>868.14</v>
      </c>
      <c r="D8" s="31">
        <f>('[1]Income Statement'!D3*[1]Assumptions!D10/100)</f>
        <v>966.23982000000001</v>
      </c>
      <c r="E8" s="31">
        <f>('[1]Income Statement'!E3*[1]Assumptions!E10/100)</f>
        <v>1075.4249196600001</v>
      </c>
      <c r="F8" s="31">
        <f>('[1]Income Statement'!F3*[1]Assumptions!F10/100)</f>
        <v>1196.9479355815804</v>
      </c>
      <c r="G8" s="31">
        <f>('[1]Income Statement'!G3*[1]Assumptions!G10/100)</f>
        <v>1332.2030523022993</v>
      </c>
    </row>
    <row r="9" spans="2:7" ht="14.4" customHeight="1">
      <c r="B9" s="29" t="s">
        <v>100</v>
      </c>
      <c r="C9" s="31">
        <f>('Income Statement'!C4*Assumptions!C12/100)</f>
        <v>868.14</v>
      </c>
      <c r="D9" s="31">
        <f>('Income Statement'!D4*Assumptions!D12/100)</f>
        <v>966.23982000000001</v>
      </c>
      <c r="E9" s="31">
        <f>('Income Statement'!E4*Assumptions!E12/100)</f>
        <v>1075.4249196600001</v>
      </c>
      <c r="F9" s="31">
        <f>('Income Statement'!F4*Assumptions!F12/100)</f>
        <v>1196.9479355815804</v>
      </c>
      <c r="G9" s="31">
        <f>('Income Statement'!G4*Assumptions!G12/100)</f>
        <v>1332.2030523022993</v>
      </c>
    </row>
    <row r="10" spans="2:7" ht="14.4" customHeight="1">
      <c r="B10" s="29" t="s">
        <v>105</v>
      </c>
      <c r="C10" s="31">
        <f>C6+C7-C8-C9</f>
        <v>10452.405600000004</v>
      </c>
      <c r="D10" s="31">
        <f t="shared" ref="D10:G10" si="0">D6+D7-D8-D9</f>
        <v>11843.684593649998</v>
      </c>
      <c r="E10" s="31">
        <f t="shared" si="0"/>
        <v>13415.9258727585</v>
      </c>
      <c r="F10" s="31">
        <f t="shared" si="0"/>
        <v>15192.261672369206</v>
      </c>
      <c r="G10" s="31">
        <f t="shared" si="0"/>
        <v>17198.741405222681</v>
      </c>
    </row>
    <row r="11" spans="2:7" ht="14.4" customHeight="1">
      <c r="B11" s="29" t="s">
        <v>22</v>
      </c>
      <c r="C11" s="32">
        <f>1/(1+Assumptions!$C$16/100)^1</f>
        <v>0.92165898617511521</v>
      </c>
      <c r="D11" s="32">
        <f>1/(1+Assumptions!$C$16/100)^2</f>
        <v>0.84945528679734128</v>
      </c>
      <c r="E11" s="32">
        <f>1/(1+Assumptions!$C$16/100)^3</f>
        <v>0.78290809843072917</v>
      </c>
      <c r="F11" s="32">
        <f>1/(1+Assumptions!$C$16/100)^4</f>
        <v>0.72157428426795334</v>
      </c>
      <c r="G11" s="32">
        <f>1/(1+Assumptions!$C$16/100)^5</f>
        <v>0.66504542328843619</v>
      </c>
    </row>
    <row r="12" spans="2:7" ht="14.4" customHeight="1">
      <c r="B12" s="29" t="s">
        <v>106</v>
      </c>
      <c r="C12" s="31">
        <f>C10*C11</f>
        <v>9633.5535483871008</v>
      </c>
      <c r="D12" s="31">
        <f t="shared" ref="D12:G12" si="1">D10*D11</f>
        <v>10060.680493236212</v>
      </c>
      <c r="E12" s="31">
        <f t="shared" si="1"/>
        <v>10503.437013728979</v>
      </c>
      <c r="F12" s="31">
        <f t="shared" si="1"/>
        <v>10962.34534265127</v>
      </c>
      <c r="G12" s="31">
        <f t="shared" si="1"/>
        <v>11437.944257864672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 Financials</vt:lpstr>
      <vt:lpstr>Assumptions</vt:lpstr>
      <vt:lpstr>Income Statement</vt:lpstr>
      <vt:lpstr>Balance Sheet</vt:lpstr>
      <vt:lpstr>Cash Flow Statement</vt:lpstr>
      <vt:lpstr>Valuation (DCF)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Nager</dc:creator>
  <cp:lastModifiedBy>Shubham Nager</cp:lastModifiedBy>
  <dcterms:created xsi:type="dcterms:W3CDTF">2025-07-29T13:42:43Z</dcterms:created>
  <dcterms:modified xsi:type="dcterms:W3CDTF">2025-08-15T06:58:38Z</dcterms:modified>
</cp:coreProperties>
</file>