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esktop\Drone-Delivery\"/>
    </mc:Choice>
  </mc:AlternateContent>
  <xr:revisionPtr revIDLastSave="0" documentId="13_ncr:1_{53314BC3-1F9B-4F1F-8EB8-D98E80B76A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lusion" sheetId="1" r:id="rId1"/>
    <sheet name="Delivery Executive" sheetId="2" r:id="rId2"/>
    <sheet name="Traditional Cost Structure" sheetId="3" r:id="rId3"/>
    <sheet name="Drone Delivery Strucuture" sheetId="4" r:id="rId4"/>
    <sheet name="Traditional Revenue structure a" sheetId="5" r:id="rId5"/>
    <sheet name="Drone Deployment Cost Structure" sheetId="6" r:id="rId6"/>
    <sheet name="Drone Deployment Revenue and Co" sheetId="7" r:id="rId7"/>
    <sheet name="Drone" sheetId="8" state="hidden" r:id="rId8"/>
    <sheet name="Copy of Drone" sheetId="9" state="hidden" r:id="rId9"/>
    <sheet name="Copy of Copy of Drone" sheetId="10" state="hidden" r:id="rId10"/>
    <sheet name="Presentation Flow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0" l="1"/>
  <c r="C64" i="10"/>
  <c r="F63" i="10"/>
  <c r="F64" i="10" s="1"/>
  <c r="B63" i="10"/>
  <c r="F62" i="10"/>
  <c r="B60" i="10"/>
  <c r="C61" i="10" s="1"/>
  <c r="B57" i="10"/>
  <c r="C58" i="10" s="1"/>
  <c r="F51" i="10"/>
  <c r="D48" i="10"/>
  <c r="B44" i="10"/>
  <c r="C45" i="10" s="1"/>
  <c r="F42" i="10"/>
  <c r="F43" i="10" s="1"/>
  <c r="F49" i="10" s="1"/>
  <c r="B40" i="10"/>
  <c r="D41" i="10" s="1"/>
  <c r="D39" i="10"/>
  <c r="F38" i="10"/>
  <c r="I49" i="10" s="1"/>
  <c r="I50" i="10" s="1"/>
  <c r="I53" i="10" s="1"/>
  <c r="C65" i="10" s="1"/>
  <c r="D34" i="10"/>
  <c r="F26" i="10"/>
  <c r="B21" i="10"/>
  <c r="F17" i="10"/>
  <c r="E12" i="10" s="1"/>
  <c r="L12" i="10"/>
  <c r="G12" i="10"/>
  <c r="F12" i="10"/>
  <c r="C12" i="10"/>
  <c r="B12" i="10"/>
  <c r="H100" i="9"/>
  <c r="G98" i="9"/>
  <c r="G99" i="9" s="1"/>
  <c r="F98" i="9"/>
  <c r="F99" i="9" s="1"/>
  <c r="G100" i="9" s="1"/>
  <c r="G101" i="9" s="1"/>
  <c r="F74" i="9"/>
  <c r="B57" i="9" s="1"/>
  <c r="C73" i="9"/>
  <c r="C67" i="9"/>
  <c r="C66" i="9"/>
  <c r="F65" i="9"/>
  <c r="F64" i="9"/>
  <c r="F63" i="9"/>
  <c r="K55" i="9"/>
  <c r="D49" i="9"/>
  <c r="M48" i="9"/>
  <c r="L48" i="9"/>
  <c r="F43" i="9"/>
  <c r="F50" i="9" s="1"/>
  <c r="F42" i="9"/>
  <c r="D41" i="9"/>
  <c r="B40" i="9"/>
  <c r="D39" i="9"/>
  <c r="F38" i="9"/>
  <c r="D34" i="9"/>
  <c r="D48" i="9" s="1"/>
  <c r="D50" i="9" s="1"/>
  <c r="H33" i="9"/>
  <c r="I33" i="9" s="1"/>
  <c r="I34" i="9" s="1"/>
  <c r="F26" i="9"/>
  <c r="B21" i="9"/>
  <c r="F17" i="9"/>
  <c r="H12" i="9" s="1"/>
  <c r="J16" i="9"/>
  <c r="J18" i="9" s="1"/>
  <c r="J20" i="9" s="1"/>
  <c r="I16" i="9"/>
  <c r="I18" i="9" s="1"/>
  <c r="I20" i="9" s="1"/>
  <c r="L12" i="9"/>
  <c r="G12" i="9"/>
  <c r="C12" i="9"/>
  <c r="D36" i="8"/>
  <c r="B33" i="8"/>
  <c r="D34" i="8" s="1"/>
  <c r="D32" i="8"/>
  <c r="D27" i="8"/>
  <c r="B14" i="8"/>
  <c r="F10" i="8"/>
  <c r="E5" i="8" s="1"/>
  <c r="L5" i="8"/>
  <c r="H5" i="8"/>
  <c r="D5" i="8"/>
  <c r="D17" i="5"/>
  <c r="D18" i="5" s="1"/>
  <c r="D9" i="5"/>
  <c r="H100" i="4"/>
  <c r="G98" i="4"/>
  <c r="G99" i="4" s="1"/>
  <c r="F98" i="4"/>
  <c r="F99" i="4" s="1"/>
  <c r="G100" i="4" s="1"/>
  <c r="G101" i="4" s="1"/>
  <c r="F74" i="4"/>
  <c r="B57" i="4" s="1"/>
  <c r="C73" i="4"/>
  <c r="C67" i="4"/>
  <c r="C66" i="4"/>
  <c r="F65" i="4"/>
  <c r="F64" i="4"/>
  <c r="F63" i="4"/>
  <c r="K55" i="4"/>
  <c r="D49" i="4"/>
  <c r="M48" i="4"/>
  <c r="L48" i="4"/>
  <c r="F43" i="4"/>
  <c r="F44" i="4" s="1"/>
  <c r="F42" i="4"/>
  <c r="D41" i="4"/>
  <c r="B40" i="4"/>
  <c r="J39" i="4"/>
  <c r="D39" i="4"/>
  <c r="J38" i="4"/>
  <c r="F38" i="4"/>
  <c r="J37" i="4"/>
  <c r="D34" i="4"/>
  <c r="D48" i="4" s="1"/>
  <c r="D50" i="4" s="1"/>
  <c r="H33" i="4"/>
  <c r="I33" i="4" s="1"/>
  <c r="I34" i="4" s="1"/>
  <c r="M25" i="4"/>
  <c r="B21" i="4"/>
  <c r="I20" i="4"/>
  <c r="J18" i="4"/>
  <c r="J20" i="4" s="1"/>
  <c r="F17" i="4"/>
  <c r="B17" i="4"/>
  <c r="B18" i="4" s="1"/>
  <c r="B19" i="4" s="1"/>
  <c r="J16" i="4"/>
  <c r="I16" i="4"/>
  <c r="I18" i="4" s="1"/>
  <c r="L12" i="4"/>
  <c r="I12" i="4"/>
  <c r="H12" i="4"/>
  <c r="G12" i="4"/>
  <c r="F12" i="4"/>
  <c r="E12" i="4"/>
  <c r="D12" i="4"/>
  <c r="C12" i="4"/>
  <c r="B12" i="4"/>
  <c r="G11" i="3"/>
  <c r="C8" i="3"/>
  <c r="G6" i="3"/>
  <c r="C6" i="3"/>
  <c r="J13" i="2"/>
  <c r="F12" i="2"/>
  <c r="F14" i="2" s="1"/>
  <c r="C4" i="2"/>
  <c r="C23" i="2" s="1"/>
  <c r="C25" i="2" s="1"/>
  <c r="C9" i="3" l="1"/>
  <c r="C10" i="3" s="1"/>
  <c r="C11" i="3" s="1"/>
  <c r="C13" i="3" s="1"/>
  <c r="C15" i="3" s="1"/>
  <c r="C16" i="3" s="1"/>
  <c r="C17" i="3" s="1"/>
  <c r="B61" i="4"/>
  <c r="C62" i="4" s="1"/>
  <c r="B42" i="4"/>
  <c r="B44" i="4" s="1"/>
  <c r="C46" i="4" s="1"/>
  <c r="B58" i="4"/>
  <c r="C59" i="4" s="1"/>
  <c r="G4" i="2"/>
  <c r="B64" i="9"/>
  <c r="C65" i="9" s="1"/>
  <c r="B58" i="9"/>
  <c r="C59" i="9" s="1"/>
  <c r="B61" i="9"/>
  <c r="C62" i="9" s="1"/>
  <c r="B42" i="9"/>
  <c r="B44" i="9" s="1"/>
  <c r="C46" i="9" s="1"/>
  <c r="D47" i="10"/>
  <c r="D49" i="10" s="1"/>
  <c r="G5" i="2"/>
  <c r="C6" i="2"/>
  <c r="F19" i="2"/>
  <c r="J40" i="4"/>
  <c r="F26" i="4" s="1"/>
  <c r="I27" i="4" s="1"/>
  <c r="B64" i="4"/>
  <c r="C65" i="4" s="1"/>
  <c r="D35" i="8"/>
  <c r="D37" i="8" s="1"/>
  <c r="B5" i="8"/>
  <c r="B9" i="8" s="1"/>
  <c r="F5" i="8"/>
  <c r="E12" i="9"/>
  <c r="I12" i="9"/>
  <c r="C5" i="8"/>
  <c r="G5" i="8"/>
  <c r="B12" i="9"/>
  <c r="F12" i="9"/>
  <c r="D12" i="10"/>
  <c r="H12" i="10"/>
  <c r="D12" i="9"/>
  <c r="B22" i="4" l="1"/>
  <c r="B22" i="9"/>
  <c r="B15" i="8"/>
  <c r="B16" i="8" s="1"/>
  <c r="B17" i="8" s="1"/>
  <c r="B18" i="8" s="1"/>
  <c r="F20" i="2"/>
  <c r="B22" i="10"/>
  <c r="F21" i="2"/>
  <c r="C8" i="2"/>
  <c r="C9" i="2" s="1"/>
  <c r="C7" i="2"/>
  <c r="B10" i="8"/>
  <c r="B11" i="8" s="1"/>
  <c r="B12" i="8" s="1"/>
  <c r="C11" i="2" l="1"/>
  <c r="C13" i="2" s="1"/>
  <c r="F11" i="2"/>
  <c r="F15" i="2" s="1"/>
  <c r="F16" i="2" s="1"/>
  <c r="F18" i="2"/>
  <c r="B23" i="8"/>
  <c r="F15" i="8"/>
  <c r="G6" i="10"/>
  <c r="C6" i="10"/>
  <c r="C9" i="10" s="1"/>
  <c r="G9" i="10"/>
  <c r="F6" i="10"/>
  <c r="B6" i="10"/>
  <c r="F9" i="10"/>
  <c r="E6" i="10"/>
  <c r="E9" i="10" s="1"/>
  <c r="F32" i="10"/>
  <c r="H6" i="10"/>
  <c r="D6" i="10"/>
  <c r="D9" i="10" s="1"/>
  <c r="G9" i="9"/>
  <c r="F6" i="9"/>
  <c r="B6" i="9"/>
  <c r="F32" i="9"/>
  <c r="E6" i="9"/>
  <c r="F9" i="9" s="1"/>
  <c r="H6" i="9"/>
  <c r="D6" i="9"/>
  <c r="E9" i="9" s="1"/>
  <c r="H9" i="9"/>
  <c r="G6" i="9"/>
  <c r="C6" i="9"/>
  <c r="D9" i="9" s="1"/>
  <c r="H6" i="4"/>
  <c r="D6" i="4"/>
  <c r="E9" i="4" s="1"/>
  <c r="F32" i="4"/>
  <c r="G9" i="4"/>
  <c r="F6" i="4"/>
  <c r="B6" i="4"/>
  <c r="B9" i="4" s="1"/>
  <c r="E6" i="4"/>
  <c r="F9" i="4" s="1"/>
  <c r="H9" i="4"/>
  <c r="G6" i="4"/>
  <c r="C6" i="4"/>
  <c r="D9" i="4" s="1"/>
  <c r="G13" i="4" l="1"/>
  <c r="F33" i="10"/>
  <c r="F13" i="4"/>
  <c r="F34" i="4"/>
  <c r="F39" i="4" s="1"/>
  <c r="F35" i="4"/>
  <c r="B23" i="4" s="1"/>
  <c r="B24" i="4" s="1"/>
  <c r="G32" i="4"/>
  <c r="B30" i="8"/>
  <c r="B31" i="8" s="1"/>
  <c r="C32" i="8" s="1"/>
  <c r="C25" i="8"/>
  <c r="C27" i="8" s="1"/>
  <c r="C34" i="8"/>
  <c r="C18" i="2"/>
  <c r="C14" i="2"/>
  <c r="C15" i="2" s="1"/>
  <c r="C20" i="2" s="1"/>
  <c r="C9" i="4"/>
  <c r="C13" i="4" s="1"/>
  <c r="B13" i="4"/>
  <c r="F33" i="9"/>
  <c r="F35" i="9"/>
  <c r="B23" i="9" s="1"/>
  <c r="B24" i="9" s="1"/>
  <c r="B9" i="9"/>
  <c r="F34" i="9"/>
  <c r="F39" i="9" s="1"/>
  <c r="F53" i="9" l="1"/>
  <c r="F55" i="9" s="1"/>
  <c r="F57" i="9" s="1"/>
  <c r="F58" i="9" s="1"/>
  <c r="B25" i="9"/>
  <c r="F26" i="2"/>
  <c r="F27" i="2" s="1"/>
  <c r="G21" i="2"/>
  <c r="F22" i="2"/>
  <c r="C19" i="2"/>
  <c r="C26" i="2"/>
  <c r="F39" i="10"/>
  <c r="F34" i="10"/>
  <c r="H13" i="4"/>
  <c r="I13" i="4"/>
  <c r="B25" i="4"/>
  <c r="F47" i="4"/>
  <c r="F49" i="4" s="1"/>
  <c r="C9" i="9"/>
  <c r="B13" i="9"/>
  <c r="I13" i="9"/>
  <c r="E13" i="4"/>
  <c r="D13" i="4"/>
  <c r="C35" i="8"/>
  <c r="C37" i="8" s="1"/>
  <c r="G13" i="9"/>
  <c r="F51" i="4"/>
  <c r="F52" i="4" s="1"/>
  <c r="D13" i="9"/>
  <c r="F61" i="9" l="1"/>
  <c r="I62" i="9"/>
  <c r="I63" i="9" s="1"/>
  <c r="C47" i="9" s="1"/>
  <c r="I62" i="4"/>
  <c r="I63" i="4" s="1"/>
  <c r="C47" i="4" s="1"/>
  <c r="F61" i="4"/>
  <c r="F62" i="4" s="1"/>
  <c r="L26" i="4"/>
  <c r="M26" i="4" s="1"/>
  <c r="M28" i="4" s="1"/>
  <c r="M29" i="4" s="1"/>
  <c r="F22" i="9"/>
  <c r="B30" i="9"/>
  <c r="B30" i="4"/>
  <c r="F22" i="4"/>
  <c r="B9" i="10"/>
  <c r="F35" i="10"/>
  <c r="B23" i="10" s="1"/>
  <c r="B24" i="10" s="1"/>
  <c r="C13" i="9"/>
  <c r="B16" i="9" s="1"/>
  <c r="H13" i="9"/>
  <c r="F13" i="9"/>
  <c r="E13" i="9"/>
  <c r="B17" i="9" l="1"/>
  <c r="B18" i="9" s="1"/>
  <c r="B19" i="9" s="1"/>
  <c r="B13" i="10"/>
  <c r="H13" i="10"/>
  <c r="D13" i="10"/>
  <c r="E13" i="10"/>
  <c r="F13" i="10"/>
  <c r="G13" i="10"/>
  <c r="C13" i="10"/>
  <c r="F62" i="9"/>
  <c r="B54" i="4"/>
  <c r="C55" i="4" s="1"/>
  <c r="C68" i="4" s="1"/>
  <c r="C70" i="4" s="1"/>
  <c r="C41" i="4"/>
  <c r="C32" i="4"/>
  <c r="C34" i="4" s="1"/>
  <c r="B37" i="4"/>
  <c r="B38" i="4" s="1"/>
  <c r="C39" i="4" s="1"/>
  <c r="F52" i="10"/>
  <c r="B25" i="10"/>
  <c r="B54" i="9"/>
  <c r="C55" i="9" s="1"/>
  <c r="C68" i="9" s="1"/>
  <c r="C70" i="9" s="1"/>
  <c r="B37" i="9"/>
  <c r="B38" i="9" s="1"/>
  <c r="C39" i="9" s="1"/>
  <c r="C41" i="9"/>
  <c r="C32" i="9"/>
  <c r="C34" i="9" s="1"/>
  <c r="C48" i="9" s="1"/>
  <c r="C50" i="9" s="1"/>
  <c r="B30" i="10" l="1"/>
  <c r="F22" i="10"/>
  <c r="F53" i="10"/>
  <c r="F54" i="10"/>
  <c r="F56" i="10" s="1"/>
  <c r="F57" i="10" s="1"/>
  <c r="B16" i="10"/>
  <c r="C72" i="9"/>
  <c r="C48" i="4"/>
  <c r="C50" i="4" s="1"/>
  <c r="C72" i="4" s="1"/>
  <c r="B79" i="4" l="1"/>
  <c r="C74" i="4"/>
  <c r="I61" i="10"/>
  <c r="I62" i="10" s="1"/>
  <c r="C46" i="10" s="1"/>
  <c r="F60" i="10"/>
  <c r="F61" i="10" s="1"/>
  <c r="B79" i="9"/>
  <c r="C74" i="9"/>
  <c r="B17" i="10"/>
  <c r="B18" i="10"/>
  <c r="B19" i="10" s="1"/>
  <c r="C32" i="10"/>
  <c r="C34" i="10" s="1"/>
  <c r="B53" i="10"/>
  <c r="C54" i="10" s="1"/>
  <c r="C66" i="10" s="1"/>
  <c r="C68" i="10" s="1"/>
  <c r="B37" i="10"/>
  <c r="B38" i="10" s="1"/>
  <c r="C39" i="10" s="1"/>
  <c r="C41" i="10"/>
  <c r="C47" i="10" l="1"/>
  <c r="C49" i="10" s="1"/>
  <c r="C70" i="10" s="1"/>
  <c r="C72" i="10" s="1"/>
  <c r="B83" i="9"/>
  <c r="B80" i="9"/>
  <c r="B82" i="9" s="1"/>
  <c r="B80" i="4"/>
  <c r="B82" i="4" s="1"/>
  <c r="B83" i="4"/>
</calcChain>
</file>

<file path=xl/sharedStrings.xml><?xml version="1.0" encoding="utf-8"?>
<sst xmlns="http://schemas.openxmlformats.org/spreadsheetml/2006/main" count="589" uniqueCount="220">
  <si>
    <t>Average Monthly Order</t>
  </si>
  <si>
    <t>Orders</t>
  </si>
  <si>
    <t>Delivery Boys</t>
  </si>
  <si>
    <t>Bangalore@24%</t>
  </si>
  <si>
    <t>Lower Bound</t>
  </si>
  <si>
    <t>Average Delivery by one delivery boy</t>
  </si>
  <si>
    <t>Upper Bound</t>
  </si>
  <si>
    <t>Total no. of delivery executive</t>
  </si>
  <si>
    <t>Month Starting</t>
  </si>
  <si>
    <t>Attrition @10%</t>
  </si>
  <si>
    <t>Delivery executive remaining</t>
  </si>
  <si>
    <t>Month Ending</t>
  </si>
  <si>
    <t>Delivery executives at any given point of time</t>
  </si>
  <si>
    <t>Fixed Component(Monthly Basis)</t>
  </si>
  <si>
    <t>Variable Component(Monthly Basis)</t>
  </si>
  <si>
    <t>Peak Hours</t>
  </si>
  <si>
    <t>No. Of Hours</t>
  </si>
  <si>
    <t>Total Delivery executives</t>
  </si>
  <si>
    <t>Lunch</t>
  </si>
  <si>
    <t>12PM to 3PM</t>
  </si>
  <si>
    <t>Fixed Salary per delivery executive</t>
  </si>
  <si>
    <t>Average Delivery per executive</t>
  </si>
  <si>
    <t>Dinner</t>
  </si>
  <si>
    <t>7PM to 11PM</t>
  </si>
  <si>
    <t>Total Fixed Salary per month</t>
  </si>
  <si>
    <t>Earnings on each successful delivery</t>
  </si>
  <si>
    <t>Total Peak Hours</t>
  </si>
  <si>
    <t>Total Fixed Salary per year</t>
  </si>
  <si>
    <t>Variable earnings per delivery executive</t>
  </si>
  <si>
    <t>Fixed Expenses per Day</t>
  </si>
  <si>
    <t>Total Variable Pay</t>
  </si>
  <si>
    <t>Variable pay per day</t>
  </si>
  <si>
    <t>Total Pay(Fixed+Variable)</t>
  </si>
  <si>
    <t>Avg order on per day basis by each delivery executive</t>
  </si>
  <si>
    <t>Pay per Delivery Executive</t>
  </si>
  <si>
    <t>Average daily Orders</t>
  </si>
  <si>
    <t>Total Pay per day</t>
  </si>
  <si>
    <t>Average Monthly Orders</t>
  </si>
  <si>
    <t>Revenue per day</t>
  </si>
  <si>
    <t>REVENUE(Monthly Basis)</t>
  </si>
  <si>
    <t>Per day margin</t>
  </si>
  <si>
    <t>surplus</t>
  </si>
  <si>
    <t>Revenue Per Order</t>
  </si>
  <si>
    <t>Total Revenue</t>
  </si>
  <si>
    <t>CBA</t>
  </si>
  <si>
    <t>Profit</t>
  </si>
  <si>
    <t>Maximize</t>
  </si>
  <si>
    <t>Expenses as a pecentage of revenue</t>
  </si>
  <si>
    <t>Profit as a pecentage of revenue</t>
  </si>
  <si>
    <t>Pay per Delivery Executive per month</t>
  </si>
  <si>
    <t>Given Distribution</t>
  </si>
  <si>
    <t>&lt;=3</t>
  </si>
  <si>
    <t>KMs</t>
  </si>
  <si>
    <t>Distribution</t>
  </si>
  <si>
    <t>For Peak Orders = 39200</t>
  </si>
  <si>
    <t>Revised Distribution for orders=31360</t>
  </si>
  <si>
    <t>&gt;1.5 but &lt;=2</t>
  </si>
  <si>
    <t>Revised Distribution after removing the order flow of distance &lt;=1KM</t>
  </si>
  <si>
    <t>Minutes</t>
  </si>
  <si>
    <t>Average Flight Time Of Drone(One-Way) (In Minutes)</t>
  </si>
  <si>
    <t>Average Speed(in Km/Hr)</t>
  </si>
  <si>
    <t>Weighted Average Distance for a delivery</t>
  </si>
  <si>
    <t>Return Journey(in minutes)</t>
  </si>
  <si>
    <t>Time taken to cover 1 Km(In minutes)</t>
  </si>
  <si>
    <t>At any point of time, distance of a delivery boy from restaurant</t>
  </si>
  <si>
    <t>Total Weighted Avg. Flight time for One Order(in min)</t>
  </si>
  <si>
    <t>Total km's for completing one delivery</t>
  </si>
  <si>
    <t>Orders delivered in single charge(in 30 mins)</t>
  </si>
  <si>
    <t>rounded-off</t>
  </si>
  <si>
    <t>Avg. Battery Charging Time (in minutes)</t>
  </si>
  <si>
    <t>Pay on each successful delivery</t>
  </si>
  <si>
    <t>Order Capacity per trip</t>
  </si>
  <si>
    <t>Pay per KM</t>
  </si>
  <si>
    <t>Orders deliverd per hour</t>
  </si>
  <si>
    <t>Extra Battery Required per drone</t>
  </si>
  <si>
    <t>Average Daily Orders</t>
  </si>
  <si>
    <t>Total Extra battery required</t>
  </si>
  <si>
    <t>Orders during Peak Hours(70%)</t>
  </si>
  <si>
    <t>Per hour orders during peak hours</t>
  </si>
  <si>
    <t>Time(in minutes)</t>
  </si>
  <si>
    <t>Daily Order Flow</t>
  </si>
  <si>
    <t>No Of executives</t>
  </si>
  <si>
    <t>Per Executive per day</t>
  </si>
  <si>
    <t>Drone Requirement</t>
  </si>
  <si>
    <t>Average Speed of Delivery Boy(in Km/hr)</t>
  </si>
  <si>
    <t>Target time to deliver an order</t>
  </si>
  <si>
    <t>Average Time for delivering orders &lt;=3 Km</t>
  </si>
  <si>
    <t>Average prep time</t>
  </si>
  <si>
    <t>Time to deliver the order</t>
  </si>
  <si>
    <t>Cost Analysis Of Drone Delivery</t>
  </si>
  <si>
    <t>Finding address and handling order</t>
  </si>
  <si>
    <t>Fixed</t>
  </si>
  <si>
    <t>Total</t>
  </si>
  <si>
    <t>Per Drone</t>
  </si>
  <si>
    <t>Number Of Drones</t>
  </si>
  <si>
    <t>Distance of 1km could be covered by delivery executives</t>
  </si>
  <si>
    <t>Cost Of One Drone</t>
  </si>
  <si>
    <t>Total Cost Of Drone Purchase</t>
  </si>
  <si>
    <t>Total orders in peak hours</t>
  </si>
  <si>
    <t>Average life expectancy of a drone(in years)</t>
  </si>
  <si>
    <t>Annual Cost Of Drone</t>
  </si>
  <si>
    <t>Order Flow for Delivery Executive in Peak Hours(&lt;=3 Km)</t>
  </si>
  <si>
    <t>Cost Of Extra Battery</t>
  </si>
  <si>
    <t>Order Flow for Drone in Peak Hours(&gt;3 Km)</t>
  </si>
  <si>
    <t>Avg. Battery Life(in Months)</t>
  </si>
  <si>
    <t>Kms</t>
  </si>
  <si>
    <t xml:space="preserve">Distance </t>
  </si>
  <si>
    <t>Battery requirement per quarter</t>
  </si>
  <si>
    <t>No of Orders delivery exectuive can deliver in an hour</t>
  </si>
  <si>
    <t>Annual battery requirement</t>
  </si>
  <si>
    <t>For the peak hours</t>
  </si>
  <si>
    <t>Annual Battery expenditure</t>
  </si>
  <si>
    <t>Delivery boys requirement for order flow of distance &lt;=1.5Km</t>
  </si>
  <si>
    <t>Annual Maintenance Cost per drone</t>
  </si>
  <si>
    <t>Average Distance Covered</t>
  </si>
  <si>
    <t>Total maintenace cost of drones(yearly)</t>
  </si>
  <si>
    <t>Average distance between drone pad/ order handling centre and restaurant</t>
  </si>
  <si>
    <t>Drone pads</t>
  </si>
  <si>
    <t>Time to reach at pod for 1 Km</t>
  </si>
  <si>
    <t>per Drone Pad Setup Cost</t>
  </si>
  <si>
    <t>Time to reach at pod for 0.75 Km</t>
  </si>
  <si>
    <t>Setup cost for drone pads</t>
  </si>
  <si>
    <t>Time to deliver and get back at retaurant</t>
  </si>
  <si>
    <t>Initial Drone intigration setup cost</t>
  </si>
  <si>
    <t>One complete round</t>
  </si>
  <si>
    <t>Per year infrastructure setup cost ( considering over 3 years)</t>
  </si>
  <si>
    <t>Order handling in an hour</t>
  </si>
  <si>
    <t>Annual Fixed pay for delivery executives</t>
  </si>
  <si>
    <t>Delivery executives required at collection centre</t>
  </si>
  <si>
    <t>Annual Investment Cost(fixed)</t>
  </si>
  <si>
    <t>Number Of operational days</t>
  </si>
  <si>
    <t>Total delivery executives required for handling the drone order flow</t>
  </si>
  <si>
    <t>Daily Investment Cost(Fixed)</t>
  </si>
  <si>
    <t>Variable</t>
  </si>
  <si>
    <t>Total requirement of delivery executives</t>
  </si>
  <si>
    <t>Drone Pilot Salary per Year(Average)</t>
  </si>
  <si>
    <t>Attrirtion rate 10%</t>
  </si>
  <si>
    <t>Number Of Days</t>
  </si>
  <si>
    <t>Per order revenue on successful delivery as per traditional method</t>
  </si>
  <si>
    <t>Number Of Drone Operators</t>
  </si>
  <si>
    <t>Per order revenue on successful delivery as per new model</t>
  </si>
  <si>
    <t>annual salary of Drone Operators</t>
  </si>
  <si>
    <t>Rent</t>
  </si>
  <si>
    <t>Units</t>
  </si>
  <si>
    <t>Total rent Per Month</t>
  </si>
  <si>
    <t>Pay per delivery executive</t>
  </si>
  <si>
    <t>Yearly rent</t>
  </si>
  <si>
    <t>Salary of Assistant per year</t>
  </si>
  <si>
    <t>Assistants required( 2 per drone pad)</t>
  </si>
  <si>
    <t>Total pay</t>
  </si>
  <si>
    <t>Fixed Expenses per delivery executive</t>
  </si>
  <si>
    <t>Total Annual Salary of  Assistants</t>
  </si>
  <si>
    <t>Total fixed pay per month</t>
  </si>
  <si>
    <t>Miscellaneous Expenses including electricity per drone pad</t>
  </si>
  <si>
    <t>Per order pay for 39200 orders</t>
  </si>
  <si>
    <t>Total fixed pay per year</t>
  </si>
  <si>
    <t>Total Electricity for 30 pads</t>
  </si>
  <si>
    <t>For a month</t>
  </si>
  <si>
    <t>Electricity Consumption for a year</t>
  </si>
  <si>
    <t>For a year</t>
  </si>
  <si>
    <t>https://geoiq.io/places/Cox-Town/ZkHQnbZjeB</t>
  </si>
  <si>
    <t>Variable pay for Delivery Executves</t>
  </si>
  <si>
    <t>Total Variable of per Air Traffic Controller</t>
  </si>
  <si>
    <t>Annual variable pay</t>
  </si>
  <si>
    <t>Per Day Variable Cost</t>
  </si>
  <si>
    <t>Per Day Basis</t>
  </si>
  <si>
    <t>Total Expenses(Fixed+ Variable)</t>
  </si>
  <si>
    <t>Area Of Bangalore Urban(in Km sq.)</t>
  </si>
  <si>
    <t>Revenue</t>
  </si>
  <si>
    <t>With max distance of 3.5 Km within a grid</t>
  </si>
  <si>
    <t>Area(in sq. km)</t>
  </si>
  <si>
    <t>Distance betwen two pods as 3.5 Km</t>
  </si>
  <si>
    <t>Profit(no. of times)</t>
  </si>
  <si>
    <t>Expenses(no. of Times)</t>
  </si>
  <si>
    <t>Margin as a pecentage of revenue</t>
  </si>
  <si>
    <t>Total Cost Of 168 Drone Purchase(1,30,000 per drone)</t>
  </si>
  <si>
    <t xml:space="preserve">annual salary of 17 Drone Operators(4,00,000 per year) </t>
  </si>
  <si>
    <t>Annual Cost Of Drone Purchases (Life expectancy 3 years)</t>
  </si>
  <si>
    <t>Yearly rent of 121 Drone pad units</t>
  </si>
  <si>
    <t>Annual battery requirement( 3 per drone per quarter)</t>
  </si>
  <si>
    <t>Total Annual Salary of  182 Assistants(3,00,000 per year)</t>
  </si>
  <si>
    <t>Annual Battery expenditure for 2016 batteries(13,000 per battery)</t>
  </si>
  <si>
    <t>Miscellaneous Expenses &amp; Electricity Consumption for a year</t>
  </si>
  <si>
    <t>Total yearly maintenance cost of 168 drones (78,000 per drone)</t>
  </si>
  <si>
    <t>Setup cost for 121 drone pads(2,00,000 per drone pad)</t>
  </si>
  <si>
    <t>Initial Drone integration setup cost</t>
  </si>
  <si>
    <t>Margin</t>
  </si>
  <si>
    <t>Annual Investment Cost</t>
  </si>
  <si>
    <t>Labour Cost Per Hour</t>
  </si>
  <si>
    <t>Number Of operators</t>
  </si>
  <si>
    <t>Number Of operational hours per day</t>
  </si>
  <si>
    <t>Time taken to cover 1.5 Km(in minutes)</t>
  </si>
  <si>
    <t>Time to deliver and return back</t>
  </si>
  <si>
    <t xml:space="preserve">One Side time </t>
  </si>
  <si>
    <t>Considering equal order distribution for each Km for distance &lt;=3 KM</t>
  </si>
  <si>
    <t>Orders remaining for distance &gt;1.5km but &lt;=3 Km</t>
  </si>
  <si>
    <t>Order Flow for Drone in Peak Hours(&gt;1.5 Km)</t>
  </si>
  <si>
    <t>Delivery executives required at distribution centre</t>
  </si>
  <si>
    <t>With max distance of 4 Km within a grid</t>
  </si>
  <si>
    <t>Revised Distribution for orders=33974</t>
  </si>
  <si>
    <t>Time taken to cover 1 Km(in minutes)</t>
  </si>
  <si>
    <t>Orders remaining for distance &gt;2km but &lt;=3 Km</t>
  </si>
  <si>
    <t>Order Flow for Drone in Peak Hours(&gt;2 Km)</t>
  </si>
  <si>
    <t>Delivery boys requirement for order flow of distance &lt;=1Km</t>
  </si>
  <si>
    <t>Per year setup cost ( considering over 3 years)</t>
  </si>
  <si>
    <t>Average order per day per executive as per traditional method</t>
  </si>
  <si>
    <t>Average order as per new model</t>
  </si>
  <si>
    <t>Factor</t>
  </si>
  <si>
    <t>Assistants required</t>
  </si>
  <si>
    <t>Total Annual Salary of 30 Assistants</t>
  </si>
  <si>
    <t>Slide</t>
  </si>
  <si>
    <t>Drone Delivery Model</t>
  </si>
  <si>
    <t>Traditional Cost Structure</t>
  </si>
  <si>
    <t>Expense Side</t>
  </si>
  <si>
    <t>Revenue Side</t>
  </si>
  <si>
    <t>Assumption'</t>
  </si>
  <si>
    <t>New model</t>
  </si>
  <si>
    <t>Conclusion</t>
  </si>
  <si>
    <t>Comments</t>
  </si>
  <si>
    <r>
      <rPr>
        <b/>
        <sz val="10"/>
        <color theme="1"/>
        <rFont val="Arial"/>
        <family val="2"/>
        <scheme val="minor"/>
      </rPr>
      <t>margin</t>
    </r>
    <r>
      <rPr>
        <sz val="10"/>
        <color theme="1"/>
        <rFont val="Arial"/>
        <family val="2"/>
        <scheme val="minor"/>
      </rPr>
      <t xml:space="preserve"> has </t>
    </r>
    <r>
      <rPr>
        <b/>
        <sz val="10"/>
        <color theme="1"/>
        <rFont val="Arial"/>
        <family val="2"/>
        <scheme val="minor"/>
      </rPr>
      <t>increased</t>
    </r>
    <r>
      <rPr>
        <sz val="10"/>
        <color theme="1"/>
        <rFont val="Arial"/>
        <family val="2"/>
        <scheme val="minor"/>
      </rPr>
      <t xml:space="preserve"> to</t>
    </r>
    <r>
      <rPr>
        <b/>
        <sz val="10"/>
        <color theme="1"/>
        <rFont val="Arial"/>
        <family val="2"/>
        <scheme val="minor"/>
      </rPr>
      <t xml:space="preserve"> 2.69</t>
    </r>
    <r>
      <rPr>
        <sz val="10"/>
        <color theme="1"/>
        <rFont val="Arial"/>
        <family val="2"/>
        <scheme val="minor"/>
      </rPr>
      <t xml:space="preserve"> times  while the</t>
    </r>
    <r>
      <rPr>
        <b/>
        <sz val="10"/>
        <color theme="1"/>
        <rFont val="Arial"/>
        <family val="2"/>
        <scheme val="minor"/>
      </rPr>
      <t xml:space="preserve"> cost</t>
    </r>
    <r>
      <rPr>
        <sz val="10"/>
        <color theme="1"/>
        <rFont val="Arial"/>
        <family val="2"/>
        <scheme val="minor"/>
      </rPr>
      <t xml:space="preserve"> has </t>
    </r>
    <r>
      <rPr>
        <b/>
        <sz val="10"/>
        <color theme="1"/>
        <rFont val="Arial"/>
        <family val="2"/>
        <scheme val="minor"/>
      </rPr>
      <t>decreased</t>
    </r>
    <r>
      <rPr>
        <sz val="10"/>
        <color theme="1"/>
        <rFont val="Arial"/>
        <family val="2"/>
        <scheme val="minor"/>
      </rPr>
      <t xml:space="preserve"> to </t>
    </r>
    <r>
      <rPr>
        <b/>
        <sz val="10"/>
        <color theme="1"/>
        <rFont val="Arial"/>
        <family val="2"/>
        <scheme val="minor"/>
      </rPr>
      <t>0.73 times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</si>
</sst>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0"/>
      <color rgb="FF38761D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164" fontId="2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4" fillId="4" borderId="0" xfId="0" applyFont="1" applyFill="1"/>
    <xf numFmtId="0" fontId="5" fillId="0" borderId="0" xfId="0" applyFont="1"/>
    <xf numFmtId="164" fontId="5" fillId="0" borderId="0" xfId="0" applyNumberFormat="1" applyFont="1"/>
    <xf numFmtId="0" fontId="1" fillId="4" borderId="0" xfId="0" applyFont="1" applyFill="1"/>
    <xf numFmtId="10" fontId="1" fillId="4" borderId="0" xfId="0" applyNumberFormat="1" applyFont="1" applyFill="1"/>
    <xf numFmtId="0" fontId="1" fillId="5" borderId="0" xfId="0" applyFont="1" applyFill="1"/>
    <xf numFmtId="0" fontId="1" fillId="0" borderId="1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0" xfId="0" applyFont="1" applyFill="1"/>
    <xf numFmtId="0" fontId="1" fillId="6" borderId="6" xfId="0" applyFont="1" applyFill="1" applyBorder="1"/>
    <xf numFmtId="0" fontId="2" fillId="0" borderId="0" xfId="0" applyFont="1" applyAlignment="1">
      <alignment horizont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0" borderId="0" xfId="0" applyFont="1" applyAlignment="1">
      <alignment horizontal="right"/>
    </xf>
    <xf numFmtId="0" fontId="6" fillId="7" borderId="0" xfId="0" applyFont="1" applyFill="1"/>
    <xf numFmtId="164" fontId="6" fillId="7" borderId="0" xfId="0" applyNumberFormat="1" applyFont="1" applyFill="1"/>
    <xf numFmtId="0" fontId="6" fillId="2" borderId="0" xfId="0" applyFont="1" applyFill="1"/>
    <xf numFmtId="164" fontId="6" fillId="2" borderId="0" xfId="0" applyNumberFormat="1" applyFont="1" applyFill="1"/>
    <xf numFmtId="0" fontId="7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eoiq.io/places/Cox-Town/ZkHQnbZje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eoiq.io/places/Cox-Town/ZkHQnbZje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eoiq.io/places/Cox-Town/ZkHQnbZj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"/>
  <sheetViews>
    <sheetView tabSelected="1" workbookViewId="0">
      <selection activeCell="I10" sqref="I10"/>
    </sheetView>
  </sheetViews>
  <sheetFormatPr defaultColWidth="12.5703125" defaultRowHeight="15.75" customHeight="1" x14ac:dyDescent="0.2"/>
  <sheetData>
    <row r="4" spans="2:2" x14ac:dyDescent="0.2">
      <c r="B4" s="1" t="s">
        <v>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72"/>
  <sheetViews>
    <sheetView workbookViewId="0"/>
  </sheetViews>
  <sheetFormatPr defaultColWidth="12.5703125" defaultRowHeight="15.75" customHeight="1" x14ac:dyDescent="0.2"/>
  <cols>
    <col min="1" max="1" width="51.85546875" customWidth="1"/>
    <col min="5" max="5" width="52.140625" customWidth="1"/>
    <col min="8" max="8" width="46.7109375" customWidth="1"/>
    <col min="9" max="9" width="13.42578125" customWidth="1"/>
  </cols>
  <sheetData>
    <row r="1" spans="1:12" x14ac:dyDescent="0.2">
      <c r="A1" s="19" t="s">
        <v>50</v>
      </c>
      <c r="B1" s="1" t="s">
        <v>51</v>
      </c>
    </row>
    <row r="2" spans="1:12" x14ac:dyDescent="0.2">
      <c r="A2" s="20" t="s">
        <v>52</v>
      </c>
      <c r="B2" s="20">
        <v>3</v>
      </c>
      <c r="C2" s="20">
        <v>4</v>
      </c>
      <c r="D2" s="20">
        <v>5</v>
      </c>
      <c r="E2" s="20">
        <v>6</v>
      </c>
      <c r="F2" s="20">
        <v>7</v>
      </c>
      <c r="G2" s="20">
        <v>8</v>
      </c>
      <c r="H2" s="20">
        <v>9</v>
      </c>
      <c r="J2" s="1" t="s">
        <v>15</v>
      </c>
      <c r="L2" s="1" t="s">
        <v>16</v>
      </c>
    </row>
    <row r="3" spans="1:12" x14ac:dyDescent="0.2">
      <c r="A3" s="20" t="s">
        <v>53</v>
      </c>
      <c r="B3" s="21">
        <v>0.4</v>
      </c>
      <c r="C3" s="21">
        <v>0.35</v>
      </c>
      <c r="D3" s="21">
        <v>0.2</v>
      </c>
      <c r="E3" s="21">
        <v>0.05</v>
      </c>
      <c r="F3" s="21">
        <v>0</v>
      </c>
      <c r="G3" s="21">
        <v>0</v>
      </c>
      <c r="H3" s="21">
        <v>0</v>
      </c>
      <c r="J3" s="1" t="s">
        <v>18</v>
      </c>
      <c r="K3" s="1" t="s">
        <v>19</v>
      </c>
      <c r="L3" s="1">
        <v>3</v>
      </c>
    </row>
    <row r="4" spans="1:12" x14ac:dyDescent="0.2">
      <c r="A4" s="19" t="s">
        <v>54</v>
      </c>
      <c r="J4" s="1" t="s">
        <v>22</v>
      </c>
      <c r="K4" s="1" t="s">
        <v>23</v>
      </c>
      <c r="L4" s="1">
        <v>4</v>
      </c>
    </row>
    <row r="5" spans="1:12" x14ac:dyDescent="0.2">
      <c r="A5" s="20" t="s">
        <v>52</v>
      </c>
      <c r="B5" s="20">
        <v>3</v>
      </c>
      <c r="C5" s="20">
        <v>4</v>
      </c>
      <c r="D5" s="20">
        <v>5</v>
      </c>
      <c r="E5" s="20">
        <v>6</v>
      </c>
      <c r="F5" s="20">
        <v>7</v>
      </c>
      <c r="G5" s="20">
        <v>8</v>
      </c>
      <c r="H5" s="20">
        <v>9</v>
      </c>
      <c r="J5" s="1"/>
    </row>
    <row r="6" spans="1:12" x14ac:dyDescent="0.2">
      <c r="A6" s="20" t="s">
        <v>53</v>
      </c>
      <c r="B6" s="22">
        <f t="shared" ref="B6:H6" si="0">$B$22*0.7*B$3</f>
        <v>15680</v>
      </c>
      <c r="C6" s="22">
        <f t="shared" si="0"/>
        <v>13720</v>
      </c>
      <c r="D6" s="22">
        <f t="shared" si="0"/>
        <v>7840</v>
      </c>
      <c r="E6" s="22">
        <f t="shared" si="0"/>
        <v>1960</v>
      </c>
      <c r="F6" s="22">
        <f t="shared" si="0"/>
        <v>0</v>
      </c>
      <c r="G6" s="22">
        <f t="shared" si="0"/>
        <v>0</v>
      </c>
      <c r="H6" s="22">
        <f t="shared" si="0"/>
        <v>0</v>
      </c>
      <c r="J6" s="1"/>
    </row>
    <row r="7" spans="1:12" x14ac:dyDescent="0.2">
      <c r="A7" s="19" t="s">
        <v>199</v>
      </c>
      <c r="B7" s="1"/>
      <c r="C7" s="1"/>
      <c r="D7" s="1"/>
      <c r="E7" s="1"/>
      <c r="F7" s="1"/>
      <c r="G7" s="1"/>
      <c r="H7" s="1"/>
      <c r="J7" s="1"/>
    </row>
    <row r="8" spans="1:12" x14ac:dyDescent="0.2">
      <c r="A8" s="20" t="s">
        <v>52</v>
      </c>
      <c r="B8" s="20">
        <v>3</v>
      </c>
      <c r="C8" s="20">
        <v>4</v>
      </c>
      <c r="D8" s="20">
        <v>5</v>
      </c>
      <c r="E8" s="20">
        <v>6</v>
      </c>
      <c r="F8" s="20">
        <v>7</v>
      </c>
      <c r="G8" s="20">
        <v>8</v>
      </c>
      <c r="H8" s="20">
        <v>9</v>
      </c>
      <c r="J8" s="1"/>
    </row>
    <row r="9" spans="1:12" x14ac:dyDescent="0.2">
      <c r="A9" s="20" t="s">
        <v>53</v>
      </c>
      <c r="B9" s="22">
        <f>F34</f>
        <v>5227</v>
      </c>
      <c r="C9" s="22">
        <f t="shared" ref="C9:E9" si="1">C6</f>
        <v>13720</v>
      </c>
      <c r="D9" s="22">
        <f t="shared" si="1"/>
        <v>7840</v>
      </c>
      <c r="E9" s="22">
        <f t="shared" si="1"/>
        <v>1960</v>
      </c>
      <c r="F9" s="22">
        <f t="shared" ref="F9:G9" si="2">$B$22*0.7*G$3</f>
        <v>0</v>
      </c>
      <c r="G9" s="22">
        <f t="shared" si="2"/>
        <v>0</v>
      </c>
      <c r="H9" s="20">
        <v>0</v>
      </c>
      <c r="J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J10" s="1"/>
    </row>
    <row r="11" spans="1:12" x14ac:dyDescent="0.2">
      <c r="A11" s="19" t="s">
        <v>57</v>
      </c>
      <c r="B11" s="1"/>
      <c r="C11" s="1"/>
      <c r="D11" s="1"/>
      <c r="E11" s="1"/>
      <c r="F11" s="1"/>
      <c r="G11" s="1"/>
      <c r="H11" s="1"/>
      <c r="J11" s="1"/>
    </row>
    <row r="12" spans="1:12" x14ac:dyDescent="0.2">
      <c r="A12" s="20" t="s">
        <v>58</v>
      </c>
      <c r="B12" s="20">
        <f t="shared" ref="B12:H12" si="3">$F$17*B8</f>
        <v>4.5</v>
      </c>
      <c r="C12" s="20">
        <f t="shared" si="3"/>
        <v>6</v>
      </c>
      <c r="D12" s="20">
        <f t="shared" si="3"/>
        <v>7.5</v>
      </c>
      <c r="E12" s="20">
        <f t="shared" si="3"/>
        <v>9</v>
      </c>
      <c r="F12" s="20">
        <f t="shared" si="3"/>
        <v>10.5</v>
      </c>
      <c r="G12" s="20">
        <f t="shared" si="3"/>
        <v>12</v>
      </c>
      <c r="H12" s="20">
        <f t="shared" si="3"/>
        <v>13.5</v>
      </c>
      <c r="I12" s="20"/>
      <c r="J12" s="1" t="s">
        <v>26</v>
      </c>
      <c r="L12" s="1">
        <f>SUM(L3:L4)</f>
        <v>7</v>
      </c>
    </row>
    <row r="13" spans="1:12" x14ac:dyDescent="0.2">
      <c r="A13" s="20" t="s">
        <v>53</v>
      </c>
      <c r="B13" s="21">
        <f t="shared" ref="B13:H13" si="4">B$9/SUM($B$9:$H$9)</f>
        <v>0.18182766897415381</v>
      </c>
      <c r="C13" s="21">
        <f t="shared" si="4"/>
        <v>0.47726719309841026</v>
      </c>
      <c r="D13" s="21">
        <f t="shared" si="4"/>
        <v>0.27272411034194871</v>
      </c>
      <c r="E13" s="21">
        <f t="shared" si="4"/>
        <v>6.8181027585487178E-2</v>
      </c>
      <c r="F13" s="21">
        <f t="shared" si="4"/>
        <v>0</v>
      </c>
      <c r="G13" s="21">
        <f t="shared" si="4"/>
        <v>0</v>
      </c>
      <c r="H13" s="21">
        <f t="shared" si="4"/>
        <v>0</v>
      </c>
      <c r="I13" s="21"/>
    </row>
    <row r="16" spans="1:12" x14ac:dyDescent="0.2">
      <c r="A16" s="1" t="s">
        <v>59</v>
      </c>
      <c r="B16" s="10">
        <f>B12*B13+C12*C13+D12*D13+E12*E13+F12*F13+G12*G13+H12*H13</f>
        <v>6.3408877448081533</v>
      </c>
      <c r="E16" s="1" t="s">
        <v>60</v>
      </c>
      <c r="F16" s="1">
        <v>40</v>
      </c>
    </row>
    <row r="17" spans="1:9" x14ac:dyDescent="0.2">
      <c r="A17" s="1" t="s">
        <v>62</v>
      </c>
      <c r="B17" s="10">
        <f>B16</f>
        <v>6.3408877448081533</v>
      </c>
      <c r="E17" s="1" t="s">
        <v>63</v>
      </c>
      <c r="F17" s="1">
        <f>60/40</f>
        <v>1.5</v>
      </c>
    </row>
    <row r="18" spans="1:9" x14ac:dyDescent="0.2">
      <c r="A18" s="1" t="s">
        <v>65</v>
      </c>
      <c r="B18" s="10">
        <f>SUM(B16:B17)</f>
        <v>12.681775489616307</v>
      </c>
    </row>
    <row r="19" spans="1:9" x14ac:dyDescent="0.2">
      <c r="A19" s="1" t="s">
        <v>67</v>
      </c>
      <c r="B19" s="10">
        <f>30/B18</f>
        <v>2.3655993614272433</v>
      </c>
      <c r="C19" s="1">
        <v>2</v>
      </c>
      <c r="D19" s="1" t="s">
        <v>68</v>
      </c>
      <c r="E19" s="1" t="s">
        <v>69</v>
      </c>
      <c r="F19" s="1">
        <v>60</v>
      </c>
    </row>
    <row r="20" spans="1:9" x14ac:dyDescent="0.2">
      <c r="A20" s="1" t="s">
        <v>71</v>
      </c>
      <c r="B20" s="1">
        <v>5</v>
      </c>
      <c r="E20" s="1"/>
      <c r="F20" s="1"/>
    </row>
    <row r="21" spans="1:9" x14ac:dyDescent="0.2">
      <c r="A21" s="1" t="s">
        <v>73</v>
      </c>
      <c r="B21" s="1">
        <f>C19*2*B20</f>
        <v>20</v>
      </c>
      <c r="E21" s="1" t="s">
        <v>74</v>
      </c>
      <c r="F21" s="1">
        <v>2</v>
      </c>
    </row>
    <row r="22" spans="1:9" x14ac:dyDescent="0.2">
      <c r="A22" s="1" t="s">
        <v>75</v>
      </c>
      <c r="B22" s="2">
        <f>'Delivery Executive'!F19</f>
        <v>56000</v>
      </c>
      <c r="E22" s="1" t="s">
        <v>76</v>
      </c>
      <c r="F22" s="1">
        <f>B25*F21</f>
        <v>410</v>
      </c>
    </row>
    <row r="23" spans="1:9" x14ac:dyDescent="0.2">
      <c r="A23" s="1" t="s">
        <v>77</v>
      </c>
      <c r="B23" s="1">
        <f>F35</f>
        <v>28746</v>
      </c>
    </row>
    <row r="24" spans="1:9" x14ac:dyDescent="0.2">
      <c r="A24" s="1" t="s">
        <v>78</v>
      </c>
      <c r="B24" s="1">
        <f>ROUND(B23/L12,0)</f>
        <v>4107</v>
      </c>
      <c r="E24" s="23"/>
      <c r="F24" s="24"/>
      <c r="G24" s="24"/>
      <c r="H24" s="24"/>
      <c r="I24" s="25" t="s">
        <v>79</v>
      </c>
    </row>
    <row r="25" spans="1:9" x14ac:dyDescent="0.2">
      <c r="A25" s="1" t="s">
        <v>83</v>
      </c>
      <c r="B25" s="1">
        <f>ROUND(B24/B21,0)</f>
        <v>205</v>
      </c>
      <c r="E25" s="26" t="s">
        <v>84</v>
      </c>
      <c r="F25" s="27">
        <v>25</v>
      </c>
      <c r="G25" s="27"/>
      <c r="H25" s="27" t="s">
        <v>85</v>
      </c>
      <c r="I25" s="28">
        <v>30</v>
      </c>
    </row>
    <row r="26" spans="1:9" x14ac:dyDescent="0.2">
      <c r="E26" s="26" t="s">
        <v>200</v>
      </c>
      <c r="F26" s="27">
        <f>60/F25</f>
        <v>2.4</v>
      </c>
      <c r="G26" s="27"/>
      <c r="H26" s="27" t="s">
        <v>87</v>
      </c>
      <c r="I26" s="28">
        <v>20</v>
      </c>
    </row>
    <row r="27" spans="1:9" x14ac:dyDescent="0.2">
      <c r="E27" s="26"/>
      <c r="F27" s="27"/>
      <c r="G27" s="27"/>
      <c r="H27" s="27" t="s">
        <v>192</v>
      </c>
      <c r="I27" s="28">
        <v>5</v>
      </c>
    </row>
    <row r="28" spans="1:9" x14ac:dyDescent="0.2">
      <c r="A28" s="1" t="s">
        <v>89</v>
      </c>
      <c r="E28" s="26"/>
      <c r="F28" s="27"/>
      <c r="G28" s="27"/>
      <c r="H28" s="27" t="s">
        <v>90</v>
      </c>
      <c r="I28" s="28">
        <v>5</v>
      </c>
    </row>
    <row r="29" spans="1:9" x14ac:dyDescent="0.2">
      <c r="A29" s="5" t="s">
        <v>91</v>
      </c>
      <c r="C29" s="29" t="s">
        <v>92</v>
      </c>
      <c r="D29" s="29" t="s">
        <v>93</v>
      </c>
      <c r="E29" s="26"/>
      <c r="F29" s="27"/>
      <c r="G29" s="27"/>
      <c r="H29" s="27" t="s">
        <v>193</v>
      </c>
      <c r="I29" s="28">
        <v>2.5</v>
      </c>
    </row>
    <row r="30" spans="1:9" x14ac:dyDescent="0.2">
      <c r="A30" s="1" t="s">
        <v>94</v>
      </c>
      <c r="B30" s="1">
        <f>B25</f>
        <v>205</v>
      </c>
      <c r="E30" s="30" t="s">
        <v>95</v>
      </c>
      <c r="F30" s="31"/>
      <c r="G30" s="31"/>
      <c r="H30" s="31"/>
      <c r="I30" s="32"/>
    </row>
    <row r="31" spans="1:9" x14ac:dyDescent="0.2">
      <c r="A31" s="1" t="s">
        <v>96</v>
      </c>
      <c r="B31" s="6">
        <v>130000</v>
      </c>
    </row>
    <row r="32" spans="1:9" x14ac:dyDescent="0.2">
      <c r="A32" s="1" t="s">
        <v>97</v>
      </c>
      <c r="B32" s="6"/>
      <c r="C32" s="6">
        <f>B30*B31</f>
        <v>26650000</v>
      </c>
      <c r="E32" s="1" t="s">
        <v>98</v>
      </c>
      <c r="F32" s="1">
        <f>B22*0.7</f>
        <v>39200</v>
      </c>
    </row>
    <row r="33" spans="1:9" x14ac:dyDescent="0.2">
      <c r="A33" s="1" t="s">
        <v>99</v>
      </c>
      <c r="B33" s="1">
        <v>3</v>
      </c>
      <c r="E33" s="1" t="s">
        <v>194</v>
      </c>
      <c r="F33" s="1">
        <f>ROUND((F32*B3)/3,0)</f>
        <v>5227</v>
      </c>
    </row>
    <row r="34" spans="1:9" x14ac:dyDescent="0.2">
      <c r="A34" s="1" t="s">
        <v>100</v>
      </c>
      <c r="C34" s="6">
        <f>C32/B33</f>
        <v>8883333.333333334</v>
      </c>
      <c r="D34" s="6">
        <f>B31/B33</f>
        <v>43333.333333333336</v>
      </c>
      <c r="E34" s="1" t="s">
        <v>201</v>
      </c>
      <c r="F34" s="1">
        <f>F33</f>
        <v>5227</v>
      </c>
    </row>
    <row r="35" spans="1:9" x14ac:dyDescent="0.2">
      <c r="A35" s="1" t="s">
        <v>102</v>
      </c>
      <c r="B35" s="6">
        <v>13000</v>
      </c>
      <c r="E35" s="1" t="s">
        <v>202</v>
      </c>
      <c r="F35" s="1">
        <f>F32-F34*2</f>
        <v>28746</v>
      </c>
    </row>
    <row r="36" spans="1:9" x14ac:dyDescent="0.2">
      <c r="A36" s="1" t="s">
        <v>104</v>
      </c>
      <c r="B36" s="2">
        <v>3</v>
      </c>
    </row>
    <row r="37" spans="1:9" x14ac:dyDescent="0.2">
      <c r="A37" s="1" t="s">
        <v>107</v>
      </c>
      <c r="B37" s="2">
        <f>B30*3</f>
        <v>615</v>
      </c>
      <c r="E37" s="1" t="s">
        <v>108</v>
      </c>
      <c r="F37" s="1">
        <v>4</v>
      </c>
    </row>
    <row r="38" spans="1:9" x14ac:dyDescent="0.2">
      <c r="A38" s="1" t="s">
        <v>109</v>
      </c>
      <c r="B38" s="2">
        <f>B37*4</f>
        <v>2460</v>
      </c>
      <c r="E38" s="1" t="s">
        <v>110</v>
      </c>
      <c r="F38" s="1">
        <f>7*F37</f>
        <v>28</v>
      </c>
    </row>
    <row r="39" spans="1:9" x14ac:dyDescent="0.2">
      <c r="A39" s="1" t="s">
        <v>111</v>
      </c>
      <c r="B39" s="6"/>
      <c r="C39" s="6">
        <f>B38*B35</f>
        <v>31980000</v>
      </c>
      <c r="D39" s="6">
        <f>B35*3*4</f>
        <v>156000</v>
      </c>
      <c r="E39" s="1" t="s">
        <v>203</v>
      </c>
      <c r="F39" s="1">
        <f>ROUND(F33*2/F38,0)</f>
        <v>373</v>
      </c>
    </row>
    <row r="40" spans="1:9" x14ac:dyDescent="0.2">
      <c r="A40" s="1" t="s">
        <v>113</v>
      </c>
      <c r="B40" s="6">
        <f>6500*12</f>
        <v>78000</v>
      </c>
    </row>
    <row r="41" spans="1:9" x14ac:dyDescent="0.2">
      <c r="A41" s="1" t="s">
        <v>115</v>
      </c>
      <c r="C41" s="6">
        <f>B40*B30</f>
        <v>15990000</v>
      </c>
      <c r="D41" s="6">
        <f>B40</f>
        <v>78000</v>
      </c>
      <c r="E41" s="1" t="s">
        <v>116</v>
      </c>
      <c r="F41" s="1">
        <v>0.75</v>
      </c>
    </row>
    <row r="42" spans="1:9" x14ac:dyDescent="0.2">
      <c r="E42" s="1" t="s">
        <v>118</v>
      </c>
      <c r="F42" s="1">
        <f>F26</f>
        <v>2.4</v>
      </c>
    </row>
    <row r="43" spans="1:9" x14ac:dyDescent="0.2">
      <c r="A43" s="34" t="s">
        <v>119</v>
      </c>
      <c r="B43" s="6">
        <v>200000</v>
      </c>
      <c r="C43" s="34"/>
      <c r="D43" s="34"/>
      <c r="E43" s="1" t="s">
        <v>120</v>
      </c>
      <c r="F43" s="1">
        <f>F42*F41</f>
        <v>1.7999999999999998</v>
      </c>
    </row>
    <row r="44" spans="1:9" x14ac:dyDescent="0.2">
      <c r="A44" s="34" t="s">
        <v>121</v>
      </c>
      <c r="B44" s="35">
        <f>B43*30</f>
        <v>6000000</v>
      </c>
      <c r="D44" s="34"/>
      <c r="E44" s="1"/>
      <c r="H44" s="1"/>
      <c r="I44" s="1"/>
    </row>
    <row r="45" spans="1:9" x14ac:dyDescent="0.2">
      <c r="A45" s="1" t="s">
        <v>204</v>
      </c>
      <c r="C45" s="6">
        <f>B44/3</f>
        <v>2000000</v>
      </c>
      <c r="E45" s="1"/>
      <c r="H45" s="1"/>
      <c r="I45" s="1"/>
    </row>
    <row r="46" spans="1:9" x14ac:dyDescent="0.2">
      <c r="A46" s="1" t="s">
        <v>127</v>
      </c>
      <c r="C46" s="6">
        <f>I62</f>
        <v>73872000</v>
      </c>
      <c r="E46" s="1"/>
      <c r="H46" s="1"/>
      <c r="I46" s="1"/>
    </row>
    <row r="47" spans="1:9" x14ac:dyDescent="0.2">
      <c r="A47" s="1" t="s">
        <v>129</v>
      </c>
      <c r="C47" s="6">
        <f>SUM(C34,C39,C41,C45,C46)</f>
        <v>132725333.33333334</v>
      </c>
      <c r="D47" s="6">
        <f>SUM(D34,D39,D41)</f>
        <v>277333.33333333337</v>
      </c>
      <c r="E47" s="1"/>
      <c r="H47" s="1"/>
      <c r="I47" s="1"/>
    </row>
    <row r="48" spans="1:9" x14ac:dyDescent="0.2">
      <c r="A48" s="1" t="s">
        <v>130</v>
      </c>
      <c r="C48" s="1">
        <v>365</v>
      </c>
      <c r="D48" s="1">
        <f>C48</f>
        <v>365</v>
      </c>
      <c r="E48" s="1"/>
      <c r="H48" s="1" t="s">
        <v>205</v>
      </c>
      <c r="I48" s="1">
        <v>15</v>
      </c>
    </row>
    <row r="49" spans="1:9" x14ac:dyDescent="0.2">
      <c r="A49" s="36" t="s">
        <v>132</v>
      </c>
      <c r="B49" s="36"/>
      <c r="C49" s="37">
        <f t="shared" ref="C49:D49" si="5">C47/C48</f>
        <v>363631.05022831052</v>
      </c>
      <c r="D49" s="37">
        <f t="shared" si="5"/>
        <v>759.81735159817367</v>
      </c>
      <c r="E49" s="1" t="s">
        <v>122</v>
      </c>
      <c r="F49" s="1">
        <f>F43*2</f>
        <v>3.5999999999999996</v>
      </c>
      <c r="H49" s="1" t="s">
        <v>206</v>
      </c>
      <c r="I49" s="1">
        <f>F38/0.7</f>
        <v>40</v>
      </c>
    </row>
    <row r="50" spans="1:9" x14ac:dyDescent="0.2">
      <c r="A50" s="5" t="s">
        <v>133</v>
      </c>
      <c r="C50" s="29" t="s">
        <v>92</v>
      </c>
      <c r="D50" s="29"/>
      <c r="E50" s="1" t="s">
        <v>124</v>
      </c>
      <c r="F50" s="1">
        <v>5</v>
      </c>
      <c r="H50" s="1" t="s">
        <v>207</v>
      </c>
      <c r="I50" s="1">
        <f>I49/I48</f>
        <v>2.6666666666666665</v>
      </c>
    </row>
    <row r="51" spans="1:9" x14ac:dyDescent="0.2">
      <c r="A51" s="1" t="s">
        <v>135</v>
      </c>
      <c r="B51" s="6">
        <v>400000</v>
      </c>
      <c r="E51" s="1" t="s">
        <v>126</v>
      </c>
      <c r="F51" s="1">
        <f>60/F50</f>
        <v>12</v>
      </c>
    </row>
    <row r="52" spans="1:9" x14ac:dyDescent="0.2">
      <c r="A52" s="1" t="s">
        <v>137</v>
      </c>
      <c r="B52" s="1">
        <v>365</v>
      </c>
      <c r="E52" s="1" t="s">
        <v>128</v>
      </c>
      <c r="F52" s="1">
        <f>ROUND(B24/F51,0)</f>
        <v>342</v>
      </c>
      <c r="H52" s="1" t="s">
        <v>138</v>
      </c>
      <c r="I52" s="1">
        <v>55</v>
      </c>
    </row>
    <row r="53" spans="1:9" x14ac:dyDescent="0.2">
      <c r="A53" s="1" t="s">
        <v>139</v>
      </c>
      <c r="B53" s="1">
        <f>B30</f>
        <v>205</v>
      </c>
      <c r="E53" s="1" t="s">
        <v>197</v>
      </c>
      <c r="F53" s="1">
        <f>F52*2</f>
        <v>684</v>
      </c>
      <c r="H53" s="1" t="s">
        <v>140</v>
      </c>
      <c r="I53" s="2">
        <f>I52/I50</f>
        <v>20.625</v>
      </c>
    </row>
    <row r="54" spans="1:9" x14ac:dyDescent="0.2">
      <c r="A54" s="1" t="s">
        <v>141</v>
      </c>
      <c r="C54" s="6">
        <f>B51*B53</f>
        <v>82000000</v>
      </c>
      <c r="E54" s="1" t="s">
        <v>131</v>
      </c>
      <c r="F54" s="1">
        <f>F52+F53</f>
        <v>1026</v>
      </c>
    </row>
    <row r="55" spans="1:9" x14ac:dyDescent="0.2">
      <c r="A55" s="1" t="s">
        <v>142</v>
      </c>
      <c r="B55" s="6">
        <v>50000</v>
      </c>
    </row>
    <row r="56" spans="1:9" x14ac:dyDescent="0.2">
      <c r="A56" s="1" t="s">
        <v>143</v>
      </c>
      <c r="B56" s="1">
        <v>54</v>
      </c>
      <c r="E56" s="1" t="s">
        <v>134</v>
      </c>
      <c r="F56" s="1">
        <f>F39+F54</f>
        <v>1399</v>
      </c>
    </row>
    <row r="57" spans="1:9" x14ac:dyDescent="0.2">
      <c r="A57" s="1" t="s">
        <v>144</v>
      </c>
      <c r="B57" s="6">
        <f>B55*B56</f>
        <v>2700000</v>
      </c>
      <c r="E57" s="1" t="s">
        <v>136</v>
      </c>
      <c r="F57" s="1">
        <f>ROUND(F56*1.1,0)</f>
        <v>1539</v>
      </c>
      <c r="H57" s="1" t="s">
        <v>145</v>
      </c>
      <c r="I57" s="2">
        <v>27735</v>
      </c>
    </row>
    <row r="58" spans="1:9" x14ac:dyDescent="0.2">
      <c r="A58" s="1" t="s">
        <v>146</v>
      </c>
      <c r="B58" s="1"/>
      <c r="C58" s="6">
        <f>B57*12</f>
        <v>32400000</v>
      </c>
    </row>
    <row r="59" spans="1:9" x14ac:dyDescent="0.2">
      <c r="A59" s="1" t="s">
        <v>147</v>
      </c>
      <c r="B59" s="6">
        <v>300000</v>
      </c>
    </row>
    <row r="60" spans="1:9" x14ac:dyDescent="0.2">
      <c r="A60" s="1" t="s">
        <v>208</v>
      </c>
      <c r="B60" s="1">
        <f>B56*2</f>
        <v>108</v>
      </c>
      <c r="E60" s="1" t="s">
        <v>149</v>
      </c>
      <c r="F60" s="6">
        <f>F57*I57</f>
        <v>42684165</v>
      </c>
      <c r="H60" s="1" t="s">
        <v>150</v>
      </c>
      <c r="I60" s="1">
        <v>4000</v>
      </c>
    </row>
    <row r="61" spans="1:9" x14ac:dyDescent="0.2">
      <c r="A61" s="1" t="s">
        <v>209</v>
      </c>
      <c r="C61" s="6">
        <f>B59*B60</f>
        <v>32400000</v>
      </c>
      <c r="F61" s="6">
        <f>F60-I61</f>
        <v>36528165</v>
      </c>
      <c r="H61" s="1" t="s">
        <v>152</v>
      </c>
      <c r="I61" s="6">
        <f>I60*F57</f>
        <v>6156000</v>
      </c>
    </row>
    <row r="62" spans="1:9" x14ac:dyDescent="0.2">
      <c r="A62" s="1" t="s">
        <v>153</v>
      </c>
      <c r="B62" s="6">
        <v>20000</v>
      </c>
      <c r="E62" s="1" t="s">
        <v>154</v>
      </c>
      <c r="F62" s="1">
        <f>39200*21</f>
        <v>823200</v>
      </c>
      <c r="H62" s="1" t="s">
        <v>155</v>
      </c>
      <c r="I62" s="6">
        <f>I61*12</f>
        <v>73872000</v>
      </c>
    </row>
    <row r="63" spans="1:9" x14ac:dyDescent="0.2">
      <c r="A63" s="1" t="s">
        <v>156</v>
      </c>
      <c r="B63" s="6">
        <f>B62*B56</f>
        <v>1080000</v>
      </c>
      <c r="E63" s="1" t="s">
        <v>157</v>
      </c>
      <c r="F63" s="1">
        <f>F62*30</f>
        <v>24696000</v>
      </c>
    </row>
    <row r="64" spans="1:9" x14ac:dyDescent="0.2">
      <c r="A64" s="1" t="s">
        <v>158</v>
      </c>
      <c r="C64" s="6">
        <f>B63*12</f>
        <v>12960000</v>
      </c>
      <c r="E64" s="1" t="s">
        <v>159</v>
      </c>
      <c r="F64" s="6">
        <f>F63*12</f>
        <v>296352000</v>
      </c>
      <c r="H64" s="38" t="s">
        <v>160</v>
      </c>
    </row>
    <row r="65" spans="1:3" x14ac:dyDescent="0.2">
      <c r="A65" s="1" t="s">
        <v>161</v>
      </c>
      <c r="C65" s="6">
        <f>1680000*I53*12</f>
        <v>415800000</v>
      </c>
    </row>
    <row r="66" spans="1:3" x14ac:dyDescent="0.2">
      <c r="A66" s="1" t="s">
        <v>163</v>
      </c>
      <c r="C66" s="6">
        <f>SUM(C54:C65)</f>
        <v>575560000</v>
      </c>
    </row>
    <row r="67" spans="1:3" x14ac:dyDescent="0.2">
      <c r="A67" s="1" t="s">
        <v>130</v>
      </c>
      <c r="C67" s="1">
        <v>365</v>
      </c>
    </row>
    <row r="68" spans="1:3" x14ac:dyDescent="0.2">
      <c r="A68" s="7" t="s">
        <v>164</v>
      </c>
      <c r="B68" s="7"/>
      <c r="C68" s="8">
        <f>C66/C67</f>
        <v>1576876.7123287672</v>
      </c>
    </row>
    <row r="69" spans="1:3" x14ac:dyDescent="0.2">
      <c r="A69" s="5" t="s">
        <v>165</v>
      </c>
    </row>
    <row r="70" spans="1:3" x14ac:dyDescent="0.2">
      <c r="A70" s="1" t="s">
        <v>166</v>
      </c>
      <c r="C70" s="6">
        <f>C68+C49</f>
        <v>1940507.7625570777</v>
      </c>
    </row>
    <row r="71" spans="1:3" x14ac:dyDescent="0.2">
      <c r="A71" s="1" t="s">
        <v>168</v>
      </c>
      <c r="C71" s="6">
        <f>70*56000</f>
        <v>3920000</v>
      </c>
    </row>
    <row r="72" spans="1:3" x14ac:dyDescent="0.2">
      <c r="A72" s="12" t="s">
        <v>45</v>
      </c>
      <c r="B72" s="12"/>
      <c r="C72" s="13">
        <f>C71-C70</f>
        <v>1979492.2374429223</v>
      </c>
    </row>
  </sheetData>
  <hyperlinks>
    <hyperlink ref="H64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C6:E14"/>
  <sheetViews>
    <sheetView workbookViewId="0"/>
  </sheetViews>
  <sheetFormatPr defaultColWidth="12.5703125" defaultRowHeight="15.75" customHeight="1" x14ac:dyDescent="0.2"/>
  <cols>
    <col min="4" max="4" width="19.85546875" customWidth="1"/>
  </cols>
  <sheetData>
    <row r="6" spans="3:5" x14ac:dyDescent="0.2">
      <c r="C6" s="1" t="s">
        <v>210</v>
      </c>
    </row>
    <row r="7" spans="3:5" x14ac:dyDescent="0.2">
      <c r="C7" s="1">
        <v>1</v>
      </c>
      <c r="D7" s="1" t="s">
        <v>211</v>
      </c>
    </row>
    <row r="8" spans="3:5" x14ac:dyDescent="0.2">
      <c r="C8" s="1">
        <v>2</v>
      </c>
      <c r="D8" s="1" t="s">
        <v>212</v>
      </c>
      <c r="E8" s="1" t="s">
        <v>213</v>
      </c>
    </row>
    <row r="9" spans="3:5" x14ac:dyDescent="0.2">
      <c r="C9" s="1">
        <v>3</v>
      </c>
      <c r="D9" s="1" t="s">
        <v>212</v>
      </c>
      <c r="E9" s="1" t="s">
        <v>214</v>
      </c>
    </row>
    <row r="10" spans="3:5" x14ac:dyDescent="0.2">
      <c r="C10" s="1">
        <v>4</v>
      </c>
      <c r="D10" s="1" t="s">
        <v>215</v>
      </c>
    </row>
    <row r="11" spans="3:5" x14ac:dyDescent="0.2">
      <c r="C11" s="1">
        <v>5</v>
      </c>
      <c r="D11" s="1" t="s">
        <v>216</v>
      </c>
      <c r="E11" s="1" t="s">
        <v>213</v>
      </c>
    </row>
    <row r="12" spans="3:5" x14ac:dyDescent="0.2">
      <c r="C12" s="1">
        <v>6</v>
      </c>
      <c r="D12" s="1" t="s">
        <v>216</v>
      </c>
      <c r="E12" s="1" t="s">
        <v>214</v>
      </c>
    </row>
    <row r="13" spans="3:5" x14ac:dyDescent="0.2">
      <c r="C13" s="1">
        <v>7</v>
      </c>
      <c r="D13" s="1" t="s">
        <v>217</v>
      </c>
    </row>
    <row r="14" spans="3:5" x14ac:dyDescent="0.2">
      <c r="C14" s="1">
        <v>8</v>
      </c>
      <c r="D14" s="1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27"/>
  <sheetViews>
    <sheetView workbookViewId="0"/>
  </sheetViews>
  <sheetFormatPr defaultColWidth="12.5703125" defaultRowHeight="15.75" customHeight="1" x14ac:dyDescent="0.2"/>
  <cols>
    <col min="2" max="2" width="34.42578125" customWidth="1"/>
    <col min="5" max="5" width="43.85546875" customWidth="1"/>
  </cols>
  <sheetData>
    <row r="3" spans="2:10" x14ac:dyDescent="0.2">
      <c r="B3" s="1" t="s">
        <v>0</v>
      </c>
      <c r="C3" s="2">
        <v>7000000</v>
      </c>
      <c r="F3" s="1" t="s">
        <v>1</v>
      </c>
      <c r="G3" s="1" t="s">
        <v>2</v>
      </c>
    </row>
    <row r="4" spans="2:10" x14ac:dyDescent="0.2">
      <c r="B4" s="1" t="s">
        <v>3</v>
      </c>
      <c r="C4" s="2">
        <f>C3*0.24</f>
        <v>1680000</v>
      </c>
      <c r="E4" s="1" t="s">
        <v>4</v>
      </c>
      <c r="F4" s="1">
        <v>350</v>
      </c>
      <c r="G4" s="1">
        <f>C4/F4</f>
        <v>4800</v>
      </c>
    </row>
    <row r="5" spans="2:10" x14ac:dyDescent="0.2">
      <c r="B5" s="1" t="s">
        <v>5</v>
      </c>
      <c r="C5" s="1">
        <v>425</v>
      </c>
      <c r="E5" s="1" t="s">
        <v>6</v>
      </c>
      <c r="F5" s="1">
        <v>500</v>
      </c>
      <c r="G5" s="1">
        <f>C4/F5</f>
        <v>3360</v>
      </c>
    </row>
    <row r="6" spans="2:10" x14ac:dyDescent="0.2">
      <c r="B6" s="1" t="s">
        <v>7</v>
      </c>
      <c r="C6" s="1">
        <f>C4/C5</f>
        <v>3952.9411764705883</v>
      </c>
      <c r="D6" s="3" t="s">
        <v>8</v>
      </c>
    </row>
    <row r="7" spans="2:10" x14ac:dyDescent="0.2">
      <c r="B7" s="1" t="s">
        <v>9</v>
      </c>
      <c r="C7" s="1">
        <f>C6*10%</f>
        <v>395.29411764705884</v>
      </c>
    </row>
    <row r="8" spans="2:10" x14ac:dyDescent="0.2">
      <c r="B8" s="1" t="s">
        <v>10</v>
      </c>
      <c r="C8" s="1">
        <f>C6-C7</f>
        <v>3557.6470588235293</v>
      </c>
      <c r="D8" s="3" t="s">
        <v>11</v>
      </c>
    </row>
    <row r="9" spans="2:10" x14ac:dyDescent="0.2">
      <c r="B9" s="1" t="s">
        <v>12</v>
      </c>
      <c r="C9" s="4">
        <f>AVERAGE(C6,C8)</f>
        <v>3755.2941176470586</v>
      </c>
    </row>
    <row r="10" spans="2:10" x14ac:dyDescent="0.2">
      <c r="B10" s="5" t="s">
        <v>13</v>
      </c>
      <c r="E10" s="5" t="s">
        <v>14</v>
      </c>
      <c r="H10" s="1" t="s">
        <v>15</v>
      </c>
      <c r="J10" s="1" t="s">
        <v>16</v>
      </c>
    </row>
    <row r="11" spans="2:10" x14ac:dyDescent="0.2">
      <c r="B11" s="1" t="s">
        <v>17</v>
      </c>
      <c r="C11" s="4">
        <f>C9</f>
        <v>3755.2941176470586</v>
      </c>
      <c r="E11" s="1" t="s">
        <v>17</v>
      </c>
      <c r="F11" s="4">
        <f>C9</f>
        <v>3755.2941176470586</v>
      </c>
      <c r="H11" s="1" t="s">
        <v>18</v>
      </c>
      <c r="I11" s="1" t="s">
        <v>19</v>
      </c>
      <c r="J11" s="1">
        <v>3</v>
      </c>
    </row>
    <row r="12" spans="2:10" x14ac:dyDescent="0.2">
      <c r="B12" s="1" t="s">
        <v>20</v>
      </c>
      <c r="C12" s="6">
        <v>4000</v>
      </c>
      <c r="E12" s="1" t="s">
        <v>21</v>
      </c>
      <c r="F12" s="1">
        <f>C5</f>
        <v>425</v>
      </c>
      <c r="H12" s="1" t="s">
        <v>22</v>
      </c>
      <c r="I12" s="1" t="s">
        <v>23</v>
      </c>
      <c r="J12" s="1">
        <v>4</v>
      </c>
    </row>
    <row r="13" spans="2:10" x14ac:dyDescent="0.2">
      <c r="B13" s="1" t="s">
        <v>24</v>
      </c>
      <c r="C13" s="6">
        <f>C12*C11</f>
        <v>15021176.470588233</v>
      </c>
      <c r="E13" s="1" t="s">
        <v>25</v>
      </c>
      <c r="F13" s="6">
        <v>55</v>
      </c>
      <c r="H13" s="1" t="s">
        <v>26</v>
      </c>
      <c r="J13" s="1">
        <f>SUM(J11:J12)</f>
        <v>7</v>
      </c>
    </row>
    <row r="14" spans="2:10" x14ac:dyDescent="0.2">
      <c r="B14" s="1" t="s">
        <v>27</v>
      </c>
      <c r="C14" s="6">
        <f>C13*12</f>
        <v>180254117.64705878</v>
      </c>
      <c r="E14" s="1" t="s">
        <v>28</v>
      </c>
      <c r="F14" s="6">
        <f>F12*F13</f>
        <v>23375</v>
      </c>
    </row>
    <row r="15" spans="2:10" x14ac:dyDescent="0.2">
      <c r="B15" s="7" t="s">
        <v>29</v>
      </c>
      <c r="C15" s="8">
        <f>C14/365</f>
        <v>493846.89766317478</v>
      </c>
      <c r="E15" s="1" t="s">
        <v>30</v>
      </c>
      <c r="F15" s="6">
        <f>F14*F11</f>
        <v>87780000</v>
      </c>
    </row>
    <row r="16" spans="2:10" x14ac:dyDescent="0.2">
      <c r="E16" s="7" t="s">
        <v>31</v>
      </c>
      <c r="F16" s="8">
        <f>(F15*12)/365</f>
        <v>2885917.8082191781</v>
      </c>
    </row>
    <row r="18" spans="2:7" x14ac:dyDescent="0.2">
      <c r="B18" s="3" t="s">
        <v>32</v>
      </c>
      <c r="C18" s="9">
        <f>C13+F15</f>
        <v>102801176.47058824</v>
      </c>
      <c r="E18" s="3" t="s">
        <v>33</v>
      </c>
      <c r="F18" s="10">
        <f>F19/C9</f>
        <v>14.912280701754387</v>
      </c>
    </row>
    <row r="19" spans="2:7" x14ac:dyDescent="0.2">
      <c r="B19" s="7" t="s">
        <v>34</v>
      </c>
      <c r="C19" s="8">
        <f>C18/C11</f>
        <v>27375.000000000004</v>
      </c>
      <c r="E19" s="1" t="s">
        <v>35</v>
      </c>
      <c r="F19" s="2">
        <f>C4/30</f>
        <v>56000</v>
      </c>
    </row>
    <row r="20" spans="2:7" x14ac:dyDescent="0.2">
      <c r="B20" s="7" t="s">
        <v>36</v>
      </c>
      <c r="C20" s="8">
        <f>C15+F16</f>
        <v>3379764.7058823528</v>
      </c>
      <c r="E20" s="1" t="s">
        <v>37</v>
      </c>
      <c r="F20" s="2">
        <f>F19*30</f>
        <v>1680000</v>
      </c>
    </row>
    <row r="21" spans="2:7" x14ac:dyDescent="0.2">
      <c r="E21" s="1" t="s">
        <v>38</v>
      </c>
      <c r="F21" s="6">
        <f>F19*70</f>
        <v>3920000</v>
      </c>
      <c r="G21" s="11">
        <f>C20/F21</f>
        <v>0.86218487394957977</v>
      </c>
    </row>
    <row r="22" spans="2:7" x14ac:dyDescent="0.2">
      <c r="B22" s="5" t="s">
        <v>39</v>
      </c>
      <c r="E22" s="12" t="s">
        <v>40</v>
      </c>
      <c r="F22" s="13">
        <f>F21-C20</f>
        <v>540235.29411764722</v>
      </c>
      <c r="G22" s="1" t="s">
        <v>41</v>
      </c>
    </row>
    <row r="23" spans="2:7" x14ac:dyDescent="0.2">
      <c r="B23" s="1" t="s">
        <v>1</v>
      </c>
      <c r="C23" s="2">
        <f>C4</f>
        <v>1680000</v>
      </c>
    </row>
    <row r="24" spans="2:7" x14ac:dyDescent="0.2">
      <c r="B24" s="1" t="s">
        <v>42</v>
      </c>
      <c r="C24" s="6">
        <v>70</v>
      </c>
    </row>
    <row r="25" spans="2:7" x14ac:dyDescent="0.2">
      <c r="B25" s="3" t="s">
        <v>43</v>
      </c>
      <c r="C25" s="9">
        <f>C23*C24</f>
        <v>117600000</v>
      </c>
      <c r="E25" s="14" t="s">
        <v>44</v>
      </c>
    </row>
    <row r="26" spans="2:7" x14ac:dyDescent="0.2">
      <c r="B26" s="15" t="s">
        <v>45</v>
      </c>
      <c r="C26" s="16">
        <f>C25-C18</f>
        <v>14798823.529411763</v>
      </c>
      <c r="D26" s="3" t="s">
        <v>46</v>
      </c>
      <c r="E26" s="17" t="s">
        <v>47</v>
      </c>
      <c r="F26" s="18">
        <f>C20/F21</f>
        <v>0.86218487394957977</v>
      </c>
    </row>
    <row r="27" spans="2:7" x14ac:dyDescent="0.2">
      <c r="E27" s="17" t="s">
        <v>48</v>
      </c>
      <c r="F27" s="18">
        <f>1-F26</f>
        <v>0.13781512605042023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5:G22"/>
  <sheetViews>
    <sheetView workbookViewId="0"/>
  </sheetViews>
  <sheetFormatPr defaultColWidth="12.5703125" defaultRowHeight="15.75" customHeight="1" x14ac:dyDescent="0.2"/>
  <cols>
    <col min="2" max="2" width="34.42578125" customWidth="1"/>
    <col min="3" max="3" width="11.140625" customWidth="1"/>
    <col min="6" max="6" width="30.42578125" customWidth="1"/>
  </cols>
  <sheetData>
    <row r="5" spans="2:7" x14ac:dyDescent="0.2">
      <c r="B5" s="1" t="s">
        <v>0</v>
      </c>
      <c r="C5" s="2">
        <v>7000000</v>
      </c>
      <c r="F5" s="5" t="s">
        <v>14</v>
      </c>
    </row>
    <row r="6" spans="2:7" x14ac:dyDescent="0.2">
      <c r="B6" s="1" t="s">
        <v>3</v>
      </c>
      <c r="C6" s="2">
        <f>C5*0.24</f>
        <v>1680000</v>
      </c>
      <c r="F6" s="1" t="s">
        <v>17</v>
      </c>
      <c r="G6" s="1">
        <f>ROUND(3755.29411764706,0)</f>
        <v>3755</v>
      </c>
    </row>
    <row r="7" spans="2:7" x14ac:dyDescent="0.2">
      <c r="B7" s="1" t="s">
        <v>5</v>
      </c>
      <c r="C7" s="1">
        <v>425</v>
      </c>
      <c r="F7" s="1" t="s">
        <v>21</v>
      </c>
      <c r="G7" s="1">
        <v>425</v>
      </c>
    </row>
    <row r="8" spans="2:7" x14ac:dyDescent="0.2">
      <c r="B8" s="1" t="s">
        <v>7</v>
      </c>
      <c r="C8" s="1">
        <f>C6/C7</f>
        <v>3952.9411764705883</v>
      </c>
      <c r="D8" s="3" t="s">
        <v>8</v>
      </c>
      <c r="F8" s="1" t="s">
        <v>25</v>
      </c>
      <c r="G8" s="6">
        <v>55</v>
      </c>
    </row>
    <row r="9" spans="2:7" x14ac:dyDescent="0.2">
      <c r="B9" s="1" t="s">
        <v>9</v>
      </c>
      <c r="C9" s="1">
        <f>C8*10%</f>
        <v>395.29411764705884</v>
      </c>
      <c r="F9" s="1" t="s">
        <v>28</v>
      </c>
      <c r="G9" s="6">
        <v>23375</v>
      </c>
    </row>
    <row r="10" spans="2:7" x14ac:dyDescent="0.2">
      <c r="B10" s="1" t="s">
        <v>10</v>
      </c>
      <c r="C10" s="1">
        <f>C8-C9</f>
        <v>3557.6470588235293</v>
      </c>
      <c r="D10" s="3" t="s">
        <v>11</v>
      </c>
      <c r="F10" s="1" t="s">
        <v>30</v>
      </c>
      <c r="G10" s="6">
        <v>87780000</v>
      </c>
    </row>
    <row r="11" spans="2:7" x14ac:dyDescent="0.2">
      <c r="B11" s="1" t="s">
        <v>12</v>
      </c>
      <c r="C11" s="4">
        <f>AVERAGE(C8,C10)</f>
        <v>3755.2941176470586</v>
      </c>
      <c r="F11" s="7" t="s">
        <v>31</v>
      </c>
      <c r="G11" s="8">
        <f>ROUND(2885917.80821918,0)</f>
        <v>2885918</v>
      </c>
    </row>
    <row r="12" spans="2:7" x14ac:dyDescent="0.2">
      <c r="B12" s="5" t="s">
        <v>13</v>
      </c>
    </row>
    <row r="13" spans="2:7" x14ac:dyDescent="0.2">
      <c r="B13" s="1" t="s">
        <v>17</v>
      </c>
      <c r="C13" s="4">
        <f>C11</f>
        <v>3755.2941176470586</v>
      </c>
    </row>
    <row r="14" spans="2:7" x14ac:dyDescent="0.2">
      <c r="B14" s="1" t="s">
        <v>20</v>
      </c>
      <c r="C14" s="6">
        <v>4000</v>
      </c>
    </row>
    <row r="15" spans="2:7" x14ac:dyDescent="0.2">
      <c r="B15" s="1" t="s">
        <v>24</v>
      </c>
      <c r="C15" s="6">
        <f>C14*C13</f>
        <v>15021176.470588233</v>
      </c>
    </row>
    <row r="16" spans="2:7" x14ac:dyDescent="0.2">
      <c r="B16" s="1" t="s">
        <v>27</v>
      </c>
      <c r="C16" s="6">
        <f>C15*12</f>
        <v>180254117.64705878</v>
      </c>
    </row>
    <row r="17" spans="2:7" x14ac:dyDescent="0.2">
      <c r="B17" s="7" t="s">
        <v>29</v>
      </c>
      <c r="C17" s="8">
        <f>C16/365</f>
        <v>493846.89766317478</v>
      </c>
    </row>
    <row r="18" spans="2:7" x14ac:dyDescent="0.2">
      <c r="F18" s="1" t="s">
        <v>49</v>
      </c>
      <c r="G18" s="6">
        <v>27375.000000000004</v>
      </c>
    </row>
    <row r="21" spans="2:7" x14ac:dyDescent="0.2">
      <c r="C21" s="6"/>
    </row>
    <row r="22" spans="2:7" x14ac:dyDescent="0.2">
      <c r="B22" s="7" t="s">
        <v>36</v>
      </c>
      <c r="C22" s="8">
        <v>3379764.7058823528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1"/>
  <sheetViews>
    <sheetView workbookViewId="0"/>
  </sheetViews>
  <sheetFormatPr defaultColWidth="12.5703125" defaultRowHeight="15.75" customHeight="1" x14ac:dyDescent="0.2"/>
  <cols>
    <col min="1" max="1" width="51.85546875" customWidth="1"/>
    <col min="5" max="5" width="52.140625" customWidth="1"/>
    <col min="8" max="8" width="46.7109375" customWidth="1"/>
    <col min="9" max="9" width="20.85546875" customWidth="1"/>
    <col min="11" max="11" width="13.42578125" customWidth="1"/>
    <col min="12" max="12" width="13.5703125" customWidth="1"/>
  </cols>
  <sheetData>
    <row r="1" spans="1:12" x14ac:dyDescent="0.2">
      <c r="A1" s="19" t="s">
        <v>50</v>
      </c>
      <c r="B1" s="1" t="s">
        <v>51</v>
      </c>
    </row>
    <row r="2" spans="1:12" x14ac:dyDescent="0.2">
      <c r="A2" s="20" t="s">
        <v>52</v>
      </c>
      <c r="B2" s="20">
        <v>3</v>
      </c>
      <c r="C2" s="20">
        <v>4</v>
      </c>
      <c r="D2" s="20">
        <v>5</v>
      </c>
      <c r="E2" s="20">
        <v>6</v>
      </c>
      <c r="F2" s="20">
        <v>7</v>
      </c>
      <c r="G2" s="20">
        <v>8</v>
      </c>
      <c r="H2" s="20">
        <v>9</v>
      </c>
      <c r="J2" s="1" t="s">
        <v>15</v>
      </c>
      <c r="L2" s="1" t="s">
        <v>16</v>
      </c>
    </row>
    <row r="3" spans="1:12" x14ac:dyDescent="0.2">
      <c r="A3" s="20" t="s">
        <v>53</v>
      </c>
      <c r="B3" s="21">
        <v>0.4</v>
      </c>
      <c r="C3" s="21">
        <v>0.35</v>
      </c>
      <c r="D3" s="21">
        <v>0.2</v>
      </c>
      <c r="E3" s="21">
        <v>0.05</v>
      </c>
      <c r="F3" s="21">
        <v>0</v>
      </c>
      <c r="G3" s="21">
        <v>0</v>
      </c>
      <c r="H3" s="21">
        <v>0</v>
      </c>
      <c r="J3" s="1" t="s">
        <v>18</v>
      </c>
      <c r="K3" s="1" t="s">
        <v>19</v>
      </c>
      <c r="L3" s="1">
        <v>3</v>
      </c>
    </row>
    <row r="4" spans="1:12" x14ac:dyDescent="0.2">
      <c r="A4" s="19" t="s">
        <v>54</v>
      </c>
      <c r="J4" s="1" t="s">
        <v>22</v>
      </c>
      <c r="K4" s="1" t="s">
        <v>23</v>
      </c>
      <c r="L4" s="1">
        <v>4</v>
      </c>
    </row>
    <row r="5" spans="1:12" x14ac:dyDescent="0.2">
      <c r="A5" s="20" t="s">
        <v>52</v>
      </c>
      <c r="B5" s="20">
        <v>3</v>
      </c>
      <c r="C5" s="20">
        <v>4</v>
      </c>
      <c r="D5" s="20">
        <v>5</v>
      </c>
      <c r="E5" s="20">
        <v>6</v>
      </c>
      <c r="F5" s="20">
        <v>7</v>
      </c>
      <c r="G5" s="20">
        <v>8</v>
      </c>
      <c r="H5" s="20">
        <v>9</v>
      </c>
      <c r="J5" s="1"/>
    </row>
    <row r="6" spans="1:12" x14ac:dyDescent="0.2">
      <c r="A6" s="20" t="s">
        <v>53</v>
      </c>
      <c r="B6" s="22">
        <f t="shared" ref="B6:H6" si="0">$B$22*0.7*B$3</f>
        <v>15680</v>
      </c>
      <c r="C6" s="22">
        <f t="shared" si="0"/>
        <v>13720</v>
      </c>
      <c r="D6" s="22">
        <f t="shared" si="0"/>
        <v>7840</v>
      </c>
      <c r="E6" s="22">
        <f t="shared" si="0"/>
        <v>1960</v>
      </c>
      <c r="F6" s="22">
        <f t="shared" si="0"/>
        <v>0</v>
      </c>
      <c r="G6" s="22">
        <f t="shared" si="0"/>
        <v>0</v>
      </c>
      <c r="H6" s="22">
        <f t="shared" si="0"/>
        <v>0</v>
      </c>
      <c r="J6" s="1"/>
    </row>
    <row r="7" spans="1:12" x14ac:dyDescent="0.2">
      <c r="A7" s="19" t="s">
        <v>55</v>
      </c>
      <c r="B7" s="1" t="s">
        <v>56</v>
      </c>
      <c r="C7" s="1"/>
      <c r="D7" s="1"/>
      <c r="E7" s="1"/>
      <c r="F7" s="1"/>
      <c r="G7" s="1"/>
      <c r="H7" s="1"/>
      <c r="J7" s="1"/>
    </row>
    <row r="8" spans="1:12" x14ac:dyDescent="0.2">
      <c r="A8" s="20" t="s">
        <v>52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1"/>
    </row>
    <row r="9" spans="1:12" x14ac:dyDescent="0.2">
      <c r="A9" s="20" t="s">
        <v>53</v>
      </c>
      <c r="B9" s="22">
        <f>B6/3*0.5</f>
        <v>2613.3333333333335</v>
      </c>
      <c r="C9" s="22">
        <f>B9*2</f>
        <v>5226.666666666667</v>
      </c>
      <c r="D9" s="22">
        <f t="shared" ref="D9:F9" si="1">C6</f>
        <v>13720</v>
      </c>
      <c r="E9" s="22">
        <f t="shared" si="1"/>
        <v>7840</v>
      </c>
      <c r="F9" s="22">
        <f t="shared" si="1"/>
        <v>1960</v>
      </c>
      <c r="G9" s="22">
        <f t="shared" ref="G9:H9" si="2">$B$22*0.7*G$3</f>
        <v>0</v>
      </c>
      <c r="H9" s="22">
        <f t="shared" si="2"/>
        <v>0</v>
      </c>
      <c r="I9" s="20">
        <v>0</v>
      </c>
      <c r="J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J10" s="1"/>
    </row>
    <row r="11" spans="1:12" x14ac:dyDescent="0.2">
      <c r="A11" s="19" t="s">
        <v>57</v>
      </c>
      <c r="B11" s="1"/>
      <c r="C11" s="1"/>
      <c r="D11" s="1"/>
      <c r="E11" s="1"/>
      <c r="F11" s="1"/>
      <c r="G11" s="1"/>
      <c r="H11" s="1"/>
      <c r="J11" s="1"/>
    </row>
    <row r="12" spans="1:12" x14ac:dyDescent="0.2">
      <c r="A12" s="20" t="s">
        <v>58</v>
      </c>
      <c r="B12" s="20">
        <f t="shared" ref="B12:I12" si="3">$F$17*B8</f>
        <v>3</v>
      </c>
      <c r="C12" s="20">
        <f t="shared" si="3"/>
        <v>4.5</v>
      </c>
      <c r="D12" s="20">
        <f t="shared" si="3"/>
        <v>6</v>
      </c>
      <c r="E12" s="20">
        <f t="shared" si="3"/>
        <v>7.5</v>
      </c>
      <c r="F12" s="20">
        <f t="shared" si="3"/>
        <v>9</v>
      </c>
      <c r="G12" s="20">
        <f t="shared" si="3"/>
        <v>10.5</v>
      </c>
      <c r="H12" s="20">
        <f t="shared" si="3"/>
        <v>12</v>
      </c>
      <c r="I12" s="20">
        <f t="shared" si="3"/>
        <v>13.5</v>
      </c>
      <c r="J12" s="1" t="s">
        <v>26</v>
      </c>
      <c r="L12" s="1">
        <f>SUM(L3:L4)</f>
        <v>7</v>
      </c>
    </row>
    <row r="13" spans="1:12" x14ac:dyDescent="0.2">
      <c r="A13" s="20" t="s">
        <v>53</v>
      </c>
      <c r="B13" s="21">
        <f t="shared" ref="B13:I13" si="4">B$9/SUM($B$9:$I$9)</f>
        <v>8.3333333333333343E-2</v>
      </c>
      <c r="C13" s="21">
        <f t="shared" si="4"/>
        <v>0.16666666666666669</v>
      </c>
      <c r="D13" s="21">
        <f t="shared" si="4"/>
        <v>0.4375</v>
      </c>
      <c r="E13" s="21">
        <f t="shared" si="4"/>
        <v>0.25</v>
      </c>
      <c r="F13" s="21">
        <f t="shared" si="4"/>
        <v>6.25E-2</v>
      </c>
      <c r="G13" s="21">
        <f t="shared" si="4"/>
        <v>0</v>
      </c>
      <c r="H13" s="21">
        <f t="shared" si="4"/>
        <v>0</v>
      </c>
      <c r="I13" s="21">
        <f t="shared" si="4"/>
        <v>0</v>
      </c>
    </row>
    <row r="16" spans="1:12" x14ac:dyDescent="0.2">
      <c r="A16" s="1" t="s">
        <v>59</v>
      </c>
      <c r="B16" s="4">
        <v>6</v>
      </c>
      <c r="E16" s="1" t="s">
        <v>60</v>
      </c>
      <c r="F16" s="1">
        <v>40</v>
      </c>
      <c r="H16" s="1" t="s">
        <v>61</v>
      </c>
      <c r="I16" s="1">
        <f>B2*B3+C2*C3+D2*D3+E2*E3+F2*F3+G2*G3+H2*H3</f>
        <v>3.9000000000000004</v>
      </c>
      <c r="J16" s="1">
        <f>1*0.1333+2*0.1333+3*0.1334+4*0.35+5*0.2+6*0.05</f>
        <v>3.5000999999999998</v>
      </c>
    </row>
    <row r="17" spans="1:13" x14ac:dyDescent="0.2">
      <c r="A17" s="1" t="s">
        <v>62</v>
      </c>
      <c r="B17" s="4">
        <f>B16</f>
        <v>6</v>
      </c>
      <c r="E17" s="1" t="s">
        <v>63</v>
      </c>
      <c r="F17" s="1">
        <f>60/40</f>
        <v>1.5</v>
      </c>
      <c r="H17" s="1" t="s">
        <v>64</v>
      </c>
      <c r="I17" s="1">
        <v>3</v>
      </c>
      <c r="J17" s="1">
        <v>3</v>
      </c>
    </row>
    <row r="18" spans="1:13" x14ac:dyDescent="0.2">
      <c r="A18" s="1" t="s">
        <v>65</v>
      </c>
      <c r="B18" s="4">
        <f>SUM(B16:B17)</f>
        <v>12</v>
      </c>
      <c r="H18" s="1" t="s">
        <v>66</v>
      </c>
      <c r="I18" s="1">
        <f t="shared" ref="I18:J18" si="5">SUM(I16:I17)</f>
        <v>6.9</v>
      </c>
      <c r="J18" s="1">
        <f t="shared" si="5"/>
        <v>6.5000999999999998</v>
      </c>
    </row>
    <row r="19" spans="1:13" x14ac:dyDescent="0.2">
      <c r="A19" s="1" t="s">
        <v>67</v>
      </c>
      <c r="B19" s="10">
        <f>30/B18</f>
        <v>2.5</v>
      </c>
      <c r="C19" s="1">
        <v>2</v>
      </c>
      <c r="D19" s="1" t="s">
        <v>68</v>
      </c>
      <c r="E19" s="1" t="s">
        <v>69</v>
      </c>
      <c r="F19" s="1">
        <v>60</v>
      </c>
      <c r="H19" s="1" t="s">
        <v>70</v>
      </c>
      <c r="I19" s="1">
        <v>55</v>
      </c>
      <c r="J19" s="1">
        <v>55</v>
      </c>
    </row>
    <row r="20" spans="1:13" x14ac:dyDescent="0.2">
      <c r="A20" s="1" t="s">
        <v>71</v>
      </c>
      <c r="B20" s="1">
        <v>5</v>
      </c>
      <c r="E20" s="1"/>
      <c r="F20" s="1"/>
      <c r="H20" s="1" t="s">
        <v>72</v>
      </c>
      <c r="I20" s="10">
        <f t="shared" ref="I20:J20" si="6">I19/I18</f>
        <v>7.9710144927536231</v>
      </c>
      <c r="J20" s="10">
        <f t="shared" si="6"/>
        <v>8.4614082860263693</v>
      </c>
    </row>
    <row r="21" spans="1:13" x14ac:dyDescent="0.2">
      <c r="A21" s="1" t="s">
        <v>73</v>
      </c>
      <c r="B21" s="1">
        <f>C19*2*B20</f>
        <v>20</v>
      </c>
      <c r="E21" s="1" t="s">
        <v>74</v>
      </c>
      <c r="F21" s="1">
        <v>2</v>
      </c>
    </row>
    <row r="22" spans="1:13" x14ac:dyDescent="0.2">
      <c r="A22" s="1" t="s">
        <v>75</v>
      </c>
      <c r="B22" s="2">
        <f>'Delivery Executive'!F19</f>
        <v>56000</v>
      </c>
      <c r="E22" s="1" t="s">
        <v>76</v>
      </c>
      <c r="F22" s="1">
        <f>B25*F21</f>
        <v>336</v>
      </c>
    </row>
    <row r="23" spans="1:13" x14ac:dyDescent="0.2">
      <c r="A23" s="1" t="s">
        <v>77</v>
      </c>
      <c r="B23" s="2">
        <f>F35</f>
        <v>23520</v>
      </c>
    </row>
    <row r="24" spans="1:13" x14ac:dyDescent="0.2">
      <c r="A24" s="1" t="s">
        <v>78</v>
      </c>
      <c r="B24" s="1">
        <f>ROUND(B23/L12,0)</f>
        <v>3360</v>
      </c>
      <c r="E24" s="23"/>
      <c r="F24" s="24"/>
      <c r="G24" s="24"/>
      <c r="H24" s="24"/>
      <c r="I24" s="25" t="s">
        <v>79</v>
      </c>
      <c r="K24" s="1" t="s">
        <v>80</v>
      </c>
      <c r="L24" s="1" t="s">
        <v>81</v>
      </c>
      <c r="M24" s="1" t="s">
        <v>82</v>
      </c>
    </row>
    <row r="25" spans="1:13" x14ac:dyDescent="0.2">
      <c r="A25" s="1" t="s">
        <v>83</v>
      </c>
      <c r="B25" s="1">
        <f>ROUND(B24/B21,0)</f>
        <v>168</v>
      </c>
      <c r="E25" s="26" t="s">
        <v>84</v>
      </c>
      <c r="F25" s="27">
        <v>25</v>
      </c>
      <c r="G25" s="27"/>
      <c r="H25" s="27" t="s">
        <v>85</v>
      </c>
      <c r="I25" s="28">
        <v>30</v>
      </c>
      <c r="K25" s="1">
        <v>56000</v>
      </c>
      <c r="L25" s="1">
        <v>3755</v>
      </c>
      <c r="M25" s="1">
        <f t="shared" ref="M25:M26" si="7">ROUND(K25/L25,0)</f>
        <v>15</v>
      </c>
    </row>
    <row r="26" spans="1:13" x14ac:dyDescent="0.2">
      <c r="E26" s="26" t="s">
        <v>86</v>
      </c>
      <c r="F26" s="27">
        <f>ROUND(J40*2.4,0)</f>
        <v>5</v>
      </c>
      <c r="G26" s="27"/>
      <c r="H26" s="27" t="s">
        <v>87</v>
      </c>
      <c r="I26" s="28">
        <v>20</v>
      </c>
      <c r="K26" s="1">
        <v>56000</v>
      </c>
      <c r="L26" s="1">
        <f>F52</f>
        <v>1438</v>
      </c>
      <c r="M26" s="1">
        <f t="shared" si="7"/>
        <v>39</v>
      </c>
    </row>
    <row r="27" spans="1:13" x14ac:dyDescent="0.2">
      <c r="E27" s="26"/>
      <c r="F27" s="27"/>
      <c r="G27" s="27"/>
      <c r="H27" s="27" t="s">
        <v>88</v>
      </c>
      <c r="I27" s="28">
        <f>F26</f>
        <v>5</v>
      </c>
    </row>
    <row r="28" spans="1:13" x14ac:dyDescent="0.2">
      <c r="A28" s="1" t="s">
        <v>89</v>
      </c>
      <c r="E28" s="26"/>
      <c r="F28" s="27"/>
      <c r="G28" s="27"/>
      <c r="H28" s="27" t="s">
        <v>90</v>
      </c>
      <c r="I28" s="28">
        <v>2.5</v>
      </c>
      <c r="M28" s="1">
        <f>M26/M25</f>
        <v>2.6</v>
      </c>
    </row>
    <row r="29" spans="1:13" x14ac:dyDescent="0.2">
      <c r="A29" s="5" t="s">
        <v>91</v>
      </c>
      <c r="C29" s="29" t="s">
        <v>92</v>
      </c>
      <c r="D29" s="29" t="s">
        <v>93</v>
      </c>
      <c r="E29" s="26"/>
      <c r="F29" s="27"/>
      <c r="G29" s="27"/>
      <c r="H29" s="27"/>
      <c r="I29" s="28"/>
      <c r="L29" s="1">
        <v>55</v>
      </c>
      <c r="M29" s="1">
        <f>L29/M28</f>
        <v>21.153846153846153</v>
      </c>
    </row>
    <row r="30" spans="1:13" x14ac:dyDescent="0.2">
      <c r="A30" s="1" t="s">
        <v>94</v>
      </c>
      <c r="B30" s="1">
        <f>B25</f>
        <v>168</v>
      </c>
      <c r="E30" s="30" t="s">
        <v>95</v>
      </c>
      <c r="F30" s="31"/>
      <c r="G30" s="31"/>
      <c r="H30" s="31"/>
      <c r="I30" s="32"/>
    </row>
    <row r="31" spans="1:13" x14ac:dyDescent="0.2">
      <c r="A31" s="1" t="s">
        <v>96</v>
      </c>
      <c r="B31" s="6">
        <v>130000</v>
      </c>
    </row>
    <row r="32" spans="1:13" x14ac:dyDescent="0.2">
      <c r="A32" s="1" t="s">
        <v>97</v>
      </c>
      <c r="B32" s="6"/>
      <c r="C32" s="6">
        <f>B30*B31</f>
        <v>21840000</v>
      </c>
      <c r="E32" s="1" t="s">
        <v>98</v>
      </c>
      <c r="F32" s="1">
        <f>B22*0.7</f>
        <v>39200</v>
      </c>
      <c r="G32" s="1">
        <f>F32*0.6</f>
        <v>23520</v>
      </c>
    </row>
    <row r="33" spans="1:13" x14ac:dyDescent="0.2">
      <c r="A33" s="1" t="s">
        <v>99</v>
      </c>
      <c r="B33" s="1">
        <v>3</v>
      </c>
      <c r="H33" s="1">
        <f>15680/2</f>
        <v>7840</v>
      </c>
      <c r="I33" s="1">
        <f>H33/3</f>
        <v>2613.3333333333335</v>
      </c>
    </row>
    <row r="34" spans="1:13" x14ac:dyDescent="0.2">
      <c r="A34" s="1" t="s">
        <v>100</v>
      </c>
      <c r="C34" s="6">
        <f>C32/B33</f>
        <v>7280000</v>
      </c>
      <c r="D34" s="6">
        <f>B31/B33</f>
        <v>43333.333333333336</v>
      </c>
      <c r="E34" s="1" t="s">
        <v>101</v>
      </c>
      <c r="F34" s="1">
        <f>F32*0.4</f>
        <v>15680</v>
      </c>
      <c r="I34" s="1">
        <f>I33*2</f>
        <v>5226.666666666667</v>
      </c>
    </row>
    <row r="35" spans="1:13" x14ac:dyDescent="0.2">
      <c r="A35" s="1" t="s">
        <v>102</v>
      </c>
      <c r="B35" s="6">
        <v>13000</v>
      </c>
      <c r="E35" s="1" t="s">
        <v>103</v>
      </c>
      <c r="F35" s="2">
        <f>F32-B6</f>
        <v>23520</v>
      </c>
    </row>
    <row r="36" spans="1:13" x14ac:dyDescent="0.2">
      <c r="A36" s="1" t="s">
        <v>104</v>
      </c>
      <c r="B36" s="2">
        <v>3</v>
      </c>
      <c r="H36" s="33" t="s">
        <v>105</v>
      </c>
      <c r="I36" s="1" t="s">
        <v>53</v>
      </c>
      <c r="J36" s="1" t="s">
        <v>106</v>
      </c>
    </row>
    <row r="37" spans="1:13" x14ac:dyDescent="0.2">
      <c r="A37" s="1" t="s">
        <v>107</v>
      </c>
      <c r="B37" s="2">
        <f>B30*3</f>
        <v>504</v>
      </c>
      <c r="E37" s="1" t="s">
        <v>108</v>
      </c>
      <c r="F37" s="1">
        <v>3</v>
      </c>
      <c r="H37" s="1">
        <v>1</v>
      </c>
      <c r="I37" s="1">
        <v>0.33</v>
      </c>
      <c r="J37" s="1">
        <f t="shared" ref="J37:J39" si="8">H37*I37</f>
        <v>0.33</v>
      </c>
    </row>
    <row r="38" spans="1:13" x14ac:dyDescent="0.2">
      <c r="A38" s="1" t="s">
        <v>109</v>
      </c>
      <c r="B38" s="2">
        <f>B37*4</f>
        <v>2016</v>
      </c>
      <c r="E38" s="1" t="s">
        <v>110</v>
      </c>
      <c r="F38" s="1">
        <f>7*F37</f>
        <v>21</v>
      </c>
      <c r="H38" s="1">
        <v>2</v>
      </c>
      <c r="I38" s="1">
        <v>0.33</v>
      </c>
      <c r="J38" s="1">
        <f t="shared" si="8"/>
        <v>0.66</v>
      </c>
    </row>
    <row r="39" spans="1:13" x14ac:dyDescent="0.2">
      <c r="A39" s="1" t="s">
        <v>111</v>
      </c>
      <c r="B39" s="6"/>
      <c r="C39" s="6">
        <f>B38*B35</f>
        <v>26208000</v>
      </c>
      <c r="D39" s="6">
        <f>B35*3*4</f>
        <v>156000</v>
      </c>
      <c r="E39" s="1" t="s">
        <v>112</v>
      </c>
      <c r="F39" s="1">
        <f>ROUND(F34/F38,0)</f>
        <v>747</v>
      </c>
      <c r="H39" s="1">
        <v>3</v>
      </c>
      <c r="I39" s="1">
        <v>0.34</v>
      </c>
      <c r="J39" s="1">
        <f t="shared" si="8"/>
        <v>1.02</v>
      </c>
    </row>
    <row r="40" spans="1:13" x14ac:dyDescent="0.2">
      <c r="A40" s="1" t="s">
        <v>113</v>
      </c>
      <c r="B40" s="6">
        <f>6500*12</f>
        <v>78000</v>
      </c>
      <c r="I40" s="1" t="s">
        <v>114</v>
      </c>
      <c r="J40" s="1">
        <f>SUM(J37:J39)</f>
        <v>2.0099999999999998</v>
      </c>
    </row>
    <row r="41" spans="1:13" x14ac:dyDescent="0.2">
      <c r="A41" s="1" t="s">
        <v>115</v>
      </c>
      <c r="C41" s="6">
        <f>B40*B30</f>
        <v>13104000</v>
      </c>
      <c r="D41" s="6">
        <f>B40</f>
        <v>78000</v>
      </c>
      <c r="E41" s="1" t="s">
        <v>116</v>
      </c>
      <c r="F41" s="1">
        <v>0.75</v>
      </c>
    </row>
    <row r="42" spans="1:13" x14ac:dyDescent="0.2">
      <c r="A42" s="1" t="s">
        <v>117</v>
      </c>
      <c r="B42" s="1">
        <f>B57</f>
        <v>121</v>
      </c>
      <c r="E42" s="1" t="s">
        <v>118</v>
      </c>
      <c r="F42" s="1">
        <f>60/25</f>
        <v>2.4</v>
      </c>
    </row>
    <row r="43" spans="1:13" x14ac:dyDescent="0.2">
      <c r="A43" s="34" t="s">
        <v>119</v>
      </c>
      <c r="B43" s="6">
        <v>200000</v>
      </c>
      <c r="C43" s="34"/>
      <c r="D43" s="34"/>
      <c r="E43" s="1" t="s">
        <v>120</v>
      </c>
      <c r="F43" s="1">
        <f>F42*F41</f>
        <v>1.7999999999999998</v>
      </c>
    </row>
    <row r="44" spans="1:13" x14ac:dyDescent="0.2">
      <c r="A44" s="34" t="s">
        <v>121</v>
      </c>
      <c r="B44" s="35">
        <f>B43*B42</f>
        <v>24200000</v>
      </c>
      <c r="D44" s="34"/>
      <c r="E44" s="1" t="s">
        <v>122</v>
      </c>
      <c r="F44" s="1">
        <f>F43*2</f>
        <v>3.5999999999999996</v>
      </c>
      <c r="H44" s="1"/>
      <c r="I44" s="1"/>
    </row>
    <row r="45" spans="1:13" x14ac:dyDescent="0.2">
      <c r="A45" s="1" t="s">
        <v>123</v>
      </c>
      <c r="C45" s="6">
        <v>5000000</v>
      </c>
      <c r="E45" s="1" t="s">
        <v>124</v>
      </c>
      <c r="F45" s="1">
        <v>5</v>
      </c>
      <c r="H45" s="1"/>
      <c r="I45" s="1"/>
    </row>
    <row r="46" spans="1:13" x14ac:dyDescent="0.2">
      <c r="A46" s="1" t="s">
        <v>125</v>
      </c>
      <c r="C46" s="6">
        <f>B44/3</f>
        <v>8066666.666666667</v>
      </c>
      <c r="E46" s="1" t="s">
        <v>126</v>
      </c>
      <c r="F46" s="1">
        <v>6</v>
      </c>
      <c r="H46" s="1"/>
      <c r="I46" s="1"/>
    </row>
    <row r="47" spans="1:13" x14ac:dyDescent="0.2">
      <c r="A47" s="1" t="s">
        <v>127</v>
      </c>
      <c r="C47" s="6">
        <f>I63</f>
        <v>69024000</v>
      </c>
      <c r="E47" s="1" t="s">
        <v>128</v>
      </c>
      <c r="F47" s="1">
        <f>ROUND(B24/F46,0)</f>
        <v>560</v>
      </c>
      <c r="H47" s="1"/>
      <c r="I47" s="1"/>
      <c r="L47" s="1">
        <v>20</v>
      </c>
      <c r="M47" s="1">
        <v>15</v>
      </c>
    </row>
    <row r="48" spans="1:13" x14ac:dyDescent="0.2">
      <c r="A48" s="1" t="s">
        <v>129</v>
      </c>
      <c r="C48" s="6">
        <f>SUM(C34,C39,C41,C46,C47,C45)</f>
        <v>128682666.66666666</v>
      </c>
      <c r="D48" s="6">
        <f>SUM(D34,D39,D41)</f>
        <v>277333.33333333337</v>
      </c>
      <c r="I48" s="11"/>
      <c r="L48" s="1">
        <f>I48*20</f>
        <v>0</v>
      </c>
      <c r="M48" s="1">
        <f>J48*15</f>
        <v>0</v>
      </c>
    </row>
    <row r="49" spans="1:11" x14ac:dyDescent="0.2">
      <c r="A49" s="1" t="s">
        <v>130</v>
      </c>
      <c r="C49" s="1">
        <v>365</v>
      </c>
      <c r="D49" s="1">
        <f>C49</f>
        <v>365</v>
      </c>
      <c r="E49" s="1" t="s">
        <v>131</v>
      </c>
      <c r="F49" s="1">
        <f>F47+F48</f>
        <v>560</v>
      </c>
    </row>
    <row r="50" spans="1:11" x14ac:dyDescent="0.2">
      <c r="A50" s="36" t="s">
        <v>132</v>
      </c>
      <c r="B50" s="36"/>
      <c r="C50" s="37">
        <f t="shared" ref="C50:D50" si="9">C48/C49</f>
        <v>352555.25114155246</v>
      </c>
      <c r="D50" s="37">
        <f t="shared" si="9"/>
        <v>759.81735159817367</v>
      </c>
    </row>
    <row r="51" spans="1:11" x14ac:dyDescent="0.2">
      <c r="A51" s="5" t="s">
        <v>133</v>
      </c>
      <c r="C51" s="29" t="s">
        <v>92</v>
      </c>
      <c r="D51" s="29"/>
      <c r="E51" s="1" t="s">
        <v>134</v>
      </c>
      <c r="F51" s="1">
        <f>F39+F49</f>
        <v>1307</v>
      </c>
      <c r="I51" s="10"/>
    </row>
    <row r="52" spans="1:11" x14ac:dyDescent="0.2">
      <c r="A52" s="1" t="s">
        <v>135</v>
      </c>
      <c r="B52" s="6">
        <v>400000</v>
      </c>
      <c r="E52" s="1" t="s">
        <v>136</v>
      </c>
      <c r="F52" s="1">
        <f>ROUND(F51*1.1,0)</f>
        <v>1438</v>
      </c>
    </row>
    <row r="53" spans="1:11" x14ac:dyDescent="0.2">
      <c r="A53" s="1" t="s">
        <v>137</v>
      </c>
      <c r="B53" s="1">
        <v>365</v>
      </c>
      <c r="H53" s="1" t="s">
        <v>138</v>
      </c>
      <c r="I53" s="1">
        <v>55</v>
      </c>
    </row>
    <row r="54" spans="1:11" x14ac:dyDescent="0.2">
      <c r="A54" s="1" t="s">
        <v>139</v>
      </c>
      <c r="B54" s="1">
        <f>ROUND(B30/10,0)</f>
        <v>17</v>
      </c>
      <c r="H54" s="1" t="s">
        <v>140</v>
      </c>
      <c r="I54" s="2">
        <v>30</v>
      </c>
      <c r="J54" s="10"/>
      <c r="K54" s="10"/>
    </row>
    <row r="55" spans="1:11" x14ac:dyDescent="0.2">
      <c r="A55" s="1" t="s">
        <v>141</v>
      </c>
      <c r="C55" s="6">
        <f>B52*B54</f>
        <v>6800000</v>
      </c>
      <c r="J55" s="10"/>
      <c r="K55" s="10">
        <f>SUM(I55:J55)</f>
        <v>0</v>
      </c>
    </row>
    <row r="56" spans="1:11" x14ac:dyDescent="0.2">
      <c r="A56" s="1" t="s">
        <v>142</v>
      </c>
      <c r="B56" s="6">
        <v>50000</v>
      </c>
    </row>
    <row r="57" spans="1:11" x14ac:dyDescent="0.2">
      <c r="A57" s="1" t="s">
        <v>143</v>
      </c>
      <c r="B57" s="1">
        <f>F74</f>
        <v>121</v>
      </c>
    </row>
    <row r="58" spans="1:11" x14ac:dyDescent="0.2">
      <c r="A58" s="1" t="s">
        <v>144</v>
      </c>
      <c r="B58" s="6">
        <f>B56*B57</f>
        <v>6050000</v>
      </c>
      <c r="H58" s="1" t="s">
        <v>145</v>
      </c>
      <c r="I58" s="2">
        <v>27735</v>
      </c>
    </row>
    <row r="59" spans="1:11" x14ac:dyDescent="0.2">
      <c r="A59" s="1" t="s">
        <v>146</v>
      </c>
      <c r="B59" s="1"/>
      <c r="C59" s="6">
        <f>B58*12</f>
        <v>72600000</v>
      </c>
    </row>
    <row r="60" spans="1:11" x14ac:dyDescent="0.2">
      <c r="A60" s="1" t="s">
        <v>147</v>
      </c>
      <c r="B60" s="6">
        <v>300000</v>
      </c>
    </row>
    <row r="61" spans="1:11" x14ac:dyDescent="0.2">
      <c r="A61" s="1" t="s">
        <v>148</v>
      </c>
      <c r="B61" s="1">
        <f>ROUND(B57*1.5,0)</f>
        <v>182</v>
      </c>
      <c r="E61" s="1" t="s">
        <v>149</v>
      </c>
      <c r="F61" s="6">
        <f>F52*I58</f>
        <v>39882930</v>
      </c>
      <c r="H61" s="1" t="s">
        <v>150</v>
      </c>
      <c r="I61" s="1">
        <v>4000</v>
      </c>
    </row>
    <row r="62" spans="1:11" x14ac:dyDescent="0.2">
      <c r="A62" s="1" t="s">
        <v>151</v>
      </c>
      <c r="C62" s="6">
        <f>B60*B61</f>
        <v>54600000</v>
      </c>
      <c r="F62" s="6">
        <f>F61-I62</f>
        <v>34130930</v>
      </c>
      <c r="H62" s="1" t="s">
        <v>152</v>
      </c>
      <c r="I62" s="6">
        <f>I61*F52</f>
        <v>5752000</v>
      </c>
    </row>
    <row r="63" spans="1:11" x14ac:dyDescent="0.2">
      <c r="A63" s="1" t="s">
        <v>153</v>
      </c>
      <c r="B63" s="6">
        <v>20000</v>
      </c>
      <c r="E63" s="1" t="s">
        <v>154</v>
      </c>
      <c r="F63" s="1">
        <f>39200*21</f>
        <v>823200</v>
      </c>
      <c r="H63" s="1" t="s">
        <v>155</v>
      </c>
      <c r="I63" s="6">
        <f>I62*12</f>
        <v>69024000</v>
      </c>
    </row>
    <row r="64" spans="1:11" x14ac:dyDescent="0.2">
      <c r="A64" s="1" t="s">
        <v>156</v>
      </c>
      <c r="B64" s="6">
        <f>B63*B57</f>
        <v>2420000</v>
      </c>
      <c r="E64" s="1" t="s">
        <v>157</v>
      </c>
      <c r="F64" s="1">
        <f>F63*30</f>
        <v>24696000</v>
      </c>
    </row>
    <row r="65" spans="1:8" x14ac:dyDescent="0.2">
      <c r="A65" s="1" t="s">
        <v>158</v>
      </c>
      <c r="C65" s="6">
        <f>B64*12</f>
        <v>29040000</v>
      </c>
      <c r="E65" s="1" t="s">
        <v>159</v>
      </c>
      <c r="F65" s="6">
        <f>F64*12</f>
        <v>296352000</v>
      </c>
      <c r="H65" s="38" t="s">
        <v>160</v>
      </c>
    </row>
    <row r="66" spans="1:8" x14ac:dyDescent="0.2">
      <c r="A66" s="1" t="s">
        <v>161</v>
      </c>
      <c r="C66" s="6">
        <f>1680000*I54*12</f>
        <v>604800000</v>
      </c>
    </row>
    <row r="67" spans="1:8" x14ac:dyDescent="0.2">
      <c r="A67" s="1" t="s">
        <v>162</v>
      </c>
      <c r="C67" s="6">
        <f>1000000*4</f>
        <v>4000000</v>
      </c>
    </row>
    <row r="68" spans="1:8" x14ac:dyDescent="0.2">
      <c r="A68" s="1" t="s">
        <v>163</v>
      </c>
      <c r="C68" s="6">
        <f>SUM(C55:C67)</f>
        <v>771840000</v>
      </c>
    </row>
    <row r="69" spans="1:8" x14ac:dyDescent="0.2">
      <c r="A69" s="1" t="s">
        <v>130</v>
      </c>
      <c r="C69" s="1">
        <v>365</v>
      </c>
    </row>
    <row r="70" spans="1:8" x14ac:dyDescent="0.2">
      <c r="A70" s="7" t="s">
        <v>164</v>
      </c>
      <c r="B70" s="7"/>
      <c r="C70" s="8">
        <f>C68/C69</f>
        <v>2114630.1369863013</v>
      </c>
      <c r="D70" s="7"/>
    </row>
    <row r="71" spans="1:8" x14ac:dyDescent="0.2">
      <c r="A71" s="5" t="s">
        <v>165</v>
      </c>
    </row>
    <row r="72" spans="1:8" x14ac:dyDescent="0.2">
      <c r="A72" s="1" t="s">
        <v>166</v>
      </c>
      <c r="C72" s="6">
        <f>C70+C50</f>
        <v>2467185.3881278536</v>
      </c>
      <c r="D72" s="11"/>
      <c r="E72" s="1" t="s">
        <v>167</v>
      </c>
      <c r="F72" s="1">
        <v>741</v>
      </c>
    </row>
    <row r="73" spans="1:8" x14ac:dyDescent="0.2">
      <c r="A73" s="1" t="s">
        <v>168</v>
      </c>
      <c r="C73" s="6">
        <f>70*56000</f>
        <v>3920000</v>
      </c>
      <c r="E73" s="1" t="s">
        <v>169</v>
      </c>
      <c r="F73" s="1">
        <v>6.125</v>
      </c>
      <c r="G73" s="1" t="s">
        <v>170</v>
      </c>
      <c r="H73" s="1" t="s">
        <v>171</v>
      </c>
    </row>
    <row r="74" spans="1:8" x14ac:dyDescent="0.2">
      <c r="A74" s="12" t="s">
        <v>45</v>
      </c>
      <c r="B74" s="12"/>
      <c r="C74" s="13">
        <f>C73-C72</f>
        <v>1452814.6118721464</v>
      </c>
      <c r="F74" s="1">
        <f>ROUND(F72/F73,0)</f>
        <v>121</v>
      </c>
    </row>
    <row r="78" spans="1:8" x14ac:dyDescent="0.2">
      <c r="A78" s="14" t="s">
        <v>44</v>
      </c>
      <c r="B78" s="17"/>
      <c r="E78" s="6"/>
    </row>
    <row r="79" spans="1:8" x14ac:dyDescent="0.2">
      <c r="A79" s="17" t="s">
        <v>47</v>
      </c>
      <c r="B79" s="18">
        <f>C72/C73</f>
        <v>0.6293840275836361</v>
      </c>
    </row>
    <row r="80" spans="1:8" x14ac:dyDescent="0.2">
      <c r="A80" s="17" t="s">
        <v>48</v>
      </c>
      <c r="B80" s="18">
        <f>1-B79</f>
        <v>0.3706159724163639</v>
      </c>
    </row>
    <row r="82" spans="1:7" x14ac:dyDescent="0.2">
      <c r="A82" s="1" t="s">
        <v>172</v>
      </c>
      <c r="B82" s="39">
        <f>B80/'Delivery Executive'!F27</f>
        <v>2.6892256535089807</v>
      </c>
    </row>
    <row r="83" spans="1:7" x14ac:dyDescent="0.2">
      <c r="A83" s="1" t="s">
        <v>173</v>
      </c>
      <c r="B83" s="39">
        <f>B79/'Delivery Executive'!F26</f>
        <v>0.72998732244105946</v>
      </c>
    </row>
    <row r="96" spans="1:7" x14ac:dyDescent="0.2">
      <c r="F96" s="1">
        <v>6</v>
      </c>
      <c r="G96" s="1">
        <v>12</v>
      </c>
    </row>
    <row r="97" spans="6:8" x14ac:dyDescent="0.2">
      <c r="F97" s="1">
        <v>24174</v>
      </c>
      <c r="G97" s="1">
        <v>9800</v>
      </c>
    </row>
    <row r="98" spans="6:8" x14ac:dyDescent="0.2">
      <c r="F98" s="1">
        <f t="shared" ref="F98:G98" si="10">F97/SUM($F$97:$G$97)</f>
        <v>0.71154412197562844</v>
      </c>
      <c r="G98" s="1">
        <f t="shared" si="10"/>
        <v>0.28845587802437156</v>
      </c>
    </row>
    <row r="99" spans="6:8" x14ac:dyDescent="0.2">
      <c r="F99" s="1">
        <f t="shared" ref="F99:G99" si="11">F96*F98</f>
        <v>4.2692647318537702</v>
      </c>
      <c r="G99" s="1">
        <f t="shared" si="11"/>
        <v>3.4614705362924587</v>
      </c>
    </row>
    <row r="100" spans="6:8" x14ac:dyDescent="0.2">
      <c r="G100" s="1">
        <f>SUM(F99:G99)</f>
        <v>7.7307352681462289</v>
      </c>
      <c r="H100" s="1">
        <f>1.5*1.5</f>
        <v>2.25</v>
      </c>
    </row>
    <row r="101" spans="6:8" x14ac:dyDescent="0.2">
      <c r="G101" s="1">
        <f>G100-H100</f>
        <v>5.4807352681462289</v>
      </c>
    </row>
  </sheetData>
  <hyperlinks>
    <hyperlink ref="H6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6:F18"/>
  <sheetViews>
    <sheetView workbookViewId="0"/>
  </sheetViews>
  <sheetFormatPr defaultColWidth="12.5703125" defaultRowHeight="15.75" customHeight="1" x14ac:dyDescent="0.2"/>
  <cols>
    <col min="3" max="3" width="28.42578125" customWidth="1"/>
  </cols>
  <sheetData>
    <row r="6" spans="3:6" x14ac:dyDescent="0.2">
      <c r="C6" s="1" t="s">
        <v>35</v>
      </c>
      <c r="D6" s="2">
        <v>56000</v>
      </c>
    </row>
    <row r="7" spans="3:6" x14ac:dyDescent="0.2">
      <c r="C7" s="1" t="s">
        <v>42</v>
      </c>
      <c r="D7" s="6">
        <v>70</v>
      </c>
    </row>
    <row r="8" spans="3:6" x14ac:dyDescent="0.2">
      <c r="C8" s="1" t="s">
        <v>37</v>
      </c>
      <c r="D8" s="2">
        <v>1680000</v>
      </c>
      <c r="F8" s="1"/>
    </row>
    <row r="9" spans="3:6" x14ac:dyDescent="0.2">
      <c r="C9" s="7" t="s">
        <v>38</v>
      </c>
      <c r="D9" s="8">
        <f>D6*D7</f>
        <v>3920000</v>
      </c>
    </row>
    <row r="11" spans="3:6" x14ac:dyDescent="0.2">
      <c r="C11" s="7" t="s">
        <v>36</v>
      </c>
      <c r="D11" s="8">
        <v>3379764.7058823528</v>
      </c>
    </row>
    <row r="13" spans="3:6" x14ac:dyDescent="0.2">
      <c r="C13" s="7" t="s">
        <v>40</v>
      </c>
      <c r="D13" s="8">
        <v>540235.29411764722</v>
      </c>
    </row>
    <row r="16" spans="3:6" x14ac:dyDescent="0.2">
      <c r="C16" s="14" t="s">
        <v>44</v>
      </c>
    </row>
    <row r="17" spans="3:4" x14ac:dyDescent="0.2">
      <c r="C17" s="17" t="s">
        <v>47</v>
      </c>
      <c r="D17" s="18">
        <f>D11/D9</f>
        <v>0.86218487394957977</v>
      </c>
    </row>
    <row r="18" spans="3:4" x14ac:dyDescent="0.2">
      <c r="C18" s="17" t="s">
        <v>174</v>
      </c>
      <c r="D18" s="18">
        <f>1-D17</f>
        <v>0.13781512605042023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7:J21"/>
  <sheetViews>
    <sheetView workbookViewId="0"/>
  </sheetViews>
  <sheetFormatPr defaultColWidth="12.5703125" defaultRowHeight="15.75" customHeight="1" x14ac:dyDescent="0.2"/>
  <cols>
    <col min="3" max="3" width="49.140625" customWidth="1"/>
    <col min="8" max="8" width="44.5703125" customWidth="1"/>
    <col min="9" max="9" width="14.85546875" customWidth="1"/>
    <col min="10" max="10" width="18.28515625" customWidth="1"/>
  </cols>
  <sheetData>
    <row r="7" spans="3:10" x14ac:dyDescent="0.2">
      <c r="I7" s="6"/>
    </row>
    <row r="8" spans="3:10" x14ac:dyDescent="0.2">
      <c r="C8" s="3" t="s">
        <v>89</v>
      </c>
    </row>
    <row r="9" spans="3:10" x14ac:dyDescent="0.2">
      <c r="C9" s="5" t="s">
        <v>91</v>
      </c>
      <c r="E9" s="29" t="s">
        <v>92</v>
      </c>
      <c r="H9" s="5" t="s">
        <v>133</v>
      </c>
      <c r="J9" s="29" t="s">
        <v>92</v>
      </c>
    </row>
    <row r="10" spans="3:10" x14ac:dyDescent="0.2">
      <c r="C10" s="1" t="s">
        <v>175</v>
      </c>
      <c r="D10" s="6"/>
      <c r="E10" s="6">
        <v>21840000</v>
      </c>
      <c r="H10" s="1" t="s">
        <v>176</v>
      </c>
      <c r="J10" s="6">
        <v>6800000</v>
      </c>
    </row>
    <row r="11" spans="3:10" x14ac:dyDescent="0.2">
      <c r="C11" s="1" t="s">
        <v>177</v>
      </c>
      <c r="E11" s="6">
        <v>7280000</v>
      </c>
      <c r="H11" s="1" t="s">
        <v>178</v>
      </c>
      <c r="I11" s="1"/>
      <c r="J11" s="6">
        <v>72600000</v>
      </c>
    </row>
    <row r="12" spans="3:10" x14ac:dyDescent="0.2">
      <c r="C12" s="1" t="s">
        <v>179</v>
      </c>
      <c r="D12" s="2">
        <v>2016</v>
      </c>
      <c r="H12" s="1" t="s">
        <v>180</v>
      </c>
      <c r="J12" s="6">
        <v>54600000</v>
      </c>
    </row>
    <row r="13" spans="3:10" x14ac:dyDescent="0.2">
      <c r="C13" s="1" t="s">
        <v>181</v>
      </c>
      <c r="D13" s="6"/>
      <c r="E13" s="6">
        <v>26208000</v>
      </c>
      <c r="H13" s="1" t="s">
        <v>182</v>
      </c>
      <c r="J13" s="6">
        <v>29040000</v>
      </c>
    </row>
    <row r="14" spans="3:10" x14ac:dyDescent="0.2">
      <c r="C14" s="1" t="s">
        <v>183</v>
      </c>
      <c r="E14" s="6">
        <v>13104000</v>
      </c>
      <c r="H14" s="1" t="s">
        <v>161</v>
      </c>
      <c r="J14" s="6">
        <v>604800000</v>
      </c>
    </row>
    <row r="15" spans="3:10" x14ac:dyDescent="0.2">
      <c r="C15" s="34" t="s">
        <v>184</v>
      </c>
      <c r="D15" s="35">
        <v>24200000</v>
      </c>
      <c r="H15" s="1" t="s">
        <v>162</v>
      </c>
      <c r="J15" s="6">
        <v>4000000</v>
      </c>
    </row>
    <row r="16" spans="3:10" x14ac:dyDescent="0.2">
      <c r="C16" s="1" t="s">
        <v>125</v>
      </c>
      <c r="E16" s="6">
        <v>8066666.666666667</v>
      </c>
      <c r="H16" s="1" t="s">
        <v>163</v>
      </c>
      <c r="J16" s="6">
        <v>771840000</v>
      </c>
    </row>
    <row r="17" spans="3:10" x14ac:dyDescent="0.2">
      <c r="C17" s="1" t="s">
        <v>185</v>
      </c>
      <c r="E17" s="6">
        <v>5000000</v>
      </c>
      <c r="H17" s="1" t="s">
        <v>130</v>
      </c>
      <c r="J17" s="1">
        <v>365</v>
      </c>
    </row>
    <row r="18" spans="3:10" x14ac:dyDescent="0.2">
      <c r="C18" s="1" t="s">
        <v>127</v>
      </c>
      <c r="E18" s="6">
        <v>69024000</v>
      </c>
      <c r="H18" s="7" t="s">
        <v>164</v>
      </c>
      <c r="I18" s="7"/>
      <c r="J18" s="8">
        <v>2114630.1369863013</v>
      </c>
    </row>
    <row r="19" spans="3:10" x14ac:dyDescent="0.2">
      <c r="C19" s="1" t="s">
        <v>129</v>
      </c>
      <c r="E19" s="6">
        <v>128682666.66666666</v>
      </c>
    </row>
    <row r="20" spans="3:10" x14ac:dyDescent="0.2">
      <c r="C20" s="1" t="s">
        <v>130</v>
      </c>
      <c r="E20" s="1">
        <v>365</v>
      </c>
    </row>
    <row r="21" spans="3:10" x14ac:dyDescent="0.2">
      <c r="C21" s="36" t="s">
        <v>132</v>
      </c>
      <c r="D21" s="36"/>
      <c r="E21" s="37">
        <v>352555.25114155246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E6:F17"/>
  <sheetViews>
    <sheetView workbookViewId="0"/>
  </sheetViews>
  <sheetFormatPr defaultColWidth="12.5703125" defaultRowHeight="15.75" customHeight="1" x14ac:dyDescent="0.2"/>
  <cols>
    <col min="5" max="5" width="28.42578125" customWidth="1"/>
  </cols>
  <sheetData>
    <row r="6" spans="5:6" x14ac:dyDescent="0.2">
      <c r="E6" s="5" t="s">
        <v>165</v>
      </c>
    </row>
    <row r="7" spans="5:6" x14ac:dyDescent="0.2">
      <c r="E7" s="1" t="s">
        <v>166</v>
      </c>
      <c r="F7" s="6">
        <v>2467185.3881278536</v>
      </c>
    </row>
    <row r="8" spans="5:6" x14ac:dyDescent="0.2">
      <c r="E8" s="1" t="s">
        <v>168</v>
      </c>
      <c r="F8" s="6">
        <v>3920000</v>
      </c>
    </row>
    <row r="9" spans="5:6" x14ac:dyDescent="0.2">
      <c r="E9" s="12" t="s">
        <v>186</v>
      </c>
      <c r="F9" s="13">
        <v>1452814.6118721464</v>
      </c>
    </row>
    <row r="12" spans="5:6" x14ac:dyDescent="0.2">
      <c r="E12" s="14" t="s">
        <v>44</v>
      </c>
      <c r="F12" s="17"/>
    </row>
    <row r="13" spans="5:6" x14ac:dyDescent="0.2">
      <c r="E13" s="17" t="s">
        <v>47</v>
      </c>
      <c r="F13" s="18">
        <v>0.6293840275836361</v>
      </c>
    </row>
    <row r="14" spans="5:6" x14ac:dyDescent="0.2">
      <c r="E14" s="17" t="s">
        <v>174</v>
      </c>
      <c r="F14" s="18">
        <v>0.3706159724163639</v>
      </c>
    </row>
    <row r="16" spans="5:6" x14ac:dyDescent="0.2">
      <c r="E16" s="1" t="s">
        <v>172</v>
      </c>
      <c r="F16" s="39">
        <v>2.6892256535089807</v>
      </c>
    </row>
    <row r="17" spans="5:6" x14ac:dyDescent="0.2">
      <c r="E17" s="1" t="s">
        <v>173</v>
      </c>
      <c r="F17" s="39">
        <v>0.72998732244105946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41"/>
  <sheetViews>
    <sheetView workbookViewId="0"/>
  </sheetViews>
  <sheetFormatPr defaultColWidth="12.5703125" defaultRowHeight="15.75" customHeight="1" x14ac:dyDescent="0.2"/>
  <cols>
    <col min="1" max="1" width="40.42578125" customWidth="1"/>
    <col min="5" max="5" width="28.7109375" customWidth="1"/>
  </cols>
  <sheetData>
    <row r="1" spans="1:12" x14ac:dyDescent="0.2">
      <c r="B1" s="1" t="s">
        <v>51</v>
      </c>
    </row>
    <row r="2" spans="1:12" x14ac:dyDescent="0.2">
      <c r="A2" s="20" t="s">
        <v>52</v>
      </c>
      <c r="B2" s="20">
        <v>3</v>
      </c>
      <c r="C2" s="20">
        <v>4</v>
      </c>
      <c r="D2" s="20">
        <v>5</v>
      </c>
      <c r="E2" s="20">
        <v>6</v>
      </c>
      <c r="F2" s="20">
        <v>7</v>
      </c>
      <c r="G2" s="20">
        <v>8</v>
      </c>
      <c r="H2" s="20">
        <v>9</v>
      </c>
      <c r="J2" s="1" t="s">
        <v>15</v>
      </c>
      <c r="L2" s="1" t="s">
        <v>16</v>
      </c>
    </row>
    <row r="3" spans="1:12" x14ac:dyDescent="0.2">
      <c r="A3" s="20" t="s">
        <v>53</v>
      </c>
      <c r="B3" s="21">
        <v>0.4</v>
      </c>
      <c r="C3" s="21">
        <v>0.35</v>
      </c>
      <c r="D3" s="21">
        <v>0.2</v>
      </c>
      <c r="E3" s="21">
        <v>0.05</v>
      </c>
      <c r="F3" s="21">
        <v>0</v>
      </c>
      <c r="G3" s="21">
        <v>0</v>
      </c>
      <c r="H3" s="21">
        <v>0</v>
      </c>
      <c r="J3" s="1" t="s">
        <v>18</v>
      </c>
      <c r="K3" s="1" t="s">
        <v>19</v>
      </c>
      <c r="L3" s="1">
        <v>3</v>
      </c>
    </row>
    <row r="4" spans="1:12" x14ac:dyDescent="0.2">
      <c r="J4" s="1" t="s">
        <v>22</v>
      </c>
      <c r="K4" s="1" t="s">
        <v>23</v>
      </c>
      <c r="L4" s="1">
        <v>4</v>
      </c>
    </row>
    <row r="5" spans="1:12" x14ac:dyDescent="0.2">
      <c r="A5" s="20" t="s">
        <v>58</v>
      </c>
      <c r="B5" s="20">
        <f t="shared" ref="B5:H5" si="0">B2*$F$10</f>
        <v>4.5</v>
      </c>
      <c r="C5" s="20">
        <f t="shared" si="0"/>
        <v>6</v>
      </c>
      <c r="D5" s="20">
        <f t="shared" si="0"/>
        <v>7.5</v>
      </c>
      <c r="E5" s="20">
        <f t="shared" si="0"/>
        <v>9</v>
      </c>
      <c r="F5" s="20">
        <f t="shared" si="0"/>
        <v>10.5</v>
      </c>
      <c r="G5" s="20">
        <f t="shared" si="0"/>
        <v>12</v>
      </c>
      <c r="H5" s="20">
        <f t="shared" si="0"/>
        <v>13.5</v>
      </c>
      <c r="J5" s="1" t="s">
        <v>26</v>
      </c>
      <c r="L5" s="1">
        <f>SUM(L3:L4)</f>
        <v>7</v>
      </c>
    </row>
    <row r="6" spans="1:12" x14ac:dyDescent="0.2">
      <c r="A6" s="20" t="s">
        <v>53</v>
      </c>
      <c r="B6" s="21">
        <v>0.4</v>
      </c>
      <c r="C6" s="21">
        <v>0.35</v>
      </c>
      <c r="D6" s="21">
        <v>0.2</v>
      </c>
      <c r="E6" s="21">
        <v>0.05</v>
      </c>
      <c r="F6" s="21">
        <v>0</v>
      </c>
      <c r="G6" s="21">
        <v>0</v>
      </c>
      <c r="H6" s="21">
        <v>0</v>
      </c>
    </row>
    <row r="9" spans="1:12" x14ac:dyDescent="0.2">
      <c r="A9" s="1" t="s">
        <v>59</v>
      </c>
      <c r="B9" s="1">
        <f>B5*B6+C5*C6+D5*D6+E5*E6+F5*F6+G5*G6+H5*H6</f>
        <v>5.85</v>
      </c>
      <c r="E9" s="1" t="s">
        <v>60</v>
      </c>
      <c r="F9" s="1">
        <v>40</v>
      </c>
    </row>
    <row r="10" spans="1:12" x14ac:dyDescent="0.2">
      <c r="A10" s="1" t="s">
        <v>62</v>
      </c>
      <c r="B10" s="1">
        <f>B9</f>
        <v>5.85</v>
      </c>
      <c r="E10" s="1" t="s">
        <v>63</v>
      </c>
      <c r="F10" s="1">
        <f>60/40</f>
        <v>1.5</v>
      </c>
    </row>
    <row r="11" spans="1:12" x14ac:dyDescent="0.2">
      <c r="A11" s="1" t="s">
        <v>65</v>
      </c>
      <c r="B11" s="1">
        <f>SUM(B9:B10)</f>
        <v>11.7</v>
      </c>
    </row>
    <row r="12" spans="1:12" x14ac:dyDescent="0.2">
      <c r="A12" s="1" t="s">
        <v>67</v>
      </c>
      <c r="B12" s="10">
        <f>30/B11</f>
        <v>2.5641025641025643</v>
      </c>
      <c r="C12" s="1">
        <v>2</v>
      </c>
      <c r="D12" s="1" t="s">
        <v>68</v>
      </c>
      <c r="E12" s="1" t="s">
        <v>69</v>
      </c>
      <c r="F12" s="1">
        <v>60</v>
      </c>
    </row>
    <row r="13" spans="1:12" x14ac:dyDescent="0.2">
      <c r="A13" s="1" t="s">
        <v>71</v>
      </c>
      <c r="B13" s="1">
        <v>5</v>
      </c>
      <c r="E13" s="1"/>
      <c r="F13" s="1"/>
    </row>
    <row r="14" spans="1:12" x14ac:dyDescent="0.2">
      <c r="A14" s="1" t="s">
        <v>73</v>
      </c>
      <c r="B14" s="1">
        <f>C12*2*B13</f>
        <v>20</v>
      </c>
      <c r="E14" s="1" t="s">
        <v>74</v>
      </c>
      <c r="F14" s="1">
        <v>2</v>
      </c>
    </row>
    <row r="15" spans="1:12" x14ac:dyDescent="0.2">
      <c r="A15" s="1" t="s">
        <v>75</v>
      </c>
      <c r="B15" s="2">
        <f>'Delivery Executive'!F19</f>
        <v>56000</v>
      </c>
      <c r="E15" s="1" t="s">
        <v>76</v>
      </c>
      <c r="F15" s="1">
        <f>B18*F14</f>
        <v>560</v>
      </c>
    </row>
    <row r="16" spans="1:12" x14ac:dyDescent="0.2">
      <c r="A16" s="1" t="s">
        <v>77</v>
      </c>
      <c r="B16" s="1">
        <f>B15*0.7</f>
        <v>39200</v>
      </c>
    </row>
    <row r="17" spans="1:4" x14ac:dyDescent="0.2">
      <c r="A17" s="1" t="s">
        <v>78</v>
      </c>
      <c r="B17" s="1">
        <f>B16/L5</f>
        <v>5600</v>
      </c>
    </row>
    <row r="18" spans="1:4" x14ac:dyDescent="0.2">
      <c r="A18" s="1" t="s">
        <v>83</v>
      </c>
      <c r="B18" s="1">
        <f>B17/B14</f>
        <v>280</v>
      </c>
    </row>
    <row r="21" spans="1:4" x14ac:dyDescent="0.2">
      <c r="A21" s="1" t="s">
        <v>89</v>
      </c>
    </row>
    <row r="22" spans="1:4" x14ac:dyDescent="0.2">
      <c r="A22" s="5" t="s">
        <v>91</v>
      </c>
      <c r="C22" s="29" t="s">
        <v>92</v>
      </c>
      <c r="D22" s="29" t="s">
        <v>93</v>
      </c>
    </row>
    <row r="23" spans="1:4" x14ac:dyDescent="0.2">
      <c r="A23" s="1" t="s">
        <v>94</v>
      </c>
      <c r="B23" s="1">
        <f>B18</f>
        <v>280</v>
      </c>
    </row>
    <row r="24" spans="1:4" x14ac:dyDescent="0.2">
      <c r="A24" s="1" t="s">
        <v>96</v>
      </c>
      <c r="B24" s="6">
        <v>130000</v>
      </c>
    </row>
    <row r="25" spans="1:4" x14ac:dyDescent="0.2">
      <c r="A25" s="1" t="s">
        <v>97</v>
      </c>
      <c r="B25" s="6"/>
      <c r="C25" s="6">
        <f>B23*B24</f>
        <v>36400000</v>
      </c>
    </row>
    <row r="26" spans="1:4" x14ac:dyDescent="0.2">
      <c r="A26" s="1" t="s">
        <v>99</v>
      </c>
      <c r="B26" s="1">
        <v>3</v>
      </c>
    </row>
    <row r="27" spans="1:4" x14ac:dyDescent="0.2">
      <c r="A27" s="1" t="s">
        <v>100</v>
      </c>
      <c r="C27" s="6">
        <f>C25/B26</f>
        <v>12133333.333333334</v>
      </c>
      <c r="D27" s="6">
        <f>B24/B26</f>
        <v>43333.333333333336</v>
      </c>
    </row>
    <row r="28" spans="1:4" x14ac:dyDescent="0.2">
      <c r="A28" s="1" t="s">
        <v>102</v>
      </c>
      <c r="B28" s="6">
        <v>13000</v>
      </c>
    </row>
    <row r="29" spans="1:4" x14ac:dyDescent="0.2">
      <c r="A29" s="1" t="s">
        <v>104</v>
      </c>
      <c r="B29" s="2">
        <v>3</v>
      </c>
    </row>
    <row r="30" spans="1:4" x14ac:dyDescent="0.2">
      <c r="A30" s="1" t="s">
        <v>107</v>
      </c>
      <c r="B30" s="2">
        <f>B23*3</f>
        <v>840</v>
      </c>
    </row>
    <row r="31" spans="1:4" x14ac:dyDescent="0.2">
      <c r="A31" s="1" t="s">
        <v>109</v>
      </c>
      <c r="B31" s="2">
        <f>B30*4</f>
        <v>3360</v>
      </c>
    </row>
    <row r="32" spans="1:4" x14ac:dyDescent="0.2">
      <c r="A32" s="1" t="s">
        <v>111</v>
      </c>
      <c r="B32" s="6"/>
      <c r="C32" s="6">
        <f>B31*B28</f>
        <v>43680000</v>
      </c>
      <c r="D32" s="6">
        <f>B28*3*4</f>
        <v>156000</v>
      </c>
    </row>
    <row r="33" spans="1:4" x14ac:dyDescent="0.2">
      <c r="A33" s="1" t="s">
        <v>113</v>
      </c>
      <c r="B33" s="6">
        <f>6500*12</f>
        <v>78000</v>
      </c>
    </row>
    <row r="34" spans="1:4" x14ac:dyDescent="0.2">
      <c r="A34" s="1" t="s">
        <v>115</v>
      </c>
      <c r="C34" s="6">
        <f>B33*B23</f>
        <v>21840000</v>
      </c>
      <c r="D34" s="6">
        <f>B33</f>
        <v>78000</v>
      </c>
    </row>
    <row r="35" spans="1:4" x14ac:dyDescent="0.2">
      <c r="A35" s="1" t="s">
        <v>187</v>
      </c>
      <c r="C35" s="6">
        <f t="shared" ref="C35:D35" si="1">SUM(C27,C32,C34)</f>
        <v>77653333.333333343</v>
      </c>
      <c r="D35" s="6">
        <f t="shared" si="1"/>
        <v>277333.33333333337</v>
      </c>
    </row>
    <row r="36" spans="1:4" x14ac:dyDescent="0.2">
      <c r="A36" s="1" t="s">
        <v>130</v>
      </c>
      <c r="C36" s="1">
        <v>365</v>
      </c>
      <c r="D36" s="1">
        <f>C36</f>
        <v>365</v>
      </c>
    </row>
    <row r="37" spans="1:4" x14ac:dyDescent="0.2">
      <c r="A37" s="36" t="s">
        <v>132</v>
      </c>
      <c r="B37" s="36"/>
      <c r="C37" s="37">
        <f t="shared" ref="C37:D37" si="2">C35/C36</f>
        <v>212748.8584474886</v>
      </c>
      <c r="D37" s="37">
        <f t="shared" si="2"/>
        <v>759.81735159817367</v>
      </c>
    </row>
    <row r="38" spans="1:4" x14ac:dyDescent="0.2">
      <c r="A38" s="5" t="s">
        <v>133</v>
      </c>
    </row>
    <row r="39" spans="1:4" x14ac:dyDescent="0.2">
      <c r="A39" s="1" t="s">
        <v>188</v>
      </c>
    </row>
    <row r="40" spans="1:4" x14ac:dyDescent="0.2">
      <c r="A40" s="1" t="s">
        <v>189</v>
      </c>
    </row>
    <row r="41" spans="1:4" x14ac:dyDescent="0.2">
      <c r="A41" s="1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1"/>
  <sheetViews>
    <sheetView workbookViewId="0"/>
  </sheetViews>
  <sheetFormatPr defaultColWidth="12.5703125" defaultRowHeight="15.75" customHeight="1" x14ac:dyDescent="0.2"/>
  <cols>
    <col min="1" max="1" width="51.85546875" customWidth="1"/>
    <col min="5" max="5" width="52.140625" customWidth="1"/>
    <col min="8" max="8" width="46.7109375" customWidth="1"/>
    <col min="9" max="9" width="13.42578125" customWidth="1"/>
  </cols>
  <sheetData>
    <row r="1" spans="1:12" x14ac:dyDescent="0.2">
      <c r="A1" s="19" t="s">
        <v>50</v>
      </c>
      <c r="B1" s="1" t="s">
        <v>51</v>
      </c>
    </row>
    <row r="2" spans="1:12" x14ac:dyDescent="0.2">
      <c r="A2" s="20" t="s">
        <v>52</v>
      </c>
      <c r="B2" s="20">
        <v>3</v>
      </c>
      <c r="C2" s="20">
        <v>4</v>
      </c>
      <c r="D2" s="20">
        <v>5</v>
      </c>
      <c r="E2" s="20">
        <v>6</v>
      </c>
      <c r="F2" s="20">
        <v>7</v>
      </c>
      <c r="G2" s="20">
        <v>8</v>
      </c>
      <c r="H2" s="20">
        <v>9</v>
      </c>
      <c r="J2" s="1" t="s">
        <v>15</v>
      </c>
      <c r="L2" s="1" t="s">
        <v>16</v>
      </c>
    </row>
    <row r="3" spans="1:12" x14ac:dyDescent="0.2">
      <c r="A3" s="20" t="s">
        <v>53</v>
      </c>
      <c r="B3" s="21">
        <v>0.4</v>
      </c>
      <c r="C3" s="21">
        <v>0.35</v>
      </c>
      <c r="D3" s="21">
        <v>0.2</v>
      </c>
      <c r="E3" s="21">
        <v>0.05</v>
      </c>
      <c r="F3" s="21">
        <v>0</v>
      </c>
      <c r="G3" s="21">
        <v>0</v>
      </c>
      <c r="H3" s="21">
        <v>0</v>
      </c>
      <c r="J3" s="1" t="s">
        <v>18</v>
      </c>
      <c r="K3" s="1" t="s">
        <v>19</v>
      </c>
      <c r="L3" s="1">
        <v>3</v>
      </c>
    </row>
    <row r="4" spans="1:12" x14ac:dyDescent="0.2">
      <c r="A4" s="19" t="s">
        <v>54</v>
      </c>
      <c r="J4" s="1" t="s">
        <v>22</v>
      </c>
      <c r="K4" s="1" t="s">
        <v>23</v>
      </c>
      <c r="L4" s="1">
        <v>4</v>
      </c>
    </row>
    <row r="5" spans="1:12" x14ac:dyDescent="0.2">
      <c r="A5" s="20" t="s">
        <v>52</v>
      </c>
      <c r="B5" s="20">
        <v>3</v>
      </c>
      <c r="C5" s="20">
        <v>4</v>
      </c>
      <c r="D5" s="20">
        <v>5</v>
      </c>
      <c r="E5" s="20">
        <v>6</v>
      </c>
      <c r="F5" s="20">
        <v>7</v>
      </c>
      <c r="G5" s="20">
        <v>8</v>
      </c>
      <c r="H5" s="20">
        <v>9</v>
      </c>
      <c r="J5" s="1"/>
    </row>
    <row r="6" spans="1:12" x14ac:dyDescent="0.2">
      <c r="A6" s="20" t="s">
        <v>53</v>
      </c>
      <c r="B6" s="22">
        <f t="shared" ref="B6:H6" si="0">$B$22*0.7*B$3</f>
        <v>15680</v>
      </c>
      <c r="C6" s="22">
        <f t="shared" si="0"/>
        <v>13720</v>
      </c>
      <c r="D6" s="22">
        <f t="shared" si="0"/>
        <v>7840</v>
      </c>
      <c r="E6" s="22">
        <f t="shared" si="0"/>
        <v>1960</v>
      </c>
      <c r="F6" s="22">
        <f t="shared" si="0"/>
        <v>0</v>
      </c>
      <c r="G6" s="22">
        <f t="shared" si="0"/>
        <v>0</v>
      </c>
      <c r="H6" s="22">
        <f t="shared" si="0"/>
        <v>0</v>
      </c>
      <c r="J6" s="1"/>
    </row>
    <row r="7" spans="1:12" x14ac:dyDescent="0.2">
      <c r="A7" s="19" t="s">
        <v>55</v>
      </c>
      <c r="B7" s="1" t="s">
        <v>56</v>
      </c>
      <c r="C7" s="1"/>
      <c r="D7" s="1"/>
      <c r="E7" s="1"/>
      <c r="F7" s="1"/>
      <c r="G7" s="1"/>
      <c r="H7" s="1"/>
      <c r="J7" s="1"/>
    </row>
    <row r="8" spans="1:12" x14ac:dyDescent="0.2">
      <c r="A8" s="20" t="s">
        <v>52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1"/>
    </row>
    <row r="9" spans="1:12" x14ac:dyDescent="0.2">
      <c r="A9" s="20" t="s">
        <v>53</v>
      </c>
      <c r="B9" s="22">
        <f>B6/3*0.5</f>
        <v>2613.3333333333335</v>
      </c>
      <c r="C9" s="22">
        <f>B9*2</f>
        <v>5226.666666666667</v>
      </c>
      <c r="D9" s="22">
        <f t="shared" ref="D9:F9" si="1">C6</f>
        <v>13720</v>
      </c>
      <c r="E9" s="22">
        <f t="shared" si="1"/>
        <v>7840</v>
      </c>
      <c r="F9" s="22">
        <f t="shared" si="1"/>
        <v>1960</v>
      </c>
      <c r="G9" s="22">
        <f t="shared" ref="G9:H9" si="2">$B$22*0.7*G$3</f>
        <v>0</v>
      </c>
      <c r="H9" s="22">
        <f t="shared" si="2"/>
        <v>0</v>
      </c>
      <c r="I9" s="20">
        <v>0</v>
      </c>
      <c r="J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J10" s="1"/>
    </row>
    <row r="11" spans="1:12" x14ac:dyDescent="0.2">
      <c r="A11" s="19" t="s">
        <v>57</v>
      </c>
      <c r="B11" s="1"/>
      <c r="C11" s="1"/>
      <c r="D11" s="1"/>
      <c r="E11" s="1"/>
      <c r="F11" s="1"/>
      <c r="G11" s="1"/>
      <c r="H11" s="1"/>
      <c r="J11" s="1"/>
    </row>
    <row r="12" spans="1:12" x14ac:dyDescent="0.2">
      <c r="A12" s="20" t="s">
        <v>58</v>
      </c>
      <c r="B12" s="20">
        <f t="shared" ref="B12:I12" si="3">$F$17*B8</f>
        <v>3</v>
      </c>
      <c r="C12" s="20">
        <f t="shared" si="3"/>
        <v>4.5</v>
      </c>
      <c r="D12" s="20">
        <f t="shared" si="3"/>
        <v>6</v>
      </c>
      <c r="E12" s="20">
        <f t="shared" si="3"/>
        <v>7.5</v>
      </c>
      <c r="F12" s="20">
        <f t="shared" si="3"/>
        <v>9</v>
      </c>
      <c r="G12" s="20">
        <f t="shared" si="3"/>
        <v>10.5</v>
      </c>
      <c r="H12" s="20">
        <f t="shared" si="3"/>
        <v>12</v>
      </c>
      <c r="I12" s="20">
        <f t="shared" si="3"/>
        <v>13.5</v>
      </c>
      <c r="J12" s="1" t="s">
        <v>26</v>
      </c>
      <c r="L12" s="1">
        <f>SUM(L3:L4)</f>
        <v>7</v>
      </c>
    </row>
    <row r="13" spans="1:12" x14ac:dyDescent="0.2">
      <c r="A13" s="20" t="s">
        <v>53</v>
      </c>
      <c r="B13" s="21">
        <f t="shared" ref="B13:I13" si="4">B$9/SUM($B$9:$I$9)</f>
        <v>8.3333333333333343E-2</v>
      </c>
      <c r="C13" s="21">
        <f t="shared" si="4"/>
        <v>0.16666666666666669</v>
      </c>
      <c r="D13" s="21">
        <f t="shared" si="4"/>
        <v>0.4375</v>
      </c>
      <c r="E13" s="21">
        <f t="shared" si="4"/>
        <v>0.25</v>
      </c>
      <c r="F13" s="21">
        <f t="shared" si="4"/>
        <v>6.25E-2</v>
      </c>
      <c r="G13" s="21">
        <f t="shared" si="4"/>
        <v>0</v>
      </c>
      <c r="H13" s="21">
        <f t="shared" si="4"/>
        <v>0</v>
      </c>
      <c r="I13" s="21">
        <f t="shared" si="4"/>
        <v>0</v>
      </c>
    </row>
    <row r="16" spans="1:12" x14ac:dyDescent="0.2">
      <c r="A16" s="1" t="s">
        <v>59</v>
      </c>
      <c r="B16" s="10">
        <f>B12*B13+C12*C13+D12*D13+E12*E13+F12*F13</f>
        <v>6.0625</v>
      </c>
      <c r="E16" s="1" t="s">
        <v>60</v>
      </c>
      <c r="F16" s="1">
        <v>40</v>
      </c>
      <c r="H16" s="1" t="s">
        <v>61</v>
      </c>
      <c r="I16" s="1">
        <f>B2*B3+C2*C3+D2*D3+E2*E3+F2*F3+G2*G3+H2*H3</f>
        <v>3.9000000000000004</v>
      </c>
      <c r="J16" s="1">
        <f>1*0.1333+2*0.1333+3*0.1334+4*0.35+5*0.2+6*0.05</f>
        <v>3.5000999999999998</v>
      </c>
    </row>
    <row r="17" spans="1:10" x14ac:dyDescent="0.2">
      <c r="A17" s="1" t="s">
        <v>62</v>
      </c>
      <c r="B17" s="10">
        <f>B16</f>
        <v>6.0625</v>
      </c>
      <c r="E17" s="1" t="s">
        <v>63</v>
      </c>
      <c r="F17" s="1">
        <f>60/40</f>
        <v>1.5</v>
      </c>
      <c r="H17" s="1" t="s">
        <v>64</v>
      </c>
      <c r="I17" s="1">
        <v>3</v>
      </c>
      <c r="J17" s="1">
        <v>3</v>
      </c>
    </row>
    <row r="18" spans="1:10" x14ac:dyDescent="0.2">
      <c r="A18" s="1" t="s">
        <v>65</v>
      </c>
      <c r="B18" s="10">
        <f>SUM(B16:B17)</f>
        <v>12.125</v>
      </c>
      <c r="H18" s="1" t="s">
        <v>66</v>
      </c>
      <c r="I18" s="1">
        <f t="shared" ref="I18:J18" si="5">SUM(I16:I17)</f>
        <v>6.9</v>
      </c>
      <c r="J18" s="1">
        <f t="shared" si="5"/>
        <v>6.5000999999999998</v>
      </c>
    </row>
    <row r="19" spans="1:10" x14ac:dyDescent="0.2">
      <c r="A19" s="1" t="s">
        <v>67</v>
      </c>
      <c r="B19" s="10">
        <f>30/B18</f>
        <v>2.4742268041237114</v>
      </c>
      <c r="C19" s="1">
        <v>2</v>
      </c>
      <c r="D19" s="1" t="s">
        <v>68</v>
      </c>
      <c r="E19" s="1" t="s">
        <v>69</v>
      </c>
      <c r="F19" s="1">
        <v>60</v>
      </c>
      <c r="H19" s="1" t="s">
        <v>70</v>
      </c>
      <c r="I19" s="1">
        <v>55</v>
      </c>
      <c r="J19" s="1">
        <v>55</v>
      </c>
    </row>
    <row r="20" spans="1:10" x14ac:dyDescent="0.2">
      <c r="A20" s="1" t="s">
        <v>71</v>
      </c>
      <c r="B20" s="1">
        <v>5</v>
      </c>
      <c r="E20" s="1"/>
      <c r="F20" s="1"/>
      <c r="H20" s="1" t="s">
        <v>72</v>
      </c>
      <c r="I20" s="10">
        <f t="shared" ref="I20:J20" si="6">I19/I18</f>
        <v>7.9710144927536231</v>
      </c>
      <c r="J20" s="10">
        <f t="shared" si="6"/>
        <v>8.4614082860263693</v>
      </c>
    </row>
    <row r="21" spans="1:10" x14ac:dyDescent="0.2">
      <c r="A21" s="1" t="s">
        <v>73</v>
      </c>
      <c r="B21" s="1">
        <f>C19*2*B20</f>
        <v>20</v>
      </c>
      <c r="E21" s="1" t="s">
        <v>74</v>
      </c>
      <c r="F21" s="1">
        <v>2</v>
      </c>
    </row>
    <row r="22" spans="1:10" x14ac:dyDescent="0.2">
      <c r="A22" s="1" t="s">
        <v>75</v>
      </c>
      <c r="B22" s="2">
        <f>'Delivery Executive'!F19</f>
        <v>56000</v>
      </c>
      <c r="E22" s="1" t="s">
        <v>76</v>
      </c>
      <c r="F22" s="1">
        <f>B25*F21</f>
        <v>448</v>
      </c>
    </row>
    <row r="23" spans="1:10" x14ac:dyDescent="0.2">
      <c r="A23" s="1" t="s">
        <v>77</v>
      </c>
      <c r="B23" s="1">
        <f>F35</f>
        <v>31360</v>
      </c>
    </row>
    <row r="24" spans="1:10" x14ac:dyDescent="0.2">
      <c r="A24" s="1" t="s">
        <v>78</v>
      </c>
      <c r="B24" s="1">
        <f>ROUND(B23/L12,0)</f>
        <v>4480</v>
      </c>
      <c r="E24" s="23"/>
      <c r="F24" s="24"/>
      <c r="G24" s="24"/>
      <c r="H24" s="24"/>
      <c r="I24" s="25" t="s">
        <v>79</v>
      </c>
    </row>
    <row r="25" spans="1:10" x14ac:dyDescent="0.2">
      <c r="A25" s="1" t="s">
        <v>83</v>
      </c>
      <c r="B25" s="1">
        <f>ROUND(B24/B21,0)</f>
        <v>224</v>
      </c>
      <c r="E25" s="26" t="s">
        <v>84</v>
      </c>
      <c r="F25" s="27">
        <v>25</v>
      </c>
      <c r="G25" s="27"/>
      <c r="H25" s="27" t="s">
        <v>85</v>
      </c>
      <c r="I25" s="28">
        <v>30</v>
      </c>
    </row>
    <row r="26" spans="1:10" x14ac:dyDescent="0.2">
      <c r="E26" s="26" t="s">
        <v>191</v>
      </c>
      <c r="F26" s="27">
        <f>60/F25*1.5</f>
        <v>3.5999999999999996</v>
      </c>
      <c r="G26" s="27"/>
      <c r="H26" s="27" t="s">
        <v>87</v>
      </c>
      <c r="I26" s="28">
        <v>20</v>
      </c>
    </row>
    <row r="27" spans="1:10" x14ac:dyDescent="0.2">
      <c r="E27" s="26"/>
      <c r="F27" s="27"/>
      <c r="G27" s="27"/>
      <c r="H27" s="27" t="s">
        <v>192</v>
      </c>
      <c r="I27" s="28">
        <v>7.2</v>
      </c>
    </row>
    <row r="28" spans="1:10" x14ac:dyDescent="0.2">
      <c r="A28" s="1" t="s">
        <v>89</v>
      </c>
      <c r="E28" s="26"/>
      <c r="F28" s="27"/>
      <c r="G28" s="27"/>
      <c r="H28" s="27" t="s">
        <v>90</v>
      </c>
      <c r="I28" s="28">
        <v>2.8</v>
      </c>
    </row>
    <row r="29" spans="1:10" x14ac:dyDescent="0.2">
      <c r="A29" s="5" t="s">
        <v>91</v>
      </c>
      <c r="C29" s="29" t="s">
        <v>92</v>
      </c>
      <c r="D29" s="29" t="s">
        <v>93</v>
      </c>
      <c r="E29" s="26"/>
      <c r="F29" s="27"/>
      <c r="G29" s="27"/>
      <c r="H29" s="27" t="s">
        <v>193</v>
      </c>
      <c r="I29" s="28">
        <v>3.6</v>
      </c>
    </row>
    <row r="30" spans="1:10" x14ac:dyDescent="0.2">
      <c r="A30" s="1" t="s">
        <v>94</v>
      </c>
      <c r="B30" s="1">
        <f>B25</f>
        <v>224</v>
      </c>
      <c r="E30" s="30" t="s">
        <v>95</v>
      </c>
      <c r="F30" s="31"/>
      <c r="G30" s="31"/>
      <c r="H30" s="31"/>
      <c r="I30" s="32"/>
    </row>
    <row r="31" spans="1:10" x14ac:dyDescent="0.2">
      <c r="A31" s="1" t="s">
        <v>96</v>
      </c>
      <c r="B31" s="6">
        <v>130000</v>
      </c>
    </row>
    <row r="32" spans="1:10" x14ac:dyDescent="0.2">
      <c r="A32" s="1" t="s">
        <v>97</v>
      </c>
      <c r="B32" s="6"/>
      <c r="C32" s="6">
        <f>B30*B31</f>
        <v>29120000</v>
      </c>
      <c r="E32" s="1" t="s">
        <v>98</v>
      </c>
      <c r="F32" s="1">
        <f>B22*0.7</f>
        <v>39200</v>
      </c>
    </row>
    <row r="33" spans="1:13" x14ac:dyDescent="0.2">
      <c r="A33" s="1" t="s">
        <v>99</v>
      </c>
      <c r="B33" s="1">
        <v>3</v>
      </c>
      <c r="E33" s="1" t="s">
        <v>194</v>
      </c>
      <c r="F33" s="1">
        <f>ROUND((F32*B3)/3,0)</f>
        <v>5227</v>
      </c>
      <c r="H33" s="1">
        <f>15680/2</f>
        <v>7840</v>
      </c>
      <c r="I33" s="1">
        <f>H33/3</f>
        <v>2613.3333333333335</v>
      </c>
    </row>
    <row r="34" spans="1:13" x14ac:dyDescent="0.2">
      <c r="A34" s="1" t="s">
        <v>100</v>
      </c>
      <c r="C34" s="6">
        <f>C32/B33</f>
        <v>9706666.666666666</v>
      </c>
      <c r="D34" s="6">
        <f>B31/B33</f>
        <v>43333.333333333336</v>
      </c>
      <c r="E34" s="1" t="s">
        <v>195</v>
      </c>
      <c r="F34" s="1">
        <f>ROUND(B6/2,0)</f>
        <v>7840</v>
      </c>
      <c r="I34" s="1">
        <f>I33*2</f>
        <v>5226.666666666667</v>
      </c>
    </row>
    <row r="35" spans="1:13" x14ac:dyDescent="0.2">
      <c r="A35" s="1" t="s">
        <v>102</v>
      </c>
      <c r="B35" s="6">
        <v>13000</v>
      </c>
      <c r="E35" s="1" t="s">
        <v>196</v>
      </c>
      <c r="F35" s="1">
        <f>F32-F34</f>
        <v>31360</v>
      </c>
    </row>
    <row r="36" spans="1:13" x14ac:dyDescent="0.2">
      <c r="A36" s="1" t="s">
        <v>104</v>
      </c>
      <c r="B36" s="2">
        <v>3</v>
      </c>
    </row>
    <row r="37" spans="1:13" x14ac:dyDescent="0.2">
      <c r="A37" s="1" t="s">
        <v>107</v>
      </c>
      <c r="B37" s="2">
        <f>B30*3</f>
        <v>672</v>
      </c>
      <c r="E37" s="1" t="s">
        <v>108</v>
      </c>
      <c r="F37" s="1">
        <v>3</v>
      </c>
    </row>
    <row r="38" spans="1:13" x14ac:dyDescent="0.2">
      <c r="A38" s="1" t="s">
        <v>109</v>
      </c>
      <c r="B38" s="2">
        <f>B37*4</f>
        <v>2688</v>
      </c>
      <c r="E38" s="1" t="s">
        <v>110</v>
      </c>
      <c r="F38" s="1">
        <f>7*F37</f>
        <v>21</v>
      </c>
    </row>
    <row r="39" spans="1:13" x14ac:dyDescent="0.2">
      <c r="A39" s="1" t="s">
        <v>111</v>
      </c>
      <c r="B39" s="6"/>
      <c r="C39" s="6">
        <f>B38*B35</f>
        <v>34944000</v>
      </c>
      <c r="D39" s="6">
        <f>B35*3*4</f>
        <v>156000</v>
      </c>
      <c r="E39" s="1" t="s">
        <v>112</v>
      </c>
      <c r="F39" s="1">
        <f>ROUND(F34/F38,0)</f>
        <v>373</v>
      </c>
    </row>
    <row r="40" spans="1:13" x14ac:dyDescent="0.2">
      <c r="A40" s="1" t="s">
        <v>113</v>
      </c>
      <c r="B40" s="6">
        <f>6500*12</f>
        <v>78000</v>
      </c>
    </row>
    <row r="41" spans="1:13" x14ac:dyDescent="0.2">
      <c r="A41" s="1" t="s">
        <v>115</v>
      </c>
      <c r="C41" s="6">
        <f>B40*B30</f>
        <v>17472000</v>
      </c>
      <c r="D41" s="6">
        <f>B40</f>
        <v>78000</v>
      </c>
      <c r="E41" s="1" t="s">
        <v>116</v>
      </c>
      <c r="F41" s="1">
        <v>0.75</v>
      </c>
    </row>
    <row r="42" spans="1:13" x14ac:dyDescent="0.2">
      <c r="A42" s="1" t="s">
        <v>117</v>
      </c>
      <c r="B42" s="1">
        <f>B57</f>
        <v>41</v>
      </c>
      <c r="E42" s="1" t="s">
        <v>118</v>
      </c>
      <c r="F42" s="1">
        <f>60/25</f>
        <v>2.4</v>
      </c>
    </row>
    <row r="43" spans="1:13" x14ac:dyDescent="0.2">
      <c r="A43" s="34" t="s">
        <v>119</v>
      </c>
      <c r="B43" s="6">
        <v>200000</v>
      </c>
      <c r="C43" s="34"/>
      <c r="D43" s="34"/>
      <c r="E43" s="1" t="s">
        <v>120</v>
      </c>
      <c r="F43" s="1">
        <f>F42*F41</f>
        <v>1.7999999999999998</v>
      </c>
    </row>
    <row r="44" spans="1:13" x14ac:dyDescent="0.2">
      <c r="A44" s="34" t="s">
        <v>121</v>
      </c>
      <c r="B44" s="35">
        <f>B43*B42</f>
        <v>8200000</v>
      </c>
      <c r="D44" s="34"/>
      <c r="E44" s="1"/>
      <c r="H44" s="1"/>
      <c r="I44" s="1"/>
    </row>
    <row r="45" spans="1:13" x14ac:dyDescent="0.2">
      <c r="A45" s="1" t="s">
        <v>123</v>
      </c>
      <c r="C45" s="6">
        <v>5000000</v>
      </c>
      <c r="E45" s="1"/>
      <c r="H45" s="1"/>
      <c r="I45" s="1"/>
    </row>
    <row r="46" spans="1:13" x14ac:dyDescent="0.2">
      <c r="A46" s="1" t="s">
        <v>125</v>
      </c>
      <c r="C46" s="6">
        <f>B44/3</f>
        <v>2733333.3333333335</v>
      </c>
      <c r="E46" s="1"/>
      <c r="H46" s="1"/>
      <c r="I46" s="1"/>
    </row>
    <row r="47" spans="1:13" x14ac:dyDescent="0.2">
      <c r="A47" s="1" t="s">
        <v>127</v>
      </c>
      <c r="C47" s="6">
        <f>I63</f>
        <v>59136000</v>
      </c>
      <c r="E47" s="1"/>
      <c r="H47" s="1"/>
      <c r="I47" s="1"/>
      <c r="L47" s="1">
        <v>20</v>
      </c>
      <c r="M47" s="1">
        <v>15</v>
      </c>
    </row>
    <row r="48" spans="1:13" x14ac:dyDescent="0.2">
      <c r="A48" s="1" t="s">
        <v>129</v>
      </c>
      <c r="C48" s="6">
        <f>SUM(C34,C39,C41,C46,C47,C45)</f>
        <v>128992000</v>
      </c>
      <c r="D48" s="6">
        <f>SUM(D34,D39,D41)</f>
        <v>277333.33333333337</v>
      </c>
      <c r="E48" s="1"/>
      <c r="I48" s="11"/>
      <c r="L48" s="1">
        <f>I48*20</f>
        <v>0</v>
      </c>
      <c r="M48" s="1">
        <f>J48*15</f>
        <v>0</v>
      </c>
    </row>
    <row r="49" spans="1:11" x14ac:dyDescent="0.2">
      <c r="A49" s="1" t="s">
        <v>130</v>
      </c>
      <c r="C49" s="1">
        <v>365</v>
      </c>
      <c r="D49" s="1">
        <f>C49</f>
        <v>365</v>
      </c>
      <c r="E49" s="1"/>
    </row>
    <row r="50" spans="1:11" x14ac:dyDescent="0.2">
      <c r="A50" s="36" t="s">
        <v>132</v>
      </c>
      <c r="B50" s="36"/>
      <c r="C50" s="37">
        <f t="shared" ref="C50:D50" si="7">C48/C49</f>
        <v>353402.73972602742</v>
      </c>
      <c r="D50" s="37">
        <f t="shared" si="7"/>
        <v>759.81735159817367</v>
      </c>
      <c r="E50" s="1" t="s">
        <v>122</v>
      </c>
      <c r="F50" s="1">
        <f>F43*2</f>
        <v>3.5999999999999996</v>
      </c>
    </row>
    <row r="51" spans="1:11" x14ac:dyDescent="0.2">
      <c r="A51" s="5" t="s">
        <v>133</v>
      </c>
      <c r="C51" s="29" t="s">
        <v>92</v>
      </c>
      <c r="D51" s="29"/>
      <c r="E51" s="1" t="s">
        <v>124</v>
      </c>
      <c r="F51" s="1">
        <v>5</v>
      </c>
      <c r="I51" s="10"/>
    </row>
    <row r="52" spans="1:11" x14ac:dyDescent="0.2">
      <c r="A52" s="1" t="s">
        <v>135</v>
      </c>
      <c r="B52" s="6">
        <v>400000</v>
      </c>
      <c r="E52" s="1" t="s">
        <v>126</v>
      </c>
      <c r="F52" s="1">
        <v>6</v>
      </c>
    </row>
    <row r="53" spans="1:11" x14ac:dyDescent="0.2">
      <c r="A53" s="1" t="s">
        <v>137</v>
      </c>
      <c r="B53" s="1">
        <v>365</v>
      </c>
      <c r="E53" s="1" t="s">
        <v>128</v>
      </c>
      <c r="F53" s="1">
        <f>ROUND(B24/F52,0)</f>
        <v>747</v>
      </c>
      <c r="H53" s="1" t="s">
        <v>138</v>
      </c>
      <c r="I53" s="1">
        <v>55</v>
      </c>
    </row>
    <row r="54" spans="1:11" x14ac:dyDescent="0.2">
      <c r="A54" s="1" t="s">
        <v>139</v>
      </c>
      <c r="B54" s="1">
        <f>B30</f>
        <v>224</v>
      </c>
      <c r="E54" s="1" t="s">
        <v>197</v>
      </c>
      <c r="F54" s="1">
        <v>0</v>
      </c>
      <c r="H54" s="1" t="s">
        <v>140</v>
      </c>
      <c r="I54" s="2">
        <v>28</v>
      </c>
      <c r="J54" s="10"/>
      <c r="K54" s="10"/>
    </row>
    <row r="55" spans="1:11" x14ac:dyDescent="0.2">
      <c r="A55" s="1" t="s">
        <v>141</v>
      </c>
      <c r="C55" s="6">
        <f>B52*B54</f>
        <v>89600000</v>
      </c>
      <c r="E55" s="1" t="s">
        <v>131</v>
      </c>
      <c r="F55" s="1">
        <f>F53+F54</f>
        <v>747</v>
      </c>
      <c r="J55" s="10"/>
      <c r="K55" s="10">
        <f>SUM(I55:J55)</f>
        <v>0</v>
      </c>
    </row>
    <row r="56" spans="1:11" x14ac:dyDescent="0.2">
      <c r="A56" s="1" t="s">
        <v>142</v>
      </c>
      <c r="B56" s="6">
        <v>50000</v>
      </c>
    </row>
    <row r="57" spans="1:11" x14ac:dyDescent="0.2">
      <c r="A57" s="1" t="s">
        <v>143</v>
      </c>
      <c r="B57" s="1">
        <f>F74</f>
        <v>41</v>
      </c>
      <c r="E57" s="1" t="s">
        <v>134</v>
      </c>
      <c r="F57" s="1">
        <f>F39+F55</f>
        <v>1120</v>
      </c>
    </row>
    <row r="58" spans="1:11" x14ac:dyDescent="0.2">
      <c r="A58" s="1" t="s">
        <v>144</v>
      </c>
      <c r="B58" s="6">
        <f>B56*B57</f>
        <v>2050000</v>
      </c>
      <c r="E58" s="1" t="s">
        <v>136</v>
      </c>
      <c r="F58" s="1">
        <f>ROUND(F57*1.1,0)</f>
        <v>1232</v>
      </c>
      <c r="H58" s="1" t="s">
        <v>145</v>
      </c>
      <c r="I58" s="2">
        <v>27735</v>
      </c>
    </row>
    <row r="59" spans="1:11" x14ac:dyDescent="0.2">
      <c r="A59" s="1" t="s">
        <v>146</v>
      </c>
      <c r="B59" s="1"/>
      <c r="C59" s="6">
        <f>B58*12</f>
        <v>24600000</v>
      </c>
    </row>
    <row r="60" spans="1:11" x14ac:dyDescent="0.2">
      <c r="A60" s="1" t="s">
        <v>147</v>
      </c>
      <c r="B60" s="6">
        <v>300000</v>
      </c>
    </row>
    <row r="61" spans="1:11" x14ac:dyDescent="0.2">
      <c r="A61" s="1" t="s">
        <v>148</v>
      </c>
      <c r="B61" s="1">
        <f>B57*2</f>
        <v>82</v>
      </c>
      <c r="E61" s="1" t="s">
        <v>149</v>
      </c>
      <c r="F61" s="6">
        <f>F58*I58</f>
        <v>34169520</v>
      </c>
      <c r="H61" s="1" t="s">
        <v>150</v>
      </c>
      <c r="I61" s="1">
        <v>4000</v>
      </c>
    </row>
    <row r="62" spans="1:11" x14ac:dyDescent="0.2">
      <c r="A62" s="1" t="s">
        <v>151</v>
      </c>
      <c r="C62" s="6">
        <f>B60*B61</f>
        <v>24600000</v>
      </c>
      <c r="F62" s="6">
        <f>F61-I62</f>
        <v>29241520</v>
      </c>
      <c r="H62" s="1" t="s">
        <v>152</v>
      </c>
      <c r="I62" s="6">
        <f>I61*F58</f>
        <v>4928000</v>
      </c>
    </row>
    <row r="63" spans="1:11" x14ac:dyDescent="0.2">
      <c r="A63" s="1" t="s">
        <v>153</v>
      </c>
      <c r="B63" s="6">
        <v>20000</v>
      </c>
      <c r="E63" s="1" t="s">
        <v>154</v>
      </c>
      <c r="F63" s="1">
        <f>39200*21</f>
        <v>823200</v>
      </c>
      <c r="H63" s="1" t="s">
        <v>155</v>
      </c>
      <c r="I63" s="6">
        <f>I62*12</f>
        <v>59136000</v>
      </c>
    </row>
    <row r="64" spans="1:11" x14ac:dyDescent="0.2">
      <c r="A64" s="1" t="s">
        <v>156</v>
      </c>
      <c r="B64" s="6">
        <f>B63*B57</f>
        <v>820000</v>
      </c>
      <c r="E64" s="1" t="s">
        <v>157</v>
      </c>
      <c r="F64" s="1">
        <f>F63*30</f>
        <v>24696000</v>
      </c>
    </row>
    <row r="65" spans="1:8" x14ac:dyDescent="0.2">
      <c r="A65" s="1" t="s">
        <v>158</v>
      </c>
      <c r="C65" s="6">
        <f>B64*12</f>
        <v>9840000</v>
      </c>
      <c r="E65" s="1" t="s">
        <v>159</v>
      </c>
      <c r="F65" s="6">
        <f>F64*12</f>
        <v>296352000</v>
      </c>
      <c r="H65" s="38" t="s">
        <v>160</v>
      </c>
    </row>
    <row r="66" spans="1:8" x14ac:dyDescent="0.2">
      <c r="A66" s="1" t="s">
        <v>161</v>
      </c>
      <c r="C66" s="6">
        <f>1680000*I54*12</f>
        <v>564480000</v>
      </c>
    </row>
    <row r="67" spans="1:8" x14ac:dyDescent="0.2">
      <c r="A67" s="1" t="s">
        <v>162</v>
      </c>
      <c r="C67" s="6">
        <f>1000000*4</f>
        <v>4000000</v>
      </c>
    </row>
    <row r="68" spans="1:8" x14ac:dyDescent="0.2">
      <c r="A68" s="1" t="s">
        <v>163</v>
      </c>
      <c r="C68" s="6">
        <f>SUM(C55:C67)</f>
        <v>717120000</v>
      </c>
    </row>
    <row r="69" spans="1:8" x14ac:dyDescent="0.2">
      <c r="A69" s="1" t="s">
        <v>130</v>
      </c>
      <c r="C69" s="1">
        <v>365</v>
      </c>
    </row>
    <row r="70" spans="1:8" x14ac:dyDescent="0.2">
      <c r="A70" s="7" t="s">
        <v>164</v>
      </c>
      <c r="B70" s="7"/>
      <c r="C70" s="8">
        <f>C68/C69</f>
        <v>1964712.3287671234</v>
      </c>
      <c r="D70" s="7"/>
    </row>
    <row r="71" spans="1:8" x14ac:dyDescent="0.2">
      <c r="A71" s="5" t="s">
        <v>165</v>
      </c>
    </row>
    <row r="72" spans="1:8" x14ac:dyDescent="0.2">
      <c r="A72" s="1" t="s">
        <v>166</v>
      </c>
      <c r="C72" s="6">
        <f>C70+C50</f>
        <v>2318115.0684931506</v>
      </c>
      <c r="D72" s="11"/>
      <c r="E72" s="1" t="s">
        <v>167</v>
      </c>
      <c r="F72" s="1">
        <v>741</v>
      </c>
    </row>
    <row r="73" spans="1:8" x14ac:dyDescent="0.2">
      <c r="A73" s="1" t="s">
        <v>168</v>
      </c>
      <c r="C73" s="6">
        <f>70*56000</f>
        <v>3920000</v>
      </c>
      <c r="E73" s="1" t="s">
        <v>198</v>
      </c>
      <c r="F73" s="1">
        <v>18</v>
      </c>
      <c r="G73" s="1" t="s">
        <v>170</v>
      </c>
    </row>
    <row r="74" spans="1:8" x14ac:dyDescent="0.2">
      <c r="A74" s="12" t="s">
        <v>45</v>
      </c>
      <c r="B74" s="12"/>
      <c r="C74" s="13">
        <f>C73-C72</f>
        <v>1601884.9315068494</v>
      </c>
      <c r="F74" s="1">
        <f>ROUND(F72/F73,0)</f>
        <v>41</v>
      </c>
    </row>
    <row r="78" spans="1:8" x14ac:dyDescent="0.2">
      <c r="A78" s="14" t="s">
        <v>44</v>
      </c>
      <c r="B78" s="17"/>
      <c r="E78" s="6"/>
    </row>
    <row r="79" spans="1:8" x14ac:dyDescent="0.2">
      <c r="A79" s="17" t="s">
        <v>47</v>
      </c>
      <c r="B79" s="18">
        <f>C72/C73</f>
        <v>0.59135588481968127</v>
      </c>
    </row>
    <row r="80" spans="1:8" x14ac:dyDescent="0.2">
      <c r="A80" s="17" t="s">
        <v>48</v>
      </c>
      <c r="B80" s="18">
        <f>1-B79</f>
        <v>0.40864411518031873</v>
      </c>
    </row>
    <row r="82" spans="1:7" x14ac:dyDescent="0.2">
      <c r="A82" s="1" t="s">
        <v>172</v>
      </c>
      <c r="B82" s="39">
        <f>B80/'Delivery Executive'!F27</f>
        <v>2.9651615674669456</v>
      </c>
    </row>
    <row r="83" spans="1:7" x14ac:dyDescent="0.2">
      <c r="A83" s="1" t="s">
        <v>173</v>
      </c>
      <c r="B83" s="39">
        <f>B79/'Delivery Executive'!F26</f>
        <v>0.68588060714953292</v>
      </c>
    </row>
    <row r="96" spans="1:7" x14ac:dyDescent="0.2">
      <c r="F96" s="1">
        <v>6</v>
      </c>
      <c r="G96" s="1">
        <v>12</v>
      </c>
    </row>
    <row r="97" spans="6:8" x14ac:dyDescent="0.2">
      <c r="F97" s="1">
        <v>24174</v>
      </c>
      <c r="G97" s="1">
        <v>9800</v>
      </c>
    </row>
    <row r="98" spans="6:8" x14ac:dyDescent="0.2">
      <c r="F98" s="1">
        <f t="shared" ref="F98:G98" si="8">F97/SUM($F$97:$G$97)</f>
        <v>0.71154412197562844</v>
      </c>
      <c r="G98" s="1">
        <f t="shared" si="8"/>
        <v>0.28845587802437156</v>
      </c>
    </row>
    <row r="99" spans="6:8" x14ac:dyDescent="0.2">
      <c r="F99" s="1">
        <f t="shared" ref="F99:G99" si="9">F96*F98</f>
        <v>4.2692647318537702</v>
      </c>
      <c r="G99" s="1">
        <f t="shared" si="9"/>
        <v>3.4614705362924587</v>
      </c>
    </row>
    <row r="100" spans="6:8" x14ac:dyDescent="0.2">
      <c r="G100" s="1">
        <f>SUM(F99:G99)</f>
        <v>7.7307352681462289</v>
      </c>
      <c r="H100" s="1">
        <f>1.5*1.5</f>
        <v>2.25</v>
      </c>
    </row>
    <row r="101" spans="6:8" x14ac:dyDescent="0.2">
      <c r="G101" s="1">
        <f>G100-H100</f>
        <v>5.4807352681462289</v>
      </c>
    </row>
  </sheetData>
  <hyperlinks>
    <hyperlink ref="H65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Conclusion</vt:lpstr>
      <vt:lpstr>Delivery Executive</vt:lpstr>
      <vt:lpstr>Traditional Cost Structure</vt:lpstr>
      <vt:lpstr>Drone Delivery Strucuture</vt:lpstr>
      <vt:lpstr>Traditional Revenue structure a</vt:lpstr>
      <vt:lpstr>Drone Deployment Cost Structure</vt:lpstr>
      <vt:lpstr>Drone Deployment Revenue and Co</vt:lpstr>
      <vt:lpstr>Drone</vt:lpstr>
      <vt:lpstr>Copy of Drone</vt:lpstr>
      <vt:lpstr>Copy of Copy of Drone</vt:lpstr>
      <vt:lpstr>Presentation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2023-04-20T13:06:37Z</dcterms:modified>
</cp:coreProperties>
</file>