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rofit loss statement" sheetId="1" r:id="rId1"/>
    <sheet name="investment" sheetId="2" r:id="rId2"/>
    <sheet name="incom statemnt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80" i="1" l="1"/>
  <c r="Y77" i="3" l="1"/>
  <c r="X77" i="3"/>
  <c r="V77" i="3"/>
  <c r="T77" i="3"/>
  <c r="S77" i="3"/>
  <c r="N71" i="3"/>
  <c r="S71" i="3" s="1"/>
  <c r="X71" i="3" s="1"/>
  <c r="L71" i="3"/>
  <c r="Q71" i="3" s="1"/>
  <c r="J71" i="3"/>
  <c r="O71" i="3" s="1"/>
  <c r="T71" i="3" s="1"/>
  <c r="Y71" i="3" s="1"/>
  <c r="I71" i="3"/>
  <c r="H71" i="3"/>
  <c r="M71" i="3" s="1"/>
  <c r="R71" i="3" s="1"/>
  <c r="W71" i="3" s="1"/>
  <c r="G71" i="3"/>
  <c r="K71" i="3" s="1"/>
  <c r="F71" i="3"/>
  <c r="Z70" i="3"/>
  <c r="U70" i="3"/>
  <c r="P70" i="3"/>
  <c r="K70" i="3"/>
  <c r="F70" i="3"/>
  <c r="C63" i="3"/>
  <c r="B63" i="3"/>
  <c r="Z62" i="3"/>
  <c r="U62" i="3"/>
  <c r="P62" i="3"/>
  <c r="K62" i="3"/>
  <c r="F62" i="3"/>
  <c r="Y61" i="3"/>
  <c r="Z61" i="3" s="1"/>
  <c r="T61" i="3"/>
  <c r="U61" i="3" s="1"/>
  <c r="O61" i="3"/>
  <c r="P61" i="3" s="1"/>
  <c r="J61" i="3"/>
  <c r="K61" i="3" s="1"/>
  <c r="E61" i="3"/>
  <c r="E63" i="3" s="1"/>
  <c r="Y60" i="3"/>
  <c r="Z60" i="3" s="1"/>
  <c r="T60" i="3"/>
  <c r="U60" i="3" s="1"/>
  <c r="O60" i="3"/>
  <c r="P60" i="3" s="1"/>
  <c r="J60" i="3"/>
  <c r="K60" i="3" s="1"/>
  <c r="F60" i="3"/>
  <c r="Z59" i="3"/>
  <c r="U59" i="3"/>
  <c r="P59" i="3"/>
  <c r="O59" i="3"/>
  <c r="K59" i="3"/>
  <c r="F59" i="3"/>
  <c r="Z58" i="3"/>
  <c r="U58" i="3"/>
  <c r="P58" i="3"/>
  <c r="K58" i="3"/>
  <c r="F58" i="3"/>
  <c r="Z57" i="3"/>
  <c r="U57" i="3"/>
  <c r="P57" i="3"/>
  <c r="K57" i="3"/>
  <c r="F57" i="3"/>
  <c r="Z56" i="3"/>
  <c r="U56" i="3"/>
  <c r="P56" i="3"/>
  <c r="K56" i="3"/>
  <c r="F56" i="3"/>
  <c r="Z55" i="3"/>
  <c r="U55" i="3"/>
  <c r="P55" i="3"/>
  <c r="K55" i="3"/>
  <c r="F55" i="3"/>
  <c r="Z54" i="3"/>
  <c r="U54" i="3"/>
  <c r="P54" i="3"/>
  <c r="K54" i="3"/>
  <c r="F54" i="3"/>
  <c r="Z53" i="3"/>
  <c r="U53" i="3"/>
  <c r="P53" i="3"/>
  <c r="K53" i="3"/>
  <c r="H53" i="3"/>
  <c r="I53" i="3" s="1"/>
  <c r="F53" i="3"/>
  <c r="Z52" i="3"/>
  <c r="U52" i="3"/>
  <c r="P52" i="3"/>
  <c r="I52" i="3"/>
  <c r="H52" i="3"/>
  <c r="F52" i="3"/>
  <c r="G51" i="3"/>
  <c r="F51" i="3"/>
  <c r="T50" i="3"/>
  <c r="Y50" i="3" s="1"/>
  <c r="M50" i="3"/>
  <c r="N50" i="3" s="1"/>
  <c r="Q50" i="3" s="1"/>
  <c r="K50" i="3"/>
  <c r="F50" i="3"/>
  <c r="J49" i="3"/>
  <c r="F49" i="3"/>
  <c r="D49" i="3"/>
  <c r="D63" i="3" s="1"/>
  <c r="L48" i="3"/>
  <c r="M48" i="3" s="1"/>
  <c r="N48" i="3" s="1"/>
  <c r="I48" i="3"/>
  <c r="K48" i="3" s="1"/>
  <c r="H48" i="3"/>
  <c r="F48" i="3"/>
  <c r="O47" i="3"/>
  <c r="T47" i="3" s="1"/>
  <c r="Y47" i="3" s="1"/>
  <c r="H47" i="3"/>
  <c r="I47" i="3" s="1"/>
  <c r="O46" i="3"/>
  <c r="T46" i="3" s="1"/>
  <c r="Y46" i="3" s="1"/>
  <c r="H46" i="3"/>
  <c r="O45" i="3"/>
  <c r="H45" i="3"/>
  <c r="I45" i="3" s="1"/>
  <c r="Z44" i="3"/>
  <c r="U44" i="3"/>
  <c r="U42" i="3"/>
  <c r="Y41" i="3"/>
  <c r="Z41" i="3" s="1"/>
  <c r="T41" i="3"/>
  <c r="U41" i="3" s="1"/>
  <c r="V40" i="3" s="1"/>
  <c r="Z40" i="3" s="1"/>
  <c r="O41" i="3"/>
  <c r="P41" i="3" s="1"/>
  <c r="Q40" i="3" s="1"/>
  <c r="U40" i="3" s="1"/>
  <c r="J41" i="3"/>
  <c r="K41" i="3" s="1"/>
  <c r="L40" i="3" s="1"/>
  <c r="P40" i="3" s="1"/>
  <c r="E41" i="3"/>
  <c r="F41" i="3" s="1"/>
  <c r="K40" i="3"/>
  <c r="B39" i="3"/>
  <c r="Z38" i="3"/>
  <c r="U38" i="3"/>
  <c r="P38" i="3"/>
  <c r="K38" i="3"/>
  <c r="F38" i="3"/>
  <c r="Z37" i="3"/>
  <c r="U37" i="3"/>
  <c r="P37" i="3"/>
  <c r="K37" i="3"/>
  <c r="F37" i="3"/>
  <c r="Z36" i="3"/>
  <c r="U36" i="3"/>
  <c r="P36" i="3"/>
  <c r="K36" i="3"/>
  <c r="F36" i="3"/>
  <c r="Z35" i="3"/>
  <c r="U35" i="3"/>
  <c r="P35" i="3"/>
  <c r="K35" i="3"/>
  <c r="F35" i="3"/>
  <c r="O34" i="3"/>
  <c r="T34" i="3" s="1"/>
  <c r="Y34" i="3" s="1"/>
  <c r="M34" i="3"/>
  <c r="R34" i="3" s="1"/>
  <c r="W34" i="3" s="1"/>
  <c r="J34" i="3"/>
  <c r="I34" i="3"/>
  <c r="N34" i="3" s="1"/>
  <c r="S34" i="3" s="1"/>
  <c r="X34" i="3" s="1"/>
  <c r="H34" i="3"/>
  <c r="G34" i="3"/>
  <c r="K34" i="3" s="1"/>
  <c r="F34" i="3"/>
  <c r="J33" i="3"/>
  <c r="O33" i="3" s="1"/>
  <c r="T33" i="3" s="1"/>
  <c r="Y33" i="3" s="1"/>
  <c r="C33" i="3"/>
  <c r="D33" i="3" s="1"/>
  <c r="O32" i="3"/>
  <c r="T32" i="3" s="1"/>
  <c r="Y32" i="3" s="1"/>
  <c r="J32" i="3"/>
  <c r="D32" i="3"/>
  <c r="G32" i="3" s="1"/>
  <c r="C32" i="3"/>
  <c r="D31" i="3"/>
  <c r="C31" i="3"/>
  <c r="E31" i="3" s="1"/>
  <c r="E39" i="3" s="1"/>
  <c r="Y27" i="3"/>
  <c r="X27" i="3"/>
  <c r="W27" i="3"/>
  <c r="V27" i="3"/>
  <c r="Z27" i="3" s="1"/>
  <c r="T27" i="3"/>
  <c r="S27" i="3"/>
  <c r="R27" i="3"/>
  <c r="Q27" i="3"/>
  <c r="U27" i="3" s="1"/>
  <c r="O27" i="3"/>
  <c r="N27" i="3"/>
  <c r="M27" i="3"/>
  <c r="L27" i="3"/>
  <c r="P27" i="3" s="1"/>
  <c r="J27" i="3"/>
  <c r="I27" i="3"/>
  <c r="H27" i="3"/>
  <c r="G27" i="3"/>
  <c r="K27" i="3" s="1"/>
  <c r="E27" i="3"/>
  <c r="D27" i="3"/>
  <c r="C27" i="3"/>
  <c r="B27" i="3"/>
  <c r="F27" i="3" s="1"/>
  <c r="Y26" i="3"/>
  <c r="X26" i="3"/>
  <c r="W26" i="3"/>
  <c r="V26" i="3"/>
  <c r="Z26" i="3" s="1"/>
  <c r="T26" i="3"/>
  <c r="S26" i="3"/>
  <c r="R26" i="3"/>
  <c r="Q26" i="3"/>
  <c r="U26" i="3" s="1"/>
  <c r="O26" i="3"/>
  <c r="N26" i="3"/>
  <c r="M26" i="3"/>
  <c r="L26" i="3"/>
  <c r="P26" i="3" s="1"/>
  <c r="J26" i="3"/>
  <c r="I26" i="3"/>
  <c r="H26" i="3"/>
  <c r="G26" i="3"/>
  <c r="K26" i="3" s="1"/>
  <c r="E26" i="3"/>
  <c r="D26" i="3"/>
  <c r="C26" i="3"/>
  <c r="B26" i="3"/>
  <c r="F26" i="3" s="1"/>
  <c r="Y25" i="3"/>
  <c r="X25" i="3"/>
  <c r="W25" i="3"/>
  <c r="V25" i="3"/>
  <c r="Z25" i="3" s="1"/>
  <c r="T25" i="3"/>
  <c r="S25" i="3"/>
  <c r="R25" i="3"/>
  <c r="Q25" i="3"/>
  <c r="U25" i="3" s="1"/>
  <c r="O25" i="3"/>
  <c r="N25" i="3"/>
  <c r="M25" i="3"/>
  <c r="L25" i="3"/>
  <c r="P25" i="3" s="1"/>
  <c r="J25" i="3"/>
  <c r="I25" i="3"/>
  <c r="H25" i="3"/>
  <c r="G25" i="3"/>
  <c r="K25" i="3" s="1"/>
  <c r="E25" i="3"/>
  <c r="D25" i="3"/>
  <c r="C25" i="3"/>
  <c r="B25" i="3"/>
  <c r="F25" i="3" s="1"/>
  <c r="Y24" i="3"/>
  <c r="X24" i="3"/>
  <c r="W24" i="3"/>
  <c r="V24" i="3"/>
  <c r="Z24" i="3" s="1"/>
  <c r="T24" i="3"/>
  <c r="S24" i="3"/>
  <c r="R24" i="3"/>
  <c r="Q24" i="3"/>
  <c r="U24" i="3" s="1"/>
  <c r="O24" i="3"/>
  <c r="N24" i="3"/>
  <c r="M24" i="3"/>
  <c r="L24" i="3"/>
  <c r="P24" i="3" s="1"/>
  <c r="J24" i="3"/>
  <c r="I24" i="3"/>
  <c r="H24" i="3"/>
  <c r="G24" i="3"/>
  <c r="K24" i="3" s="1"/>
  <c r="E24" i="3"/>
  <c r="D24" i="3"/>
  <c r="C24" i="3"/>
  <c r="B24" i="3"/>
  <c r="F24" i="3" s="1"/>
  <c r="Y22" i="3"/>
  <c r="X22" i="3"/>
  <c r="W22" i="3"/>
  <c r="V22" i="3"/>
  <c r="Z22" i="3" s="1"/>
  <c r="T22" i="3"/>
  <c r="S22" i="3"/>
  <c r="R22" i="3"/>
  <c r="Q22" i="3"/>
  <c r="U22" i="3" s="1"/>
  <c r="O22" i="3"/>
  <c r="N22" i="3"/>
  <c r="M22" i="3"/>
  <c r="L22" i="3"/>
  <c r="J22" i="3"/>
  <c r="I22" i="3"/>
  <c r="H22" i="3"/>
  <c r="G22" i="3"/>
  <c r="K22" i="3" s="1"/>
  <c r="E22" i="3"/>
  <c r="D22" i="3"/>
  <c r="C22" i="3"/>
  <c r="B22" i="3"/>
  <c r="Y21" i="3"/>
  <c r="X21" i="3"/>
  <c r="W21" i="3"/>
  <c r="V21" i="3"/>
  <c r="Z21" i="3" s="1"/>
  <c r="T21" i="3"/>
  <c r="S21" i="3"/>
  <c r="R21" i="3"/>
  <c r="Q21" i="3"/>
  <c r="U21" i="3" s="1"/>
  <c r="O21" i="3"/>
  <c r="N21" i="3"/>
  <c r="M21" i="3"/>
  <c r="L21" i="3"/>
  <c r="P21" i="3" s="1"/>
  <c r="J21" i="3"/>
  <c r="I21" i="3"/>
  <c r="H21" i="3"/>
  <c r="G21" i="3"/>
  <c r="E21" i="3"/>
  <c r="D21" i="3"/>
  <c r="C21" i="3"/>
  <c r="B21" i="3"/>
  <c r="F21" i="3" s="1"/>
  <c r="Y20" i="3"/>
  <c r="X20" i="3"/>
  <c r="W20" i="3"/>
  <c r="V20" i="3"/>
  <c r="Z20" i="3" s="1"/>
  <c r="T20" i="3"/>
  <c r="S20" i="3"/>
  <c r="R20" i="3"/>
  <c r="Q20" i="3"/>
  <c r="U20" i="3" s="1"/>
  <c r="O20" i="3"/>
  <c r="N20" i="3"/>
  <c r="M20" i="3"/>
  <c r="L20" i="3"/>
  <c r="J20" i="3"/>
  <c r="I20" i="3"/>
  <c r="H20" i="3"/>
  <c r="G20" i="3"/>
  <c r="K20" i="3" s="1"/>
  <c r="E20" i="3"/>
  <c r="D20" i="3"/>
  <c r="C20" i="3"/>
  <c r="B20" i="3"/>
  <c r="F20" i="3" s="1"/>
  <c r="Y19" i="3"/>
  <c r="Y28" i="3" s="1"/>
  <c r="X19" i="3"/>
  <c r="X28" i="3" s="1"/>
  <c r="W19" i="3"/>
  <c r="W28" i="3" s="1"/>
  <c r="V19" i="3"/>
  <c r="T19" i="3"/>
  <c r="T28" i="3" s="1"/>
  <c r="S19" i="3"/>
  <c r="S28" i="3" s="1"/>
  <c r="R19" i="3"/>
  <c r="R28" i="3" s="1"/>
  <c r="Q19" i="3"/>
  <c r="Q28" i="3" s="1"/>
  <c r="O19" i="3"/>
  <c r="N19" i="3"/>
  <c r="N28" i="3" s="1"/>
  <c r="M19" i="3"/>
  <c r="L19" i="3"/>
  <c r="L28" i="3" s="1"/>
  <c r="J19" i="3"/>
  <c r="I19" i="3"/>
  <c r="H19" i="3"/>
  <c r="G19" i="3"/>
  <c r="G28" i="3" s="1"/>
  <c r="E19" i="3"/>
  <c r="E28" i="3" s="1"/>
  <c r="D19" i="3"/>
  <c r="C19" i="3"/>
  <c r="C28" i="3" s="1"/>
  <c r="B19" i="3"/>
  <c r="Y15" i="3"/>
  <c r="X15" i="3"/>
  <c r="W15" i="3"/>
  <c r="V15" i="3"/>
  <c r="Z15" i="3" s="1"/>
  <c r="T15" i="3"/>
  <c r="S15" i="3"/>
  <c r="R15" i="3"/>
  <c r="Q15" i="3"/>
  <c r="U15" i="3" s="1"/>
  <c r="O15" i="3"/>
  <c r="N15" i="3"/>
  <c r="M15" i="3"/>
  <c r="L15" i="3"/>
  <c r="P15" i="3" s="1"/>
  <c r="J15" i="3"/>
  <c r="I15" i="3"/>
  <c r="H15" i="3"/>
  <c r="G15" i="3"/>
  <c r="K15" i="3" s="1"/>
  <c r="E15" i="3"/>
  <c r="D15" i="3"/>
  <c r="C15" i="3"/>
  <c r="B15" i="3"/>
  <c r="F15" i="3" s="1"/>
  <c r="Y14" i="3"/>
  <c r="X14" i="3"/>
  <c r="W14" i="3"/>
  <c r="V14" i="3"/>
  <c r="Z14" i="3" s="1"/>
  <c r="T14" i="3"/>
  <c r="S14" i="3"/>
  <c r="R14" i="3"/>
  <c r="Q14" i="3"/>
  <c r="U14" i="3" s="1"/>
  <c r="O14" i="3"/>
  <c r="N14" i="3"/>
  <c r="M14" i="3"/>
  <c r="L14" i="3"/>
  <c r="P14" i="3" s="1"/>
  <c r="J14" i="3"/>
  <c r="I14" i="3"/>
  <c r="H14" i="3"/>
  <c r="G14" i="3"/>
  <c r="K14" i="3" s="1"/>
  <c r="E14" i="3"/>
  <c r="D14" i="3"/>
  <c r="C14" i="3"/>
  <c r="B14" i="3"/>
  <c r="F14" i="3" s="1"/>
  <c r="Y13" i="3"/>
  <c r="X13" i="3"/>
  <c r="W13" i="3"/>
  <c r="V13" i="3"/>
  <c r="Z13" i="3" s="1"/>
  <c r="T13" i="3"/>
  <c r="S13" i="3"/>
  <c r="R13" i="3"/>
  <c r="Q13" i="3"/>
  <c r="U13" i="3" s="1"/>
  <c r="O13" i="3"/>
  <c r="N13" i="3"/>
  <c r="M13" i="3"/>
  <c r="L13" i="3"/>
  <c r="P13" i="3" s="1"/>
  <c r="J13" i="3"/>
  <c r="I13" i="3"/>
  <c r="H13" i="3"/>
  <c r="G13" i="3"/>
  <c r="K13" i="3" s="1"/>
  <c r="E13" i="3"/>
  <c r="D13" i="3"/>
  <c r="C13" i="3"/>
  <c r="B13" i="3"/>
  <c r="F13" i="3" s="1"/>
  <c r="Y12" i="3"/>
  <c r="X12" i="3"/>
  <c r="W12" i="3"/>
  <c r="V12" i="3"/>
  <c r="Z12" i="3" s="1"/>
  <c r="T12" i="3"/>
  <c r="S12" i="3"/>
  <c r="R12" i="3"/>
  <c r="Q12" i="3"/>
  <c r="U12" i="3" s="1"/>
  <c r="O12" i="3"/>
  <c r="N12" i="3"/>
  <c r="M12" i="3"/>
  <c r="L12" i="3"/>
  <c r="P12" i="3" s="1"/>
  <c r="J12" i="3"/>
  <c r="I12" i="3"/>
  <c r="H12" i="3"/>
  <c r="G12" i="3"/>
  <c r="K12" i="3" s="1"/>
  <c r="E12" i="3"/>
  <c r="D12" i="3"/>
  <c r="C12" i="3"/>
  <c r="B12" i="3"/>
  <c r="F12" i="3" s="1"/>
  <c r="Y10" i="3"/>
  <c r="X10" i="3"/>
  <c r="W10" i="3"/>
  <c r="V10" i="3"/>
  <c r="Z10" i="3" s="1"/>
  <c r="T10" i="3"/>
  <c r="S10" i="3"/>
  <c r="R10" i="3"/>
  <c r="Q10" i="3"/>
  <c r="U10" i="3" s="1"/>
  <c r="O10" i="3"/>
  <c r="N10" i="3"/>
  <c r="M10" i="3"/>
  <c r="L10" i="3"/>
  <c r="P10" i="3" s="1"/>
  <c r="K10" i="3"/>
  <c r="J10" i="3"/>
  <c r="I10" i="3"/>
  <c r="H10" i="3"/>
  <c r="G10" i="3"/>
  <c r="E10" i="3"/>
  <c r="D10" i="3"/>
  <c r="C10" i="3"/>
  <c r="B10" i="3"/>
  <c r="Y9" i="3"/>
  <c r="X9" i="3"/>
  <c r="W9" i="3"/>
  <c r="V9" i="3"/>
  <c r="T9" i="3"/>
  <c r="S9" i="3"/>
  <c r="R9" i="3"/>
  <c r="Q9" i="3"/>
  <c r="O9" i="3"/>
  <c r="N9" i="3"/>
  <c r="M9" i="3"/>
  <c r="L9" i="3"/>
  <c r="J9" i="3"/>
  <c r="I9" i="3"/>
  <c r="H9" i="3"/>
  <c r="G9" i="3"/>
  <c r="E9" i="3"/>
  <c r="D9" i="3"/>
  <c r="C9" i="3"/>
  <c r="B9" i="3"/>
  <c r="Y8" i="3"/>
  <c r="X8" i="3"/>
  <c r="W8" i="3"/>
  <c r="V8" i="3"/>
  <c r="T8" i="3"/>
  <c r="S8" i="3"/>
  <c r="R8" i="3"/>
  <c r="Q8" i="3"/>
  <c r="O8" i="3"/>
  <c r="N8" i="3"/>
  <c r="M8" i="3"/>
  <c r="M16" i="3" s="1"/>
  <c r="M43" i="3" s="1"/>
  <c r="L8" i="3"/>
  <c r="J8" i="3"/>
  <c r="I8" i="3"/>
  <c r="H8" i="3"/>
  <c r="G8" i="3"/>
  <c r="E8" i="3"/>
  <c r="D8" i="3"/>
  <c r="C8" i="3"/>
  <c r="B8" i="3"/>
  <c r="Y7" i="3"/>
  <c r="X7" i="3"/>
  <c r="X16" i="3" s="1"/>
  <c r="W7" i="3"/>
  <c r="W16" i="3" s="1"/>
  <c r="V7" i="3"/>
  <c r="T7" i="3"/>
  <c r="T16" i="3" s="1"/>
  <c r="T43" i="3" s="1"/>
  <c r="S7" i="3"/>
  <c r="S16" i="3" s="1"/>
  <c r="S43" i="3" s="1"/>
  <c r="R7" i="3"/>
  <c r="R16" i="3" s="1"/>
  <c r="R43" i="3" s="1"/>
  <c r="Q7" i="3"/>
  <c r="P7" i="3"/>
  <c r="O7" i="3"/>
  <c r="N7" i="3"/>
  <c r="N16" i="3" s="1"/>
  <c r="N43" i="3" s="1"/>
  <c r="M7" i="3"/>
  <c r="L7" i="3"/>
  <c r="J7" i="3"/>
  <c r="J16" i="3" s="1"/>
  <c r="I7" i="3"/>
  <c r="H7" i="3"/>
  <c r="G7" i="3"/>
  <c r="E7" i="3"/>
  <c r="D7" i="3"/>
  <c r="D16" i="3" s="1"/>
  <c r="C7" i="3"/>
  <c r="B7" i="3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E70" i="2" s="1"/>
  <c r="D66" i="2"/>
  <c r="F66" i="2" s="1"/>
  <c r="C66" i="2"/>
  <c r="AC53" i="2"/>
  <c r="AB53" i="2"/>
  <c r="AA53" i="2"/>
  <c r="Z53" i="2"/>
  <c r="X53" i="2"/>
  <c r="W53" i="2"/>
  <c r="V53" i="2"/>
  <c r="U53" i="2"/>
  <c r="S53" i="2"/>
  <c r="R53" i="2"/>
  <c r="Q53" i="2"/>
  <c r="P53" i="2"/>
  <c r="N53" i="2"/>
  <c r="M53" i="2"/>
  <c r="L53" i="2"/>
  <c r="K53" i="2"/>
  <c r="AD52" i="2"/>
  <c r="Y52" i="2"/>
  <c r="T52" i="2"/>
  <c r="O52" i="2"/>
  <c r="AE52" i="2" s="1"/>
  <c r="J52" i="2"/>
  <c r="E52" i="2"/>
  <c r="D52" i="2"/>
  <c r="AD51" i="2"/>
  <c r="Y51" i="2"/>
  <c r="T51" i="2"/>
  <c r="O51" i="2"/>
  <c r="AE51" i="2" s="1"/>
  <c r="J51" i="2"/>
  <c r="E51" i="2"/>
  <c r="E53" i="2" s="1"/>
  <c r="AD50" i="2"/>
  <c r="AD53" i="2" s="1"/>
  <c r="Y50" i="2"/>
  <c r="Y53" i="2" s="1"/>
  <c r="T50" i="2"/>
  <c r="T53" i="2" s="1"/>
  <c r="T54" i="2" s="1"/>
  <c r="O50" i="2"/>
  <c r="O53" i="2" s="1"/>
  <c r="J50" i="2"/>
  <c r="J53" i="2" s="1"/>
  <c r="AD49" i="2"/>
  <c r="Y49" i="2"/>
  <c r="T49" i="2"/>
  <c r="O49" i="2"/>
  <c r="AD48" i="2"/>
  <c r="Y48" i="2"/>
  <c r="T48" i="2"/>
  <c r="O48" i="2"/>
  <c r="AE48" i="2" s="1"/>
  <c r="J48" i="2"/>
  <c r="E48" i="2"/>
  <c r="AD47" i="2"/>
  <c r="AE47" i="2" s="1"/>
  <c r="Y47" i="2"/>
  <c r="T47" i="2"/>
  <c r="O47" i="2"/>
  <c r="J47" i="2"/>
  <c r="D47" i="2"/>
  <c r="E47" i="2" s="1"/>
  <c r="AD46" i="2"/>
  <c r="AE46" i="2" s="1"/>
  <c r="Y46" i="2"/>
  <c r="T46" i="2"/>
  <c r="O46" i="2"/>
  <c r="J46" i="2"/>
  <c r="E46" i="2"/>
  <c r="AD45" i="2"/>
  <c r="Y45" i="2"/>
  <c r="AE45" i="2" s="1"/>
  <c r="T45" i="2"/>
  <c r="O45" i="2"/>
  <c r="J45" i="2"/>
  <c r="E45" i="2"/>
  <c r="AD44" i="2"/>
  <c r="AE44" i="2" s="1"/>
  <c r="Y44" i="2"/>
  <c r="T44" i="2"/>
  <c r="O44" i="2"/>
  <c r="J44" i="2"/>
  <c r="D44" i="2"/>
  <c r="E44" i="2" s="1"/>
  <c r="AD43" i="2"/>
  <c r="AE43" i="2" s="1"/>
  <c r="Y43" i="2"/>
  <c r="T43" i="2"/>
  <c r="O43" i="2"/>
  <c r="J43" i="2"/>
  <c r="J49" i="2" s="1"/>
  <c r="B63" i="2" s="1"/>
  <c r="F63" i="2" s="1"/>
  <c r="E43" i="2"/>
  <c r="AD42" i="2"/>
  <c r="Y42" i="2"/>
  <c r="T42" i="2"/>
  <c r="O42" i="2"/>
  <c r="AE42" i="2" s="1"/>
  <c r="J42" i="2"/>
  <c r="E42" i="2"/>
  <c r="E49" i="2" s="1"/>
  <c r="D42" i="2"/>
  <c r="AD41" i="2"/>
  <c r="Y41" i="2"/>
  <c r="T41" i="2"/>
  <c r="O41" i="2"/>
  <c r="AE41" i="2" s="1"/>
  <c r="J41" i="2"/>
  <c r="AC40" i="2"/>
  <c r="AB40" i="2"/>
  <c r="AA40" i="2"/>
  <c r="Z40" i="2"/>
  <c r="AD40" i="2" s="1"/>
  <c r="X40" i="2"/>
  <c r="W40" i="2"/>
  <c r="V40" i="2"/>
  <c r="U40" i="2"/>
  <c r="Y40" i="2" s="1"/>
  <c r="S40" i="2"/>
  <c r="R40" i="2"/>
  <c r="Q40" i="2"/>
  <c r="P40" i="2"/>
  <c r="T40" i="2" s="1"/>
  <c r="N40" i="2"/>
  <c r="M40" i="2"/>
  <c r="L40" i="2"/>
  <c r="K40" i="2"/>
  <c r="O40" i="2" s="1"/>
  <c r="I40" i="2"/>
  <c r="H40" i="2"/>
  <c r="G40" i="2"/>
  <c r="F40" i="2"/>
  <c r="J40" i="2" s="1"/>
  <c r="B62" i="2" s="1"/>
  <c r="F62" i="2" s="1"/>
  <c r="AD39" i="2"/>
  <c r="AE39" i="2" s="1"/>
  <c r="Y39" i="2"/>
  <c r="T39" i="2"/>
  <c r="O39" i="2"/>
  <c r="J39" i="2"/>
  <c r="E39" i="2"/>
  <c r="AD38" i="2"/>
  <c r="Y38" i="2"/>
  <c r="T38" i="2"/>
  <c r="O38" i="2"/>
  <c r="AE38" i="2" s="1"/>
  <c r="J38" i="2"/>
  <c r="E38" i="2"/>
  <c r="AD37" i="2"/>
  <c r="AE37" i="2" s="1"/>
  <c r="Y37" i="2"/>
  <c r="T37" i="2"/>
  <c r="O37" i="2"/>
  <c r="J37" i="2"/>
  <c r="E37" i="2"/>
  <c r="AD36" i="2"/>
  <c r="Y36" i="2"/>
  <c r="AE36" i="2" s="1"/>
  <c r="T36" i="2"/>
  <c r="O36" i="2"/>
  <c r="J36" i="2"/>
  <c r="E36" i="2"/>
  <c r="AD35" i="2"/>
  <c r="AE35" i="2" s="1"/>
  <c r="Y35" i="2"/>
  <c r="T35" i="2"/>
  <c r="O35" i="2"/>
  <c r="J35" i="2"/>
  <c r="E35" i="2"/>
  <c r="AD34" i="2"/>
  <c r="Y34" i="2"/>
  <c r="T34" i="2"/>
  <c r="O34" i="2"/>
  <c r="AE34" i="2" s="1"/>
  <c r="J34" i="2"/>
  <c r="E34" i="2"/>
  <c r="E40" i="2" s="1"/>
  <c r="AD33" i="2"/>
  <c r="AE33" i="2" s="1"/>
  <c r="Y33" i="2"/>
  <c r="T33" i="2"/>
  <c r="O33" i="2"/>
  <c r="J33" i="2"/>
  <c r="E33" i="2"/>
  <c r="AD32" i="2"/>
  <c r="Y32" i="2"/>
  <c r="AE32" i="2" s="1"/>
  <c r="T32" i="2"/>
  <c r="O32" i="2"/>
  <c r="J32" i="2"/>
  <c r="AC31" i="2"/>
  <c r="AB31" i="2"/>
  <c r="AA31" i="2"/>
  <c r="Z31" i="2"/>
  <c r="AD31" i="2" s="1"/>
  <c r="X31" i="2"/>
  <c r="W31" i="2"/>
  <c r="V31" i="2"/>
  <c r="U31" i="2"/>
  <c r="Y31" i="2" s="1"/>
  <c r="S31" i="2"/>
  <c r="R31" i="2"/>
  <c r="Q31" i="2"/>
  <c r="P31" i="2"/>
  <c r="T31" i="2" s="1"/>
  <c r="N31" i="2"/>
  <c r="M31" i="2"/>
  <c r="L31" i="2"/>
  <c r="K31" i="2"/>
  <c r="O31" i="2" s="1"/>
  <c r="C61" i="2" s="1"/>
  <c r="I31" i="2"/>
  <c r="H31" i="2"/>
  <c r="G31" i="2"/>
  <c r="F31" i="2"/>
  <c r="J31" i="2" s="1"/>
  <c r="B61" i="2" s="1"/>
  <c r="F61" i="2" s="1"/>
  <c r="AD30" i="2"/>
  <c r="AE30" i="2" s="1"/>
  <c r="Y30" i="2"/>
  <c r="T30" i="2"/>
  <c r="O30" i="2"/>
  <c r="J30" i="2"/>
  <c r="D30" i="2"/>
  <c r="E30" i="2" s="1"/>
  <c r="AD29" i="2"/>
  <c r="AE29" i="2" s="1"/>
  <c r="Y29" i="2"/>
  <c r="T29" i="2"/>
  <c r="O29" i="2"/>
  <c r="J29" i="2"/>
  <c r="D29" i="2"/>
  <c r="E29" i="2" s="1"/>
  <c r="Y28" i="2"/>
  <c r="AE28" i="2" s="1"/>
  <c r="T28" i="2"/>
  <c r="O28" i="2"/>
  <c r="E28" i="2"/>
  <c r="AD27" i="2"/>
  <c r="Y27" i="2"/>
  <c r="T27" i="2"/>
  <c r="O27" i="2"/>
  <c r="AE27" i="2" s="1"/>
  <c r="J27" i="2"/>
  <c r="E27" i="2"/>
  <c r="D27" i="2"/>
  <c r="AD25" i="2"/>
  <c r="Y25" i="2"/>
  <c r="T25" i="2"/>
  <c r="O25" i="2"/>
  <c r="AE25" i="2" s="1"/>
  <c r="J25" i="2"/>
  <c r="E25" i="2"/>
  <c r="D25" i="2"/>
  <c r="AD24" i="2"/>
  <c r="Y24" i="2"/>
  <c r="T24" i="2"/>
  <c r="O24" i="2"/>
  <c r="AE24" i="2" s="1"/>
  <c r="J24" i="2"/>
  <c r="E24" i="2"/>
  <c r="D24" i="2"/>
  <c r="AD23" i="2"/>
  <c r="Y23" i="2"/>
  <c r="T23" i="2"/>
  <c r="O23" i="2"/>
  <c r="AE23" i="2" s="1"/>
  <c r="J23" i="2"/>
  <c r="E23" i="2"/>
  <c r="D23" i="2"/>
  <c r="O22" i="2"/>
  <c r="E22" i="2"/>
  <c r="AD21" i="2"/>
  <c r="Y21" i="2"/>
  <c r="AE21" i="2" s="1"/>
  <c r="T21" i="2"/>
  <c r="O21" i="2"/>
  <c r="J21" i="2"/>
  <c r="E21" i="2"/>
  <c r="D21" i="2"/>
  <c r="AD20" i="2"/>
  <c r="Y20" i="2"/>
  <c r="AE20" i="2" s="1"/>
  <c r="T20" i="2"/>
  <c r="O20" i="2"/>
  <c r="J20" i="2"/>
  <c r="E20" i="2"/>
  <c r="D20" i="2"/>
  <c r="AD19" i="2"/>
  <c r="Y19" i="2"/>
  <c r="AE19" i="2" s="1"/>
  <c r="T19" i="2"/>
  <c r="O19" i="2"/>
  <c r="J19" i="2"/>
  <c r="E19" i="2"/>
  <c r="D19" i="2"/>
  <c r="AD18" i="2"/>
  <c r="Y18" i="2"/>
  <c r="AE18" i="2" s="1"/>
  <c r="T18" i="2"/>
  <c r="O18" i="2"/>
  <c r="J18" i="2"/>
  <c r="E18" i="2"/>
  <c r="E31" i="2" s="1"/>
  <c r="D18" i="2"/>
  <c r="AD17" i="2"/>
  <c r="Y17" i="2"/>
  <c r="AE17" i="2" s="1"/>
  <c r="T17" i="2"/>
  <c r="O17" i="2"/>
  <c r="J17" i="2"/>
  <c r="AD16" i="2"/>
  <c r="Y16" i="2"/>
  <c r="T16" i="2"/>
  <c r="O16" i="2"/>
  <c r="AE16" i="2" s="1"/>
  <c r="J16" i="2"/>
  <c r="AC15" i="2"/>
  <c r="AB15" i="2"/>
  <c r="AA15" i="2"/>
  <c r="Z15" i="2"/>
  <c r="AD15" i="2" s="1"/>
  <c r="X15" i="2"/>
  <c r="W15" i="2"/>
  <c r="V15" i="2"/>
  <c r="U15" i="2"/>
  <c r="Y15" i="2" s="1"/>
  <c r="S15" i="2"/>
  <c r="R15" i="2"/>
  <c r="Q15" i="2"/>
  <c r="P15" i="2"/>
  <c r="T15" i="2" s="1"/>
  <c r="O15" i="2"/>
  <c r="C60" i="2" s="1"/>
  <c r="AD14" i="2"/>
  <c r="AE14" i="2" s="1"/>
  <c r="Y14" i="2"/>
  <c r="T14" i="2"/>
  <c r="O14" i="2"/>
  <c r="J14" i="2"/>
  <c r="D14" i="2"/>
  <c r="E14" i="2" s="1"/>
  <c r="AD13" i="2"/>
  <c r="AE13" i="2" s="1"/>
  <c r="Y13" i="2"/>
  <c r="T13" i="2"/>
  <c r="O13" i="2"/>
  <c r="J13" i="2"/>
  <c r="D13" i="2"/>
  <c r="E13" i="2" s="1"/>
  <c r="AD12" i="2"/>
  <c r="AE12" i="2" s="1"/>
  <c r="Y12" i="2"/>
  <c r="T12" i="2"/>
  <c r="O12" i="2"/>
  <c r="J12" i="2"/>
  <c r="D12" i="2"/>
  <c r="AD10" i="2"/>
  <c r="Y10" i="2"/>
  <c r="T10" i="2"/>
  <c r="O10" i="2"/>
  <c r="AE10" i="2" s="1"/>
  <c r="J10" i="2"/>
  <c r="E10" i="2"/>
  <c r="E15" i="2" s="1"/>
  <c r="D10" i="2"/>
  <c r="AD9" i="2"/>
  <c r="Y9" i="2"/>
  <c r="T9" i="2"/>
  <c r="O9" i="2"/>
  <c r="AE9" i="2" s="1"/>
  <c r="E9" i="2"/>
  <c r="AD8" i="2"/>
  <c r="Y8" i="2"/>
  <c r="AE8" i="2" s="1"/>
  <c r="T8" i="2"/>
  <c r="O8" i="2"/>
  <c r="J8" i="2"/>
  <c r="J15" i="2" s="1"/>
  <c r="B60" i="2" s="1"/>
  <c r="AD7" i="2"/>
  <c r="Y7" i="2"/>
  <c r="T7" i="2"/>
  <c r="O7" i="2"/>
  <c r="AE7" i="2" s="1"/>
  <c r="AD6" i="2"/>
  <c r="AE6" i="2" s="1"/>
  <c r="Y6" i="2"/>
  <c r="T6" i="2"/>
  <c r="O6" i="2"/>
  <c r="J6" i="2"/>
  <c r="B59" i="2" s="1"/>
  <c r="D6" i="2"/>
  <c r="E6" i="2" s="1"/>
  <c r="AD5" i="2"/>
  <c r="Y5" i="2"/>
  <c r="AE5" i="2" s="1"/>
  <c r="C91" i="1"/>
  <c r="Q39" i="1"/>
  <c r="P39" i="1"/>
  <c r="M39" i="1"/>
  <c r="K39" i="1"/>
  <c r="I39" i="1"/>
  <c r="H39" i="1"/>
  <c r="F39" i="1"/>
  <c r="W38" i="1"/>
  <c r="Z38" i="1" s="1"/>
  <c r="T38" i="1"/>
  <c r="T39" i="1" s="1"/>
  <c r="P38" i="1"/>
  <c r="O38" i="1"/>
  <c r="O39" i="1" s="1"/>
  <c r="L38" i="1"/>
  <c r="L39" i="1" s="1"/>
  <c r="H38" i="1"/>
  <c r="X38" i="1" s="1"/>
  <c r="I81" i="1" s="1"/>
  <c r="R37" i="1"/>
  <c r="R39" i="1" s="1"/>
  <c r="V36" i="1"/>
  <c r="I95" i="1" s="1"/>
  <c r="R36" i="1"/>
  <c r="I94" i="1" s="1"/>
  <c r="N36" i="1"/>
  <c r="I93" i="1" s="1"/>
  <c r="J36" i="1"/>
  <c r="I92" i="1" s="1"/>
  <c r="I96" i="1" s="1"/>
  <c r="U35" i="1"/>
  <c r="T35" i="1"/>
  <c r="Q35" i="1"/>
  <c r="P35" i="1"/>
  <c r="M35" i="1"/>
  <c r="L35" i="1"/>
  <c r="I35" i="1"/>
  <c r="H35" i="1"/>
  <c r="E35" i="1"/>
  <c r="D35" i="1"/>
  <c r="V34" i="1"/>
  <c r="V35" i="1" s="1"/>
  <c r="R34" i="1"/>
  <c r="R35" i="1" s="1"/>
  <c r="N34" i="1"/>
  <c r="N35" i="1" s="1"/>
  <c r="J34" i="1"/>
  <c r="X34" i="1" s="1"/>
  <c r="H81" i="1" s="1"/>
  <c r="F34" i="1"/>
  <c r="F35" i="1" s="1"/>
  <c r="S33" i="1"/>
  <c r="S35" i="1" s="1"/>
  <c r="K33" i="1"/>
  <c r="K35" i="1" s="1"/>
  <c r="W32" i="1"/>
  <c r="Z32" i="1" s="1"/>
  <c r="H82" i="1" s="1"/>
  <c r="S32" i="1"/>
  <c r="H94" i="1" s="1"/>
  <c r="O32" i="1"/>
  <c r="H93" i="1" s="1"/>
  <c r="K32" i="1"/>
  <c r="H92" i="1" s="1"/>
  <c r="G32" i="1"/>
  <c r="H91" i="1" s="1"/>
  <c r="U31" i="1"/>
  <c r="S31" i="1"/>
  <c r="Q31" i="1"/>
  <c r="O31" i="1"/>
  <c r="M31" i="1"/>
  <c r="K31" i="1"/>
  <c r="I31" i="1"/>
  <c r="G31" i="1"/>
  <c r="W30" i="1"/>
  <c r="W31" i="1" s="1"/>
  <c r="T30" i="1"/>
  <c r="T31" i="1" s="1"/>
  <c r="P30" i="1"/>
  <c r="P31" i="1" s="1"/>
  <c r="L30" i="1"/>
  <c r="L31" i="1" s="1"/>
  <c r="H30" i="1"/>
  <c r="H31" i="1" s="1"/>
  <c r="F30" i="1"/>
  <c r="F31" i="1" s="1"/>
  <c r="D30" i="1"/>
  <c r="X30" i="1" s="1"/>
  <c r="G81" i="1" s="1"/>
  <c r="V29" i="1"/>
  <c r="V31" i="1" s="1"/>
  <c r="N29" i="1"/>
  <c r="N31" i="1" s="1"/>
  <c r="E29" i="1"/>
  <c r="V28" i="1"/>
  <c r="G95" i="1" s="1"/>
  <c r="R28" i="1"/>
  <c r="Y28" i="1" s="1"/>
  <c r="G77" i="1" s="1"/>
  <c r="N28" i="1"/>
  <c r="G93" i="1" s="1"/>
  <c r="J28" i="1"/>
  <c r="J29" i="1" s="1"/>
  <c r="J31" i="1" s="1"/>
  <c r="E28" i="1"/>
  <c r="G91" i="1" s="1"/>
  <c r="V27" i="1"/>
  <c r="T27" i="1"/>
  <c r="R27" i="1"/>
  <c r="P27" i="1"/>
  <c r="N27" i="1"/>
  <c r="L27" i="1"/>
  <c r="J27" i="1"/>
  <c r="H27" i="1"/>
  <c r="F27" i="1"/>
  <c r="U26" i="1"/>
  <c r="Q26" i="1"/>
  <c r="Q27" i="1" s="1"/>
  <c r="M26" i="1"/>
  <c r="I26" i="1"/>
  <c r="X26" i="1" s="1"/>
  <c r="F81" i="1" s="1"/>
  <c r="E26" i="1"/>
  <c r="E27" i="1" s="1"/>
  <c r="U25" i="1"/>
  <c r="U27" i="1" s="1"/>
  <c r="O25" i="1"/>
  <c r="O27" i="1" s="1"/>
  <c r="M25" i="1"/>
  <c r="M27" i="1" s="1"/>
  <c r="I25" i="1"/>
  <c r="I27" i="1" s="1"/>
  <c r="G25" i="1"/>
  <c r="W24" i="1"/>
  <c r="W25" i="1" s="1"/>
  <c r="W27" i="1" s="1"/>
  <c r="S24" i="1"/>
  <c r="F94" i="1" s="1"/>
  <c r="O24" i="1"/>
  <c r="F93" i="1" s="1"/>
  <c r="K24" i="1"/>
  <c r="K25" i="1" s="1"/>
  <c r="K27" i="1" s="1"/>
  <c r="G24" i="1"/>
  <c r="F91" i="1" s="1"/>
  <c r="X23" i="1"/>
  <c r="W22" i="1"/>
  <c r="U22" i="1"/>
  <c r="S22" i="1"/>
  <c r="Q22" i="1"/>
  <c r="O22" i="1"/>
  <c r="M22" i="1"/>
  <c r="K22" i="1"/>
  <c r="I22" i="1"/>
  <c r="G22" i="1"/>
  <c r="F22" i="1"/>
  <c r="Z21" i="1"/>
  <c r="T21" i="1"/>
  <c r="T22" i="1" s="1"/>
  <c r="P21" i="1"/>
  <c r="P22" i="1" s="1"/>
  <c r="L21" i="1"/>
  <c r="L22" i="1" s="1"/>
  <c r="H21" i="1"/>
  <c r="H22" i="1" s="1"/>
  <c r="D21" i="1"/>
  <c r="D22" i="1" s="1"/>
  <c r="V20" i="1"/>
  <c r="V22" i="1" s="1"/>
  <c r="N20" i="1"/>
  <c r="N22" i="1" s="1"/>
  <c r="E20" i="1"/>
  <c r="E22" i="1" s="1"/>
  <c r="V19" i="1"/>
  <c r="E95" i="1" s="1"/>
  <c r="R19" i="1"/>
  <c r="E94" i="1" s="1"/>
  <c r="N19" i="1"/>
  <c r="E93" i="1" s="1"/>
  <c r="J19" i="1"/>
  <c r="E92" i="1" s="1"/>
  <c r="E19" i="1"/>
  <c r="E91" i="1" s="1"/>
  <c r="W18" i="1"/>
  <c r="U18" i="1"/>
  <c r="T18" i="1"/>
  <c r="S18" i="1"/>
  <c r="Q18" i="1"/>
  <c r="O18" i="1"/>
  <c r="M18" i="1"/>
  <c r="L18" i="1"/>
  <c r="K18" i="1"/>
  <c r="I18" i="1"/>
  <c r="H18" i="1"/>
  <c r="G18" i="1"/>
  <c r="E18" i="1"/>
  <c r="D18" i="1"/>
  <c r="Z17" i="1"/>
  <c r="T17" i="1"/>
  <c r="P17" i="1"/>
  <c r="P18" i="1" s="1"/>
  <c r="L17" i="1"/>
  <c r="H17" i="1"/>
  <c r="X17" i="1" s="1"/>
  <c r="D81" i="1" s="1"/>
  <c r="D17" i="1"/>
  <c r="R16" i="1"/>
  <c r="R18" i="1" s="1"/>
  <c r="J16" i="1"/>
  <c r="J18" i="1" s="1"/>
  <c r="Y15" i="1"/>
  <c r="D77" i="1" s="1"/>
  <c r="V15" i="1"/>
  <c r="Z15" i="1" s="1"/>
  <c r="D82" i="1" s="1"/>
  <c r="R15" i="1"/>
  <c r="D94" i="1" s="1"/>
  <c r="N15" i="1"/>
  <c r="D93" i="1" s="1"/>
  <c r="J15" i="1"/>
  <c r="D92" i="1" s="1"/>
  <c r="F15" i="1"/>
  <c r="D91" i="1" s="1"/>
  <c r="W14" i="1"/>
  <c r="U14" i="1"/>
  <c r="S14" i="1"/>
  <c r="Q14" i="1"/>
  <c r="O14" i="1"/>
  <c r="M14" i="1"/>
  <c r="K14" i="1"/>
  <c r="I14" i="1"/>
  <c r="G14" i="1"/>
  <c r="F14" i="1"/>
  <c r="E14" i="1"/>
  <c r="Z13" i="1"/>
  <c r="T13" i="1"/>
  <c r="T14" i="1" s="1"/>
  <c r="P13" i="1"/>
  <c r="P14" i="1" s="1"/>
  <c r="L13" i="1"/>
  <c r="L14" i="1" s="1"/>
  <c r="H13" i="1"/>
  <c r="H14" i="1" s="1"/>
  <c r="D13" i="1"/>
  <c r="X13" i="1" s="1"/>
  <c r="C81" i="1" s="1"/>
  <c r="V12" i="1"/>
  <c r="V14" i="1" s="1"/>
  <c r="N12" i="1"/>
  <c r="N14" i="1" s="1"/>
  <c r="E12" i="1"/>
  <c r="Z11" i="1"/>
  <c r="C82" i="1" s="1"/>
  <c r="V11" i="1"/>
  <c r="C95" i="1" s="1"/>
  <c r="R11" i="1"/>
  <c r="R12" i="1" s="1"/>
  <c r="R14" i="1" s="1"/>
  <c r="N11" i="1"/>
  <c r="C93" i="1" s="1"/>
  <c r="J11" i="1"/>
  <c r="C92" i="1" s="1"/>
  <c r="V10" i="1"/>
  <c r="U10" i="1"/>
  <c r="T10" i="1"/>
  <c r="R10" i="1"/>
  <c r="Q10" i="1"/>
  <c r="P10" i="1"/>
  <c r="N10" i="1"/>
  <c r="L10" i="1"/>
  <c r="J10" i="1"/>
  <c r="I10" i="1"/>
  <c r="H10" i="1"/>
  <c r="F10" i="1"/>
  <c r="E10" i="1"/>
  <c r="U9" i="1"/>
  <c r="Q9" i="1"/>
  <c r="M9" i="1"/>
  <c r="M10" i="1" s="1"/>
  <c r="I9" i="1"/>
  <c r="E9" i="1"/>
  <c r="X9" i="1" s="1"/>
  <c r="B81" i="1" s="1"/>
  <c r="W8" i="1"/>
  <c r="W10" i="1" s="1"/>
  <c r="O8" i="1"/>
  <c r="O10" i="1" s="1"/>
  <c r="G8" i="1"/>
  <c r="G10" i="1" s="1"/>
  <c r="W7" i="1"/>
  <c r="B95" i="1" s="1"/>
  <c r="S7" i="1"/>
  <c r="Y7" i="1" s="1"/>
  <c r="O7" i="1"/>
  <c r="B93" i="1" s="1"/>
  <c r="K7" i="1"/>
  <c r="K8" i="1" s="1"/>
  <c r="K10" i="1" s="1"/>
  <c r="G7" i="1"/>
  <c r="B91" i="1" s="1"/>
  <c r="O16" i="3" l="1"/>
  <c r="O43" i="3" s="1"/>
  <c r="B16" i="3"/>
  <c r="V16" i="3"/>
  <c r="I16" i="3"/>
  <c r="F67" i="2"/>
  <c r="F68" i="2"/>
  <c r="F69" i="2"/>
  <c r="K7" i="3"/>
  <c r="L16" i="3"/>
  <c r="E16" i="3"/>
  <c r="Y16" i="3"/>
  <c r="F63" i="3"/>
  <c r="C16" i="3"/>
  <c r="H16" i="3"/>
  <c r="U7" i="3"/>
  <c r="F8" i="3"/>
  <c r="K8" i="3"/>
  <c r="P8" i="3"/>
  <c r="Q16" i="3"/>
  <c r="U16" i="3" s="1"/>
  <c r="U43" i="3" s="1"/>
  <c r="Z8" i="3"/>
  <c r="F9" i="3"/>
  <c r="K9" i="3"/>
  <c r="P9" i="3"/>
  <c r="U9" i="3"/>
  <c r="Z9" i="3"/>
  <c r="F10" i="3"/>
  <c r="Q43" i="3"/>
  <c r="G16" i="3"/>
  <c r="D28" i="3"/>
  <c r="H28" i="3"/>
  <c r="M28" i="3"/>
  <c r="Q66" i="3"/>
  <c r="Q67" i="3" s="1"/>
  <c r="Q69" i="3"/>
  <c r="Q65" i="3"/>
  <c r="Q68" i="3" s="1"/>
  <c r="V28" i="3"/>
  <c r="Z19" i="3"/>
  <c r="Z28" i="3" s="1"/>
  <c r="K21" i="3"/>
  <c r="F31" i="3"/>
  <c r="L45" i="3"/>
  <c r="K45" i="3"/>
  <c r="L47" i="3"/>
  <c r="K47" i="3"/>
  <c r="F7" i="3"/>
  <c r="Z16" i="3"/>
  <c r="Z7" i="3"/>
  <c r="U8" i="3"/>
  <c r="E66" i="3"/>
  <c r="E67" i="3" s="1"/>
  <c r="E69" i="3"/>
  <c r="E65" i="3"/>
  <c r="I28" i="3"/>
  <c r="N66" i="3"/>
  <c r="N67" i="3" s="1"/>
  <c r="N69" i="3"/>
  <c r="N65" i="3"/>
  <c r="N68" i="3" s="1"/>
  <c r="R66" i="3"/>
  <c r="R67" i="3" s="1"/>
  <c r="R69" i="3"/>
  <c r="R65" i="3"/>
  <c r="R68" i="3" s="1"/>
  <c r="W66" i="3"/>
  <c r="W67" i="3" s="1"/>
  <c r="W69" i="3"/>
  <c r="W65" i="3"/>
  <c r="W68" i="3" s="1"/>
  <c r="G33" i="3"/>
  <c r="F33" i="3"/>
  <c r="Q48" i="3"/>
  <c r="O48" i="3"/>
  <c r="T48" i="3" s="1"/>
  <c r="Y48" i="3" s="1"/>
  <c r="B28" i="3"/>
  <c r="B42" i="3" s="1"/>
  <c r="B43" i="3" s="1"/>
  <c r="F19" i="3"/>
  <c r="J28" i="3"/>
  <c r="O28" i="3"/>
  <c r="S66" i="3"/>
  <c r="S67" i="3" s="1"/>
  <c r="S69" i="3"/>
  <c r="S65" i="3"/>
  <c r="S68" i="3" s="1"/>
  <c r="X69" i="3"/>
  <c r="X65" i="3"/>
  <c r="X68" i="3" s="1"/>
  <c r="X66" i="3"/>
  <c r="X67" i="3" s="1"/>
  <c r="P20" i="3"/>
  <c r="F22" i="3"/>
  <c r="P22" i="3"/>
  <c r="K32" i="3"/>
  <c r="H32" i="3"/>
  <c r="I32" i="3" s="1"/>
  <c r="L32" i="3" s="1"/>
  <c r="L43" i="3"/>
  <c r="P43" i="3" s="1"/>
  <c r="P16" i="3"/>
  <c r="C66" i="3"/>
  <c r="C67" i="3" s="1"/>
  <c r="C69" i="3"/>
  <c r="C65" i="3"/>
  <c r="G66" i="3"/>
  <c r="G67" i="3" s="1"/>
  <c r="G69" i="3"/>
  <c r="G65" i="3"/>
  <c r="G68" i="3" s="1"/>
  <c r="L69" i="3"/>
  <c r="L65" i="3"/>
  <c r="L68" i="3" s="1"/>
  <c r="L66" i="3"/>
  <c r="L67" i="3" s="1"/>
  <c r="P19" i="3"/>
  <c r="T69" i="3"/>
  <c r="T65" i="3"/>
  <c r="T68" i="3" s="1"/>
  <c r="T66" i="3"/>
  <c r="T67" i="3" s="1"/>
  <c r="Y66" i="3"/>
  <c r="Y67" i="3" s="1"/>
  <c r="Y69" i="3"/>
  <c r="Y65" i="3"/>
  <c r="Y68" i="3" s="1"/>
  <c r="E42" i="3"/>
  <c r="E43" i="3" s="1"/>
  <c r="K19" i="3"/>
  <c r="K28" i="3" s="1"/>
  <c r="G31" i="3"/>
  <c r="L34" i="3"/>
  <c r="C39" i="3"/>
  <c r="C42" i="3" s="1"/>
  <c r="C43" i="3" s="1"/>
  <c r="K52" i="3"/>
  <c r="D39" i="3"/>
  <c r="D42" i="3" s="1"/>
  <c r="D43" i="3" s="1"/>
  <c r="P48" i="3"/>
  <c r="O49" i="3"/>
  <c r="T49" i="3" s="1"/>
  <c r="Y49" i="3" s="1"/>
  <c r="L51" i="3"/>
  <c r="H51" i="3"/>
  <c r="V71" i="3"/>
  <c r="Z71" i="3" s="1"/>
  <c r="U71" i="3"/>
  <c r="U19" i="3"/>
  <c r="U28" i="3" s="1"/>
  <c r="F32" i="3"/>
  <c r="T45" i="3"/>
  <c r="I46" i="3"/>
  <c r="L46" i="3" s="1"/>
  <c r="G49" i="3"/>
  <c r="P50" i="3"/>
  <c r="R50" i="3"/>
  <c r="S50" i="3" s="1"/>
  <c r="V50" i="3" s="1"/>
  <c r="P71" i="3"/>
  <c r="F61" i="3"/>
  <c r="F60" i="2"/>
  <c r="AE15" i="2"/>
  <c r="AE31" i="2"/>
  <c r="O54" i="2"/>
  <c r="C65" i="2"/>
  <c r="F65" i="2" s="1"/>
  <c r="E54" i="2"/>
  <c r="AE49" i="2"/>
  <c r="Y54" i="2"/>
  <c r="B70" i="2"/>
  <c r="F59" i="2"/>
  <c r="C70" i="2"/>
  <c r="AE40" i="2"/>
  <c r="J54" i="2"/>
  <c r="B64" i="2"/>
  <c r="F64" i="2" s="1"/>
  <c r="AD54" i="2"/>
  <c r="AE54" i="2" s="1"/>
  <c r="AE53" i="2"/>
  <c r="D70" i="2"/>
  <c r="AE50" i="2"/>
  <c r="U73" i="1"/>
  <c r="M73" i="1"/>
  <c r="H73" i="1"/>
  <c r="P73" i="1"/>
  <c r="T73" i="1"/>
  <c r="I73" i="1"/>
  <c r="Q73" i="1"/>
  <c r="B77" i="1"/>
  <c r="E96" i="1"/>
  <c r="L73" i="1"/>
  <c r="K73" i="1"/>
  <c r="Z7" i="1"/>
  <c r="B82" i="1" s="1"/>
  <c r="S8" i="1"/>
  <c r="S10" i="1" s="1"/>
  <c r="J12" i="1"/>
  <c r="J14" i="1" s="1"/>
  <c r="D14" i="1"/>
  <c r="F16" i="1"/>
  <c r="V16" i="1"/>
  <c r="V18" i="1" s="1"/>
  <c r="Z19" i="1"/>
  <c r="E82" i="1" s="1"/>
  <c r="R20" i="1"/>
  <c r="R22" i="1" s="1"/>
  <c r="X21" i="1"/>
  <c r="E81" i="1" s="1"/>
  <c r="S25" i="1"/>
  <c r="S27" i="1" s="1"/>
  <c r="S73" i="1" s="1"/>
  <c r="G27" i="1"/>
  <c r="Z28" i="1"/>
  <c r="G82" i="1" s="1"/>
  <c r="R29" i="1"/>
  <c r="R31" i="1" s="1"/>
  <c r="R73" i="1" s="1"/>
  <c r="D31" i="1"/>
  <c r="D73" i="1" s="1"/>
  <c r="G33" i="1"/>
  <c r="W33" i="1"/>
  <c r="W35" i="1" s="1"/>
  <c r="N37" i="1"/>
  <c r="N39" i="1" s="1"/>
  <c r="B92" i="1"/>
  <c r="B96" i="1" s="1"/>
  <c r="F92" i="1"/>
  <c r="F96" i="1" s="1"/>
  <c r="B94" i="1"/>
  <c r="F95" i="1"/>
  <c r="Y11" i="1"/>
  <c r="C77" i="1" s="1"/>
  <c r="Y24" i="1"/>
  <c r="F77" i="1" s="1"/>
  <c r="E31" i="1"/>
  <c r="E73" i="1" s="1"/>
  <c r="Y36" i="1"/>
  <c r="I77" i="1" s="1"/>
  <c r="G92" i="1"/>
  <c r="G96" i="1" s="1"/>
  <c r="C94" i="1"/>
  <c r="C96" i="1" s="1"/>
  <c r="G94" i="1"/>
  <c r="X8" i="1"/>
  <c r="N16" i="1"/>
  <c r="N18" i="1" s="1"/>
  <c r="J20" i="1"/>
  <c r="J22" i="1" s="1"/>
  <c r="X20" i="1"/>
  <c r="Z24" i="1"/>
  <c r="F82" i="1" s="1"/>
  <c r="Y32" i="1"/>
  <c r="H77" i="1" s="1"/>
  <c r="O33" i="1"/>
  <c r="O35" i="1" s="1"/>
  <c r="O73" i="1" s="1"/>
  <c r="J35" i="1"/>
  <c r="Z36" i="1"/>
  <c r="I82" i="1" s="1"/>
  <c r="V37" i="1"/>
  <c r="V39" i="1" s="1"/>
  <c r="V73" i="1" s="1"/>
  <c r="W39" i="1"/>
  <c r="W73" i="1" s="1"/>
  <c r="D95" i="1"/>
  <c r="D96" i="1" s="1"/>
  <c r="H95" i="1"/>
  <c r="H96" i="1" s="1"/>
  <c r="Y19" i="1"/>
  <c r="E77" i="1" s="1"/>
  <c r="Z30" i="1"/>
  <c r="J37" i="1"/>
  <c r="P28" i="3" l="1"/>
  <c r="P69" i="3" s="1"/>
  <c r="F16" i="3"/>
  <c r="K16" i="3"/>
  <c r="Y45" i="3"/>
  <c r="I51" i="3"/>
  <c r="M51" i="3"/>
  <c r="R51" i="3" s="1"/>
  <c r="W51" i="3" s="1"/>
  <c r="K66" i="3"/>
  <c r="K67" i="3" s="1"/>
  <c r="K69" i="3"/>
  <c r="K65" i="3"/>
  <c r="P65" i="3"/>
  <c r="M32" i="3"/>
  <c r="N32" i="3" s="1"/>
  <c r="Q32" i="3" s="1"/>
  <c r="P32" i="3"/>
  <c r="J66" i="3"/>
  <c r="J67" i="3" s="1"/>
  <c r="J69" i="3"/>
  <c r="J65" i="3"/>
  <c r="J68" i="3" s="1"/>
  <c r="R48" i="3"/>
  <c r="S48" i="3" s="1"/>
  <c r="V48" i="3" s="1"/>
  <c r="I66" i="3"/>
  <c r="I67" i="3" s="1"/>
  <c r="I69" i="3"/>
  <c r="I65" i="3"/>
  <c r="I68" i="3" s="1"/>
  <c r="M45" i="3"/>
  <c r="Z66" i="3"/>
  <c r="Z67" i="3" s="1"/>
  <c r="Z69" i="3"/>
  <c r="Z65" i="3"/>
  <c r="U66" i="3"/>
  <c r="U67" i="3" s="1"/>
  <c r="U69" i="3"/>
  <c r="U65" i="3"/>
  <c r="F28" i="3"/>
  <c r="E68" i="3"/>
  <c r="E72" i="3" s="1"/>
  <c r="E73" i="3" s="1"/>
  <c r="E74" i="3" s="1"/>
  <c r="E75" i="3" s="1"/>
  <c r="V66" i="3"/>
  <c r="V67" i="3" s="1"/>
  <c r="V69" i="3"/>
  <c r="V65" i="3"/>
  <c r="V68" i="3" s="1"/>
  <c r="M66" i="3"/>
  <c r="M67" i="3" s="1"/>
  <c r="M69" i="3"/>
  <c r="M65" i="3"/>
  <c r="M68" i="3" s="1"/>
  <c r="G63" i="3"/>
  <c r="G73" i="3" s="1"/>
  <c r="G74" i="3" s="1"/>
  <c r="G75" i="3" s="1"/>
  <c r="H49" i="3"/>
  <c r="Q51" i="3"/>
  <c r="W50" i="3"/>
  <c r="X50" i="3" s="1"/>
  <c r="Z50" i="3"/>
  <c r="M46" i="3"/>
  <c r="N46" i="3" s="1"/>
  <c r="Q46" i="3" s="1"/>
  <c r="P46" i="3"/>
  <c r="U50" i="3"/>
  <c r="Q34" i="3"/>
  <c r="P34" i="3"/>
  <c r="K46" i="3"/>
  <c r="B66" i="3"/>
  <c r="B69" i="3"/>
  <c r="B65" i="3"/>
  <c r="H33" i="3"/>
  <c r="I33" i="3" s="1"/>
  <c r="L33" i="3" s="1"/>
  <c r="K33" i="3"/>
  <c r="M47" i="3"/>
  <c r="N47" i="3" s="1"/>
  <c r="Q47" i="3" s="1"/>
  <c r="P47" i="3"/>
  <c r="F39" i="3"/>
  <c r="H69" i="3"/>
  <c r="H65" i="3"/>
  <c r="H68" i="3" s="1"/>
  <c r="H66" i="3"/>
  <c r="H67" i="3" s="1"/>
  <c r="H31" i="3"/>
  <c r="G39" i="3"/>
  <c r="G42" i="3" s="1"/>
  <c r="C68" i="3"/>
  <c r="C72" i="3" s="1"/>
  <c r="C73" i="3" s="1"/>
  <c r="C74" i="3" s="1"/>
  <c r="C75" i="3" s="1"/>
  <c r="O66" i="3"/>
  <c r="O67" i="3" s="1"/>
  <c r="O69" i="3"/>
  <c r="O65" i="3"/>
  <c r="O68" i="3" s="1"/>
  <c r="D69" i="3"/>
  <c r="D65" i="3"/>
  <c r="D66" i="3"/>
  <c r="D67" i="3" s="1"/>
  <c r="F70" i="2"/>
  <c r="E79" i="1"/>
  <c r="F79" i="1"/>
  <c r="G35" i="1"/>
  <c r="G73" i="1" s="1"/>
  <c r="X33" i="1"/>
  <c r="B78" i="1"/>
  <c r="X10" i="1"/>
  <c r="Z73" i="1"/>
  <c r="C79" i="1"/>
  <c r="X12" i="1"/>
  <c r="X29" i="1"/>
  <c r="J39" i="1"/>
  <c r="J73" i="1" s="1"/>
  <c r="X37" i="1"/>
  <c r="I78" i="1" s="1"/>
  <c r="E78" i="1"/>
  <c r="X22" i="1"/>
  <c r="I79" i="1"/>
  <c r="N73" i="1"/>
  <c r="F18" i="1"/>
  <c r="F73" i="1" s="1"/>
  <c r="X16" i="1"/>
  <c r="Y73" i="1"/>
  <c r="X25" i="1"/>
  <c r="P66" i="3" l="1"/>
  <c r="P67" i="3" s="1"/>
  <c r="B67" i="3"/>
  <c r="F67" i="3" s="1"/>
  <c r="F66" i="3"/>
  <c r="D68" i="3"/>
  <c r="D72" i="3" s="1"/>
  <c r="D73" i="3" s="1"/>
  <c r="D74" i="3" s="1"/>
  <c r="D75" i="3" s="1"/>
  <c r="F42" i="3"/>
  <c r="F43" i="3" s="1"/>
  <c r="M33" i="3"/>
  <c r="N33" i="3" s="1"/>
  <c r="Q33" i="3" s="1"/>
  <c r="I49" i="3"/>
  <c r="H63" i="3"/>
  <c r="H73" i="3" s="1"/>
  <c r="H74" i="3" s="1"/>
  <c r="H75" i="3" s="1"/>
  <c r="U68" i="3"/>
  <c r="U72" i="3" s="1"/>
  <c r="Z68" i="3"/>
  <c r="Z72" i="3" s="1"/>
  <c r="N45" i="3"/>
  <c r="R32" i="3"/>
  <c r="S32" i="3" s="1"/>
  <c r="V32" i="3" s="1"/>
  <c r="U32" i="3"/>
  <c r="K68" i="3"/>
  <c r="K72" i="3" s="1"/>
  <c r="N51" i="3"/>
  <c r="J51" i="3"/>
  <c r="K51" i="3" s="1"/>
  <c r="F65" i="3"/>
  <c r="B68" i="3"/>
  <c r="F68" i="3" s="1"/>
  <c r="V51" i="3"/>
  <c r="R47" i="3"/>
  <c r="S47" i="3" s="1"/>
  <c r="V47" i="3" s="1"/>
  <c r="F69" i="3"/>
  <c r="V34" i="3"/>
  <c r="Z34" i="3" s="1"/>
  <c r="U34" i="3"/>
  <c r="R46" i="3"/>
  <c r="S46" i="3" s="1"/>
  <c r="V46" i="3" s="1"/>
  <c r="U48" i="3"/>
  <c r="I31" i="3"/>
  <c r="H39" i="3"/>
  <c r="H42" i="3" s="1"/>
  <c r="Z48" i="3"/>
  <c r="W48" i="3"/>
  <c r="X48" i="3" s="1"/>
  <c r="P72" i="3"/>
  <c r="P68" i="3"/>
  <c r="F78" i="1"/>
  <c r="X27" i="1"/>
  <c r="D78" i="1"/>
  <c r="X18" i="1"/>
  <c r="G78" i="1"/>
  <c r="X31" i="1"/>
  <c r="G79" i="1"/>
  <c r="D79" i="1"/>
  <c r="E83" i="1"/>
  <c r="C78" i="1"/>
  <c r="X14" i="1"/>
  <c r="E80" i="1"/>
  <c r="B83" i="1"/>
  <c r="H79" i="1"/>
  <c r="I83" i="1"/>
  <c r="H78" i="1"/>
  <c r="X35" i="1"/>
  <c r="X73" i="1" s="1"/>
  <c r="B79" i="1"/>
  <c r="F72" i="3" l="1"/>
  <c r="F73" i="3" s="1"/>
  <c r="F74" i="3" s="1"/>
  <c r="F75" i="3" s="1"/>
  <c r="F76" i="3" s="1"/>
  <c r="F78" i="3" s="1"/>
  <c r="F79" i="3" s="1"/>
  <c r="J31" i="3"/>
  <c r="J39" i="3" s="1"/>
  <c r="I39" i="3"/>
  <c r="L31" i="3"/>
  <c r="W47" i="3"/>
  <c r="X47" i="3" s="1"/>
  <c r="U47" i="3"/>
  <c r="B72" i="3"/>
  <c r="B73" i="3" s="1"/>
  <c r="B74" i="3" s="1"/>
  <c r="B75" i="3" s="1"/>
  <c r="S51" i="3"/>
  <c r="W32" i="3"/>
  <c r="X32" i="3" s="1"/>
  <c r="Z32" i="3"/>
  <c r="L49" i="3"/>
  <c r="K49" i="3"/>
  <c r="K63" i="3" s="1"/>
  <c r="K73" i="3" s="1"/>
  <c r="K74" i="3" s="1"/>
  <c r="K75" i="3" s="1"/>
  <c r="I63" i="3"/>
  <c r="I73" i="3" s="1"/>
  <c r="I74" i="3" s="1"/>
  <c r="I75" i="3" s="1"/>
  <c r="Q45" i="3"/>
  <c r="P45" i="3"/>
  <c r="R33" i="3"/>
  <c r="S33" i="3" s="1"/>
  <c r="V33" i="3" s="1"/>
  <c r="U33" i="3"/>
  <c r="U46" i="3"/>
  <c r="P33" i="3"/>
  <c r="W46" i="3"/>
  <c r="X46" i="3" s="1"/>
  <c r="O51" i="3"/>
  <c r="J63" i="3"/>
  <c r="J73" i="3" s="1"/>
  <c r="J74" i="3" s="1"/>
  <c r="J75" i="3" s="1"/>
  <c r="I85" i="1"/>
  <c r="I84" i="1"/>
  <c r="E85" i="1"/>
  <c r="E84" i="1"/>
  <c r="G83" i="1"/>
  <c r="G80" i="1"/>
  <c r="F83" i="1"/>
  <c r="F80" i="1"/>
  <c r="H83" i="1"/>
  <c r="H80" i="1"/>
  <c r="C83" i="1"/>
  <c r="C80" i="1"/>
  <c r="D83" i="1"/>
  <c r="D80" i="1"/>
  <c r="I80" i="1"/>
  <c r="B85" i="1"/>
  <c r="B84" i="1"/>
  <c r="W33" i="3" l="1"/>
  <c r="X33" i="3" s="1"/>
  <c r="Z33" i="3"/>
  <c r="K31" i="3"/>
  <c r="K39" i="3" s="1"/>
  <c r="K42" i="3" s="1"/>
  <c r="K43" i="3" s="1"/>
  <c r="K76" i="3" s="1"/>
  <c r="T51" i="3"/>
  <c r="O63" i="3"/>
  <c r="O73" i="3" s="1"/>
  <c r="O74" i="3" s="1"/>
  <c r="O75" i="3" s="1"/>
  <c r="P51" i="3"/>
  <c r="M31" i="3"/>
  <c r="L39" i="3"/>
  <c r="Z46" i="3"/>
  <c r="R45" i="3"/>
  <c r="M49" i="3"/>
  <c r="L63" i="3"/>
  <c r="L73" i="3" s="1"/>
  <c r="L74" i="3" s="1"/>
  <c r="L75" i="3" s="1"/>
  <c r="X51" i="3"/>
  <c r="U51" i="3"/>
  <c r="Z47" i="3"/>
  <c r="H85" i="1"/>
  <c r="H84" i="1"/>
  <c r="G85" i="1"/>
  <c r="G84" i="1"/>
  <c r="C85" i="1"/>
  <c r="C84" i="1"/>
  <c r="F85" i="1"/>
  <c r="F84" i="1"/>
  <c r="D85" i="1"/>
  <c r="D84" i="1"/>
  <c r="Y51" i="3" l="1"/>
  <c r="Y63" i="3" s="1"/>
  <c r="Y73" i="3" s="1"/>
  <c r="Y74" i="3" s="1"/>
  <c r="Y75" i="3" s="1"/>
  <c r="T63" i="3"/>
  <c r="T73" i="3" s="1"/>
  <c r="T74" i="3" s="1"/>
  <c r="T75" i="3" s="1"/>
  <c r="N49" i="3"/>
  <c r="M63" i="3"/>
  <c r="M73" i="3" s="1"/>
  <c r="M74" i="3" s="1"/>
  <c r="M75" i="3" s="1"/>
  <c r="N31" i="3"/>
  <c r="M39" i="3"/>
  <c r="K78" i="3"/>
  <c r="K79" i="3" s="1"/>
  <c r="K77" i="3"/>
  <c r="Z51" i="3"/>
  <c r="S45" i="3"/>
  <c r="P31" i="3" l="1"/>
  <c r="P39" i="3" s="1"/>
  <c r="P42" i="3" s="1"/>
  <c r="N39" i="3"/>
  <c r="Q31" i="3"/>
  <c r="O31" i="3"/>
  <c r="O39" i="3" s="1"/>
  <c r="V45" i="3"/>
  <c r="U45" i="3"/>
  <c r="Q49" i="3"/>
  <c r="N63" i="3"/>
  <c r="N73" i="3" s="1"/>
  <c r="N74" i="3" s="1"/>
  <c r="N75" i="3" s="1"/>
  <c r="P49" i="3"/>
  <c r="P63" i="3" s="1"/>
  <c r="P73" i="3" s="1"/>
  <c r="P74" i="3" s="1"/>
  <c r="P75" i="3" s="1"/>
  <c r="P76" i="3" s="1"/>
  <c r="R49" i="3" l="1"/>
  <c r="Q63" i="3"/>
  <c r="Q73" i="3" s="1"/>
  <c r="Q74" i="3" s="1"/>
  <c r="Q75" i="3" s="1"/>
  <c r="R31" i="3"/>
  <c r="Q39" i="3"/>
  <c r="P77" i="3"/>
  <c r="P78" i="3" s="1"/>
  <c r="P79" i="3" s="1"/>
  <c r="W45" i="3"/>
  <c r="X45" i="3" l="1"/>
  <c r="R39" i="3"/>
  <c r="S31" i="3"/>
  <c r="S49" i="3"/>
  <c r="R63" i="3"/>
  <c r="R73" i="3" s="1"/>
  <c r="R74" i="3" s="1"/>
  <c r="R75" i="3" s="1"/>
  <c r="Z45" i="3"/>
  <c r="U49" i="3"/>
  <c r="U63" i="3" s="1"/>
  <c r="U73" i="3" s="1"/>
  <c r="U74" i="3" s="1"/>
  <c r="U75" i="3" s="1"/>
  <c r="U76" i="3" s="1"/>
  <c r="U77" i="3" l="1"/>
  <c r="U78" i="3" s="1"/>
  <c r="U79" i="3" s="1"/>
  <c r="V31" i="3"/>
  <c r="T31" i="3"/>
  <c r="S39" i="3"/>
  <c r="V49" i="3"/>
  <c r="S63" i="3"/>
  <c r="S73" i="3" s="1"/>
  <c r="S74" i="3" s="1"/>
  <c r="S75" i="3" s="1"/>
  <c r="Y31" i="3" l="1"/>
  <c r="Y39" i="3" s="1"/>
  <c r="Y42" i="3" s="1"/>
  <c r="Y43" i="3" s="1"/>
  <c r="T39" i="3"/>
  <c r="W49" i="3"/>
  <c r="V63" i="3"/>
  <c r="V73" i="3" s="1"/>
  <c r="V74" i="3" s="1"/>
  <c r="V75" i="3" s="1"/>
  <c r="V39" i="3"/>
  <c r="V42" i="3" s="1"/>
  <c r="W31" i="3"/>
  <c r="U31" i="3"/>
  <c r="U39" i="3" s="1"/>
  <c r="X31" i="3" l="1"/>
  <c r="X39" i="3" s="1"/>
  <c r="X42" i="3" s="1"/>
  <c r="X43" i="3" s="1"/>
  <c r="W39" i="3"/>
  <c r="W42" i="3" s="1"/>
  <c r="W43" i="3" s="1"/>
  <c r="X49" i="3"/>
  <c r="X63" i="3" s="1"/>
  <c r="X73" i="3" s="1"/>
  <c r="X74" i="3" s="1"/>
  <c r="X75" i="3" s="1"/>
  <c r="W63" i="3"/>
  <c r="W73" i="3" s="1"/>
  <c r="W74" i="3" s="1"/>
  <c r="W75" i="3" s="1"/>
  <c r="V43" i="3"/>
  <c r="Z31" i="3"/>
  <c r="Z39" i="3" s="1"/>
  <c r="Z49" i="3"/>
  <c r="Z63" i="3" s="1"/>
  <c r="Z73" i="3" s="1"/>
  <c r="Z74" i="3" s="1"/>
  <c r="Z75" i="3" s="1"/>
  <c r="Z42" i="3" l="1"/>
  <c r="Z43" i="3" s="1"/>
  <c r="Z76" i="3" s="1"/>
  <c r="Z77" i="3" l="1"/>
  <c r="Z78" i="3" s="1"/>
  <c r="Z79" i="3" s="1"/>
</calcChain>
</file>

<file path=xl/sharedStrings.xml><?xml version="1.0" encoding="utf-8"?>
<sst xmlns="http://schemas.openxmlformats.org/spreadsheetml/2006/main" count="526" uniqueCount="242">
  <si>
    <t>Year 1  (July 2015 to June 2016)</t>
  </si>
  <si>
    <r>
      <t>Year 2  (</t>
    </r>
    <r>
      <rPr>
        <b/>
        <sz val="10"/>
        <rFont val="Arial"/>
        <family val="2"/>
      </rPr>
      <t>July 2016 to June 2017)</t>
    </r>
  </si>
  <si>
    <r>
      <t>Year 3  (</t>
    </r>
    <r>
      <rPr>
        <b/>
        <sz val="10"/>
        <rFont val="Arial"/>
        <family val="2"/>
      </rPr>
      <t>July 2017 to June 2018)</t>
    </r>
  </si>
  <si>
    <r>
      <t>Year 4  (</t>
    </r>
    <r>
      <rPr>
        <sz val="10"/>
        <rFont val="Arial"/>
        <family val="2"/>
      </rPr>
      <t>July 2018 to June 2019)</t>
    </r>
  </si>
  <si>
    <t>Year 5  (July 2019 to June 2020)</t>
  </si>
  <si>
    <t>Salling price</t>
  </si>
  <si>
    <t>Buying price</t>
  </si>
  <si>
    <t>Quarter 1</t>
  </si>
  <si>
    <t>Quarter 2</t>
  </si>
  <si>
    <t>Quarter 3</t>
  </si>
  <si>
    <t>Quarter 4</t>
  </si>
  <si>
    <t>Quarter 5</t>
  </si>
  <si>
    <t>Quarter 6</t>
  </si>
  <si>
    <t>Quarter 7</t>
  </si>
  <si>
    <t>Quarter 8</t>
  </si>
  <si>
    <t>Quarter 9</t>
  </si>
  <si>
    <t>Quarter 10</t>
  </si>
  <si>
    <t>Quarter 11</t>
  </si>
  <si>
    <t>Quarter 12</t>
  </si>
  <si>
    <t>Quarter 13</t>
  </si>
  <si>
    <t>Quarter 14</t>
  </si>
  <si>
    <t>Quarter 15</t>
  </si>
  <si>
    <t>Quarter 16</t>
  </si>
  <si>
    <t>Quarter 17</t>
  </si>
  <si>
    <t>Quarter 18</t>
  </si>
  <si>
    <t>Quarter 19</t>
  </si>
  <si>
    <t>Quarter 20</t>
  </si>
  <si>
    <t xml:space="preserve">Cash status </t>
  </si>
  <si>
    <t>Total Sales</t>
  </si>
  <si>
    <t xml:space="preserve">Stock balance </t>
  </si>
  <si>
    <t>per t</t>
  </si>
  <si>
    <t>July/Sept</t>
  </si>
  <si>
    <t>Oct/Dec</t>
  </si>
  <si>
    <t>Jan/Mar</t>
  </si>
  <si>
    <t>April/June</t>
  </si>
  <si>
    <t>Rs, 000)</t>
  </si>
  <si>
    <t>Rs,000</t>
  </si>
  <si>
    <t>Rs, 000</t>
  </si>
  <si>
    <t>t</t>
  </si>
  <si>
    <t>Source seed (t)</t>
  </si>
  <si>
    <t>Rice</t>
  </si>
  <si>
    <t>Sales</t>
  </si>
  <si>
    <t>Purchased (5% more than sales)</t>
  </si>
  <si>
    <t>Profit</t>
  </si>
  <si>
    <t>Wheat</t>
  </si>
  <si>
    <t xml:space="preserve">Purchased </t>
  </si>
  <si>
    <t xml:space="preserve">Maize </t>
  </si>
  <si>
    <t xml:space="preserve">Lentil </t>
  </si>
  <si>
    <t>Truthfully labelled seed (t)</t>
  </si>
  <si>
    <t>Purchased (10% more than sales)</t>
  </si>
  <si>
    <t xml:space="preserve">Wheat </t>
  </si>
  <si>
    <t>Purchased (7% more than sales)</t>
  </si>
  <si>
    <t>Maize</t>
  </si>
  <si>
    <t>Purchased (8% more than sales)</t>
  </si>
  <si>
    <t>VEGETABLES</t>
  </si>
  <si>
    <t>Cauliflower (OP)</t>
  </si>
  <si>
    <t>profit</t>
  </si>
  <si>
    <t xml:space="preserve">cucumber </t>
  </si>
  <si>
    <t>pea</t>
  </si>
  <si>
    <t>radish</t>
  </si>
  <si>
    <t>cow pea</t>
  </si>
  <si>
    <t xml:space="preserve">rajma </t>
  </si>
  <si>
    <t>okra</t>
  </si>
  <si>
    <t>hybrid maize</t>
  </si>
  <si>
    <t>Balance</t>
  </si>
  <si>
    <t>Source seed</t>
  </si>
  <si>
    <t>TL seed</t>
  </si>
  <si>
    <t>Trading Summary</t>
  </si>
  <si>
    <t xml:space="preserve">Rice s </t>
  </si>
  <si>
    <t>maize</t>
  </si>
  <si>
    <t xml:space="preserve">Rice </t>
  </si>
  <si>
    <t>Maize (OP) -t post rainy season maize</t>
  </si>
  <si>
    <t>Lentil (t)</t>
  </si>
  <si>
    <t>Sales target (t)</t>
  </si>
  <si>
    <t>Sales (NRs, 000)</t>
  </si>
  <si>
    <t>% of sales (vol)</t>
  </si>
  <si>
    <t>% of sales (Resource)</t>
  </si>
  <si>
    <t>Purchases (NRs, 000)</t>
  </si>
  <si>
    <t>Final stock (t)</t>
  </si>
  <si>
    <t>Gross profit</t>
  </si>
  <si>
    <t>% margin</t>
  </si>
  <si>
    <t>profit per tonne</t>
  </si>
  <si>
    <t>Years</t>
  </si>
  <si>
    <t>Rice s (ton)</t>
  </si>
  <si>
    <t>maize (ton)</t>
  </si>
  <si>
    <t>Y1</t>
  </si>
  <si>
    <t>Y2</t>
  </si>
  <si>
    <t>Y3</t>
  </si>
  <si>
    <t>Y4</t>
  </si>
  <si>
    <t>Y5</t>
  </si>
  <si>
    <t>Total</t>
  </si>
  <si>
    <t>Investment</t>
  </si>
  <si>
    <r>
      <t>Year 1  (</t>
    </r>
    <r>
      <rPr>
        <sz val="10"/>
        <rFont val="Arial"/>
        <family val="2"/>
      </rPr>
      <t>July 2015 to June 2016)</t>
    </r>
  </si>
  <si>
    <r>
      <t>Year 2  (</t>
    </r>
    <r>
      <rPr>
        <sz val="10"/>
        <rFont val="Arial"/>
        <family val="2"/>
      </rPr>
      <t>July 2016 to June 2017)</t>
    </r>
  </si>
  <si>
    <r>
      <t>Year 3  (</t>
    </r>
    <r>
      <rPr>
        <sz val="10"/>
        <rFont val="Arial"/>
        <family val="2"/>
      </rPr>
      <t>July 2012 to June 2013)</t>
    </r>
  </si>
  <si>
    <r>
      <t>Year 4  (</t>
    </r>
    <r>
      <rPr>
        <sz val="10"/>
        <rFont val="Arial"/>
        <family val="2"/>
      </rPr>
      <t>July 2013 to June 2014)</t>
    </r>
  </si>
  <si>
    <r>
      <t>Year 5  (</t>
    </r>
    <r>
      <rPr>
        <sz val="10"/>
        <rFont val="Arial"/>
        <family val="2"/>
      </rPr>
      <t>July 2014 to June 2015)</t>
    </r>
  </si>
  <si>
    <t>Grand</t>
  </si>
  <si>
    <t>Particulars</t>
  </si>
  <si>
    <t>Unit</t>
  </si>
  <si>
    <t xml:space="preserve">Quantity </t>
  </si>
  <si>
    <t>Rate</t>
  </si>
  <si>
    <t>year1</t>
  </si>
  <si>
    <t>Year 2</t>
  </si>
  <si>
    <t>Year 3</t>
  </si>
  <si>
    <t>Year4</t>
  </si>
  <si>
    <t>Year 5</t>
  </si>
  <si>
    <t>A. Fixed capital</t>
  </si>
  <si>
    <t>1. Land Including its Development</t>
  </si>
  <si>
    <t>ha</t>
  </si>
  <si>
    <t>2.  Building &amp; Sheds</t>
  </si>
  <si>
    <t>a. Building with 6 Office rooms &amp; labs</t>
  </si>
  <si>
    <t>b. packaging unit</t>
  </si>
  <si>
    <t>Sq.feet</t>
  </si>
  <si>
    <t>c. store house</t>
  </si>
  <si>
    <t>Sq. feet</t>
  </si>
  <si>
    <t xml:space="preserve">d. Threshing/dring floor </t>
  </si>
  <si>
    <t>Sq. meter</t>
  </si>
  <si>
    <t>e. Care taker Room</t>
  </si>
  <si>
    <t>f. Fencing (partial)</t>
  </si>
  <si>
    <t>Total Building and Shed</t>
  </si>
  <si>
    <t>3.  Machinery &amp; Equipments</t>
  </si>
  <si>
    <t xml:space="preserve">  a.Boring &amp; Irrigation Equipment </t>
  </si>
  <si>
    <t xml:space="preserve">  b. Processing Equipments sets    </t>
  </si>
  <si>
    <t>Set</t>
  </si>
  <si>
    <t xml:space="preserve">  c. Sewing Machine </t>
  </si>
  <si>
    <t>No.</t>
  </si>
  <si>
    <t xml:space="preserve">  d. Weighing Machine  Classical</t>
  </si>
  <si>
    <t>e. soil testing kit</t>
  </si>
  <si>
    <t>no.</t>
  </si>
  <si>
    <t xml:space="preserve">  f. Divider </t>
  </si>
  <si>
    <t xml:space="preserve">  g. Moisture Metre </t>
  </si>
  <si>
    <t xml:space="preserve"> h. Germinator</t>
  </si>
  <si>
    <t xml:space="preserve"> i. Freeze </t>
  </si>
  <si>
    <t>j. lab chemicals</t>
  </si>
  <si>
    <t>set</t>
  </si>
  <si>
    <t xml:space="preserve"> k. Hand Tools</t>
  </si>
  <si>
    <t xml:space="preserve">  l. Thresher Machine</t>
  </si>
  <si>
    <t>Total Mechanery and Equipment</t>
  </si>
  <si>
    <t>4. Furnitures &amp; Fixtures</t>
  </si>
  <si>
    <t>a. Office tables &amp; Chairs</t>
  </si>
  <si>
    <t>b. Daraj</t>
  </si>
  <si>
    <t>c. Rack &amp; Others</t>
  </si>
  <si>
    <t>d. Fixture</t>
  </si>
  <si>
    <t>e. woode crate</t>
  </si>
  <si>
    <t>f.Others</t>
  </si>
  <si>
    <t>g. Curtaining and Carpeting</t>
  </si>
  <si>
    <t>Total  Furnitures &amp; Fixtures</t>
  </si>
  <si>
    <t>5. Office Equipments</t>
  </si>
  <si>
    <t>a. Telephone/Fax</t>
  </si>
  <si>
    <t>b. Computer Laptop</t>
  </si>
  <si>
    <t>c. Computer Desktop</t>
  </si>
  <si>
    <t>d. Printer</t>
  </si>
  <si>
    <t>f. Digital Camera</t>
  </si>
  <si>
    <t xml:space="preserve">h. Calculator </t>
  </si>
  <si>
    <t xml:space="preserve">i. Ceiling Fan  </t>
  </si>
  <si>
    <t>Total Office Equipments</t>
  </si>
  <si>
    <t>6. Vehicles</t>
  </si>
  <si>
    <t xml:space="preserve">a. Motorbike </t>
  </si>
  <si>
    <t>b. Mini Truck</t>
  </si>
  <si>
    <t>Total Vehicles</t>
  </si>
  <si>
    <t>Total Investment in Assets</t>
  </si>
  <si>
    <t>Summary of investment</t>
  </si>
  <si>
    <t>Fixed Capital</t>
  </si>
  <si>
    <t>Year 1</t>
  </si>
  <si>
    <t>Year 4</t>
  </si>
  <si>
    <t>Land including its development</t>
  </si>
  <si>
    <t>Building and shed</t>
  </si>
  <si>
    <t>Machinery and equipment</t>
  </si>
  <si>
    <t>Office equipment</t>
  </si>
  <si>
    <t>Motorbike</t>
  </si>
  <si>
    <t>Minitruck</t>
  </si>
  <si>
    <t>Seed purchase</t>
  </si>
  <si>
    <t>Adminstrative cost including depreciation and insurance</t>
  </si>
  <si>
    <t>Production staff</t>
  </si>
  <si>
    <t>Selling and distribution cost</t>
  </si>
  <si>
    <r>
      <t>Year 2  (</t>
    </r>
    <r>
      <rPr>
        <sz val="10"/>
        <rFont val="Arial"/>
        <family val="2"/>
      </rPr>
      <t>July 2011 to June 2012)</t>
    </r>
  </si>
  <si>
    <t>Year 1  (July 2010 to June 2011)</t>
  </si>
  <si>
    <t>Year 2  (July 2011 to June 2012)</t>
  </si>
  <si>
    <t>Year 3  (July 2012 to June 2013)</t>
  </si>
  <si>
    <t>Year 4  (July 2013 to June 2014)</t>
  </si>
  <si>
    <t>Year 5  (July 2014 to June 2015)</t>
  </si>
  <si>
    <t>Income from seed sale</t>
  </si>
  <si>
    <t xml:space="preserve">Maize (OP) </t>
  </si>
  <si>
    <t>Truthfully labelled seed</t>
  </si>
  <si>
    <t>Maize (OP) - post rainy season maize</t>
  </si>
  <si>
    <t>Total income from seed sale (A)</t>
  </si>
  <si>
    <t>Seed purchasing cost</t>
  </si>
  <si>
    <t>Total seed purchasing cost (B)</t>
  </si>
  <si>
    <t>Direct (Prodution Staff)</t>
  </si>
  <si>
    <t>Plant breeder @80000/month</t>
  </si>
  <si>
    <t>Technician @20000/month</t>
  </si>
  <si>
    <t>Daily labor</t>
  </si>
  <si>
    <t>Travel and subsistance allowance</t>
  </si>
  <si>
    <t>Farmers' trainings/demonstrations</t>
  </si>
  <si>
    <t>Collaboration and networking</t>
  </si>
  <si>
    <t>Breeding works</t>
  </si>
  <si>
    <t>Total direct costs- C</t>
  </si>
  <si>
    <t>Opeaning Stock-D</t>
  </si>
  <si>
    <t>Closing Stock-E</t>
  </si>
  <si>
    <t>Cost of Goods Sold- F= (B+C+D-E)</t>
  </si>
  <si>
    <t xml:space="preserve">Gross Profit(A-F) </t>
  </si>
  <si>
    <t>Add: Administrative Expenses</t>
  </si>
  <si>
    <t>General Manager (GM) @65000/month</t>
  </si>
  <si>
    <t>Store Manager @20000/month</t>
  </si>
  <si>
    <t>seed processing manager@20000/month</t>
  </si>
  <si>
    <t>Marketing Supervisor @15000/month</t>
  </si>
  <si>
    <t>Admin and Account Officer @25000/month</t>
  </si>
  <si>
    <t>Security Guard @8000/month</t>
  </si>
  <si>
    <t>Driver @15000/month</t>
  </si>
  <si>
    <t>Staff meeting cost @3000/month</t>
  </si>
  <si>
    <t>Communication (Phone/ Fax, Photocopy, E-mail)</t>
  </si>
  <si>
    <t>Company brochure and website</t>
  </si>
  <si>
    <t xml:space="preserve">Printing &amp; Stationery cost </t>
  </si>
  <si>
    <t>Electricity and water</t>
  </si>
  <si>
    <t>Wooden plate for store room</t>
  </si>
  <si>
    <t>Land registration, working policy development, Audit and Company renewal</t>
  </si>
  <si>
    <t>Insurance</t>
  </si>
  <si>
    <t>Depreciation of fixed assets (annual)</t>
  </si>
  <si>
    <t>Others</t>
  </si>
  <si>
    <t xml:space="preserve">Total </t>
  </si>
  <si>
    <t>Selling and Distribution Cost</t>
  </si>
  <si>
    <t>Processing cost (2% of total purchase)</t>
  </si>
  <si>
    <t>Packaging cost (3% of total sales)</t>
  </si>
  <si>
    <t>Transportation cost (products collection) (3% of total purchase)</t>
  </si>
  <si>
    <t>Transportation cost (products distribution) (2% of total sales)</t>
  </si>
  <si>
    <t>Advertisements and Publicity cost (0.2% of total sales)</t>
  </si>
  <si>
    <t>Cost for lab items (glass ware, filter papers, gloves, apron, mask, etc.)</t>
  </si>
  <si>
    <t>Fuel cost (vehicle, generator, etc.)</t>
  </si>
  <si>
    <t>Total Selling and Distribution cost</t>
  </si>
  <si>
    <t>Total of admin, selling and distribution cost</t>
  </si>
  <si>
    <t>Contingency (5%)</t>
  </si>
  <si>
    <t>Grand total Admin. And Sellimg and Dist. Cost</t>
  </si>
  <si>
    <t>Net  Profit before Tax</t>
  </si>
  <si>
    <t>Provision for Tax (25%)</t>
  </si>
  <si>
    <t>Net Pfofit after Tax</t>
  </si>
  <si>
    <t>Comulative profit transferred to B/s</t>
  </si>
  <si>
    <t>VEGETABLE</t>
  </si>
  <si>
    <t>cauliflower</t>
  </si>
  <si>
    <t>cucumber</t>
  </si>
  <si>
    <t>cowpea</t>
  </si>
  <si>
    <t>maize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</si>
</sst>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color indexed="19"/>
      <name val="Arial"/>
      <family val="2"/>
    </font>
    <font>
      <sz val="11"/>
      <color indexed="1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48"/>
      <name val="Arial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4"/>
      <color indexed="17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2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5" fillId="4" borderId="0" xfId="0" applyFont="1" applyFill="1"/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5" borderId="0" xfId="0" applyFont="1" applyFill="1" applyBorder="1"/>
    <xf numFmtId="0" fontId="0" fillId="4" borderId="0" xfId="0" applyFont="1" applyFill="1"/>
    <xf numFmtId="0" fontId="4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7" fontId="0" fillId="4" borderId="1" xfId="0" applyNumberFormat="1" applyFont="1" applyFill="1" applyBorder="1" applyAlignment="1">
      <alignment horizontal="center"/>
    </xf>
    <xf numFmtId="17" fontId="0" fillId="4" borderId="4" xfId="0" applyNumberFormat="1" applyFont="1" applyFill="1" applyBorder="1" applyAlignment="1">
      <alignment horizontal="center"/>
    </xf>
    <xf numFmtId="0" fontId="0" fillId="4" borderId="1" xfId="0" applyFont="1" applyFill="1" applyBorder="1"/>
    <xf numFmtId="0" fontId="0" fillId="4" borderId="0" xfId="0" applyFont="1" applyFill="1" applyBorder="1"/>
    <xf numFmtId="0" fontId="0" fillId="5" borderId="0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5" borderId="0" xfId="0" applyFont="1" applyFill="1"/>
    <xf numFmtId="43" fontId="7" fillId="6" borderId="7" xfId="1" applyFont="1" applyFill="1" applyBorder="1"/>
    <xf numFmtId="43" fontId="4" fillId="6" borderId="7" xfId="1" applyFont="1" applyFill="1" applyBorder="1"/>
    <xf numFmtId="43" fontId="4" fillId="6" borderId="5" xfId="1" applyFont="1" applyFill="1" applyBorder="1"/>
    <xf numFmtId="43" fontId="6" fillId="6" borderId="7" xfId="1" applyFont="1" applyFill="1" applyBorder="1"/>
    <xf numFmtId="0" fontId="0" fillId="5" borderId="0" xfId="0" applyFill="1"/>
    <xf numFmtId="43" fontId="8" fillId="0" borderId="7" xfId="1" applyFont="1" applyFill="1" applyBorder="1" applyAlignment="1">
      <alignment wrapText="1"/>
    </xf>
    <xf numFmtId="43" fontId="0" fillId="0" borderId="7" xfId="1" applyFont="1" applyBorder="1"/>
    <xf numFmtId="43" fontId="4" fillId="0" borderId="7" xfId="1" applyFont="1" applyFill="1" applyBorder="1" applyAlignment="1">
      <alignment wrapText="1"/>
    </xf>
    <xf numFmtId="43" fontId="0" fillId="7" borderId="7" xfId="1" applyFont="1" applyFill="1" applyBorder="1"/>
    <xf numFmtId="43" fontId="0" fillId="0" borderId="7" xfId="1" applyFont="1" applyFill="1" applyBorder="1"/>
    <xf numFmtId="0" fontId="0" fillId="0" borderId="0" xfId="0" applyFill="1"/>
    <xf numFmtId="43" fontId="6" fillId="5" borderId="7" xfId="1" applyFont="1" applyFill="1" applyBorder="1"/>
    <xf numFmtId="0" fontId="0" fillId="0" borderId="7" xfId="0" applyBorder="1"/>
    <xf numFmtId="43" fontId="4" fillId="7" borderId="7" xfId="1" applyFont="1" applyFill="1" applyBorder="1" applyAlignment="1"/>
    <xf numFmtId="43" fontId="9" fillId="8" borderId="7" xfId="1" applyFont="1" applyFill="1" applyBorder="1"/>
    <xf numFmtId="43" fontId="7" fillId="9" borderId="7" xfId="1" applyFont="1" applyFill="1" applyBorder="1"/>
    <xf numFmtId="43" fontId="0" fillId="9" borderId="7" xfId="1" applyFont="1" applyFill="1" applyBorder="1"/>
    <xf numFmtId="43" fontId="4" fillId="9" borderId="7" xfId="1" applyFont="1" applyFill="1" applyBorder="1"/>
    <xf numFmtId="0" fontId="0" fillId="0" borderId="7" xfId="0" applyFill="1" applyBorder="1"/>
    <xf numFmtId="0" fontId="0" fillId="7" borderId="7" xfId="0" applyFill="1" applyBorder="1"/>
    <xf numFmtId="43" fontId="7" fillId="7" borderId="7" xfId="1" applyFont="1" applyFill="1" applyBorder="1"/>
    <xf numFmtId="43" fontId="5" fillId="10" borderId="7" xfId="1" applyFont="1" applyFill="1" applyBorder="1"/>
    <xf numFmtId="43" fontId="6" fillId="10" borderId="7" xfId="1" applyFont="1" applyFill="1" applyBorder="1"/>
    <xf numFmtId="0" fontId="6" fillId="10" borderId="7" xfId="0" applyFont="1" applyFill="1" applyBorder="1"/>
    <xf numFmtId="0" fontId="6" fillId="10" borderId="0" xfId="0" applyFont="1" applyFill="1"/>
    <xf numFmtId="43" fontId="5" fillId="7" borderId="7" xfId="1" applyFont="1" applyFill="1" applyBorder="1"/>
    <xf numFmtId="43" fontId="6" fillId="7" borderId="7" xfId="1" applyFont="1" applyFill="1" applyBorder="1"/>
    <xf numFmtId="0" fontId="6" fillId="7" borderId="7" xfId="0" applyFont="1" applyFill="1" applyBorder="1"/>
    <xf numFmtId="43" fontId="6" fillId="0" borderId="7" xfId="1" applyFont="1" applyFill="1" applyBorder="1"/>
    <xf numFmtId="0" fontId="6" fillId="0" borderId="0" xfId="0" applyFont="1" applyFill="1"/>
    <xf numFmtId="0" fontId="0" fillId="10" borderId="7" xfId="0" applyFill="1" applyBorder="1"/>
    <xf numFmtId="0" fontId="0" fillId="10" borderId="0" xfId="0" applyFill="1"/>
    <xf numFmtId="43" fontId="7" fillId="8" borderId="7" xfId="1" applyFont="1" applyFill="1" applyBorder="1"/>
    <xf numFmtId="43" fontId="0" fillId="8" borderId="7" xfId="1" applyFont="1" applyFill="1" applyBorder="1"/>
    <xf numFmtId="0" fontId="0" fillId="4" borderId="0" xfId="0" applyFill="1"/>
    <xf numFmtId="0" fontId="7" fillId="11" borderId="0" xfId="0" applyFont="1" applyFill="1" applyBorder="1" applyAlignment="1"/>
    <xf numFmtId="0" fontId="0" fillId="11" borderId="0" xfId="0" applyFill="1" applyBorder="1" applyAlignment="1"/>
    <xf numFmtId="0" fontId="7" fillId="4" borderId="0" xfId="0" applyFont="1" applyFill="1" applyBorder="1" applyAlignment="1"/>
    <xf numFmtId="0" fontId="0" fillId="4" borderId="0" xfId="0" applyFill="1" applyBorder="1" applyAlignment="1"/>
    <xf numFmtId="0" fontId="0" fillId="7" borderId="0" xfId="0" applyFill="1" applyBorder="1" applyAlignment="1"/>
    <xf numFmtId="0" fontId="0" fillId="7" borderId="8" xfId="0" applyFill="1" applyBorder="1" applyAlignment="1"/>
    <xf numFmtId="0" fontId="7" fillId="4" borderId="7" xfId="0" applyFont="1" applyFill="1" applyBorder="1"/>
    <xf numFmtId="0" fontId="3" fillId="11" borderId="7" xfId="0" applyFont="1" applyFill="1" applyBorder="1" applyAlignment="1">
      <alignment horizontal="center" wrapText="1"/>
    </xf>
    <xf numFmtId="0" fontId="0" fillId="11" borderId="7" xfId="0" applyFill="1" applyBorder="1"/>
    <xf numFmtId="0" fontId="4" fillId="4" borderId="7" xfId="0" applyFont="1" applyFill="1" applyBorder="1" applyAlignment="1">
      <alignment wrapText="1"/>
    </xf>
    <xf numFmtId="0" fontId="4" fillId="4" borderId="7" xfId="0" applyFont="1" applyFill="1" applyBorder="1"/>
    <xf numFmtId="3" fontId="4" fillId="11" borderId="7" xfId="0" applyNumberFormat="1" applyFont="1" applyFill="1" applyBorder="1" applyAlignment="1">
      <alignment horizontal="center"/>
    </xf>
    <xf numFmtId="3" fontId="4" fillId="4" borderId="7" xfId="0" applyNumberFormat="1" applyFont="1" applyFill="1" applyBorder="1" applyAlignment="1">
      <alignment horizontal="center"/>
    </xf>
    <xf numFmtId="3" fontId="0" fillId="4" borderId="7" xfId="0" applyNumberFormat="1" applyFill="1" applyBorder="1"/>
    <xf numFmtId="3" fontId="0" fillId="4" borderId="0" xfId="0" applyNumberFormat="1" applyFill="1"/>
    <xf numFmtId="0" fontId="0" fillId="4" borderId="7" xfId="0" applyFill="1" applyBorder="1"/>
    <xf numFmtId="3" fontId="0" fillId="11" borderId="7" xfId="0" applyNumberFormat="1" applyFill="1" applyBorder="1"/>
    <xf numFmtId="4" fontId="0" fillId="11" borderId="7" xfId="0" applyNumberFormat="1" applyFill="1" applyBorder="1"/>
    <xf numFmtId="4" fontId="0" fillId="4" borderId="7" xfId="0" applyNumberFormat="1" applyFill="1" applyBorder="1"/>
    <xf numFmtId="43" fontId="0" fillId="11" borderId="7" xfId="0" applyNumberFormat="1" applyFill="1" applyBorder="1"/>
    <xf numFmtId="43" fontId="0" fillId="4" borderId="7" xfId="0" applyNumberFormat="1" applyFill="1" applyBorder="1"/>
    <xf numFmtId="9" fontId="0" fillId="11" borderId="7" xfId="0" applyNumberFormat="1" applyFill="1" applyBorder="1"/>
    <xf numFmtId="9" fontId="0" fillId="4" borderId="7" xfId="0" applyNumberFormat="1" applyFill="1" applyBorder="1"/>
    <xf numFmtId="1" fontId="0" fillId="11" borderId="7" xfId="0" applyNumberFormat="1" applyFill="1" applyBorder="1"/>
    <xf numFmtId="1" fontId="0" fillId="4" borderId="7" xfId="0" applyNumberFormat="1" applyFill="1" applyBorder="1"/>
    <xf numFmtId="0" fontId="0" fillId="5" borderId="0" xfId="0" applyFill="1" applyBorder="1"/>
    <xf numFmtId="1" fontId="0" fillId="5" borderId="0" xfId="0" applyNumberFormat="1" applyFill="1" applyBorder="1"/>
    <xf numFmtId="0" fontId="0" fillId="11" borderId="0" xfId="0" applyFill="1"/>
    <xf numFmtId="43" fontId="6" fillId="11" borderId="7" xfId="0" applyNumberFormat="1" applyFont="1" applyFill="1" applyBorder="1"/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17" fontId="11" fillId="4" borderId="7" xfId="0" applyNumberFormat="1" applyFont="1" applyFill="1" applyBorder="1"/>
    <xf numFmtId="17" fontId="5" fillId="4" borderId="7" xfId="0" applyNumberFormat="1" applyFont="1" applyFill="1" applyBorder="1"/>
    <xf numFmtId="17" fontId="0" fillId="4" borderId="7" xfId="0" applyNumberFormat="1" applyFill="1" applyBorder="1"/>
    <xf numFmtId="17" fontId="5" fillId="4" borderId="0" xfId="0" applyNumberFormat="1" applyFont="1" applyFill="1" applyBorder="1"/>
    <xf numFmtId="17" fontId="5" fillId="4" borderId="4" xfId="0" applyNumberFormat="1" applyFont="1" applyFill="1" applyBorder="1"/>
    <xf numFmtId="0" fontId="2" fillId="4" borderId="7" xfId="0" applyFont="1" applyFill="1" applyBorder="1" applyAlignment="1">
      <alignment horizontal="left"/>
    </xf>
    <xf numFmtId="17" fontId="11" fillId="4" borderId="7" xfId="0" applyNumberFormat="1" applyFont="1" applyFill="1" applyBorder="1" applyAlignment="1">
      <alignment horizontal="center"/>
    </xf>
    <xf numFmtId="17" fontId="12" fillId="4" borderId="7" xfId="0" applyNumberFormat="1" applyFont="1" applyFill="1" applyBorder="1" applyAlignment="1">
      <alignment horizontal="center"/>
    </xf>
    <xf numFmtId="17" fontId="12" fillId="4" borderId="0" xfId="0" applyNumberFormat="1" applyFont="1" applyFill="1" applyBorder="1" applyAlignment="1">
      <alignment horizontal="center"/>
    </xf>
    <xf numFmtId="17" fontId="12" fillId="4" borderId="4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4" fontId="4" fillId="4" borderId="2" xfId="0" applyNumberFormat="1" applyFont="1" applyFill="1" applyBorder="1" applyAlignment="1">
      <alignment horizontal="right"/>
    </xf>
    <xf numFmtId="0" fontId="4" fillId="12" borderId="12" xfId="0" applyFont="1" applyFill="1" applyBorder="1" applyAlignment="1">
      <alignment horizontal="left"/>
    </xf>
    <xf numFmtId="0" fontId="4" fillId="12" borderId="13" xfId="0" applyFont="1" applyFill="1" applyBorder="1" applyAlignment="1">
      <alignment horizontal="left"/>
    </xf>
    <xf numFmtId="164" fontId="4" fillId="12" borderId="13" xfId="1" applyNumberFormat="1" applyFont="1" applyFill="1" applyBorder="1" applyAlignment="1">
      <alignment horizontal="left"/>
    </xf>
    <xf numFmtId="164" fontId="4" fillId="12" borderId="13" xfId="1" applyNumberFormat="1" applyFont="1" applyFill="1" applyBorder="1" applyAlignment="1">
      <alignment horizontal="right"/>
    </xf>
    <xf numFmtId="164" fontId="6" fillId="12" borderId="13" xfId="1" applyNumberFormat="1" applyFont="1" applyFill="1" applyBorder="1"/>
    <xf numFmtId="164" fontId="5" fillId="12" borderId="13" xfId="1" applyNumberFormat="1" applyFont="1" applyFill="1" applyBorder="1"/>
    <xf numFmtId="164" fontId="5" fillId="12" borderId="14" xfId="1" applyNumberFormat="1" applyFont="1" applyFill="1" applyBorder="1"/>
    <xf numFmtId="164" fontId="5" fillId="12" borderId="15" xfId="1" applyNumberFormat="1" applyFont="1" applyFill="1" applyBorder="1"/>
    <xf numFmtId="0" fontId="13" fillId="12" borderId="16" xfId="0" applyFont="1" applyFill="1" applyBorder="1" applyAlignment="1">
      <alignment horizontal="left"/>
    </xf>
    <xf numFmtId="0" fontId="4" fillId="12" borderId="7" xfId="0" applyFont="1" applyFill="1" applyBorder="1" applyAlignment="1">
      <alignment horizontal="center"/>
    </xf>
    <xf numFmtId="0" fontId="14" fillId="12" borderId="7" xfId="0" applyFont="1" applyFill="1" applyBorder="1" applyAlignment="1">
      <alignment horizontal="center"/>
    </xf>
    <xf numFmtId="164" fontId="14" fillId="12" borderId="7" xfId="1" applyNumberFormat="1" applyFont="1" applyFill="1" applyBorder="1" applyAlignment="1">
      <alignment horizontal="left"/>
    </xf>
    <xf numFmtId="164" fontId="4" fillId="12" borderId="7" xfId="1" applyNumberFormat="1" applyFont="1" applyFill="1" applyBorder="1" applyAlignment="1">
      <alignment horizontal="right"/>
    </xf>
    <xf numFmtId="164" fontId="6" fillId="12" borderId="7" xfId="1" applyNumberFormat="1" applyFont="1" applyFill="1" applyBorder="1"/>
    <xf numFmtId="164" fontId="5" fillId="12" borderId="7" xfId="1" applyNumberFormat="1" applyFont="1" applyFill="1" applyBorder="1"/>
    <xf numFmtId="164" fontId="5" fillId="12" borderId="17" xfId="1" applyNumberFormat="1" applyFont="1" applyFill="1" applyBorder="1"/>
    <xf numFmtId="0" fontId="4" fillId="12" borderId="16" xfId="0" applyFont="1" applyFill="1" applyBorder="1" applyAlignment="1">
      <alignment horizontal="left"/>
    </xf>
    <xf numFmtId="164" fontId="6" fillId="12" borderId="17" xfId="1" applyNumberFormat="1" applyFont="1" applyFill="1" applyBorder="1"/>
    <xf numFmtId="0" fontId="3" fillId="12" borderId="7" xfId="0" applyFont="1" applyFill="1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164" fontId="15" fillId="12" borderId="7" xfId="1" applyNumberFormat="1" applyFont="1" applyFill="1" applyBorder="1" applyAlignment="1">
      <alignment horizontal="left"/>
    </xf>
    <xf numFmtId="0" fontId="4" fillId="12" borderId="16" xfId="0" applyFont="1" applyFill="1" applyBorder="1" applyAlignment="1">
      <alignment horizontal="left" indent="1"/>
    </xf>
    <xf numFmtId="164" fontId="14" fillId="12" borderId="7" xfId="1" applyNumberFormat="1" applyFont="1" applyFill="1" applyBorder="1" applyAlignment="1">
      <alignment horizontal="left" indent="1"/>
    </xf>
    <xf numFmtId="0" fontId="16" fillId="12" borderId="16" xfId="0" applyFont="1" applyFill="1" applyBorder="1" applyAlignment="1">
      <alignment horizontal="left" indent="1"/>
    </xf>
    <xf numFmtId="0" fontId="16" fillId="12" borderId="7" xfId="0" applyFont="1" applyFill="1" applyBorder="1" applyAlignment="1">
      <alignment horizontal="center"/>
    </xf>
    <xf numFmtId="164" fontId="16" fillId="12" borderId="7" xfId="1" applyNumberFormat="1" applyFont="1" applyFill="1" applyBorder="1" applyAlignment="1">
      <alignment horizontal="left" indent="1"/>
    </xf>
    <xf numFmtId="164" fontId="16" fillId="12" borderId="7" xfId="1" applyNumberFormat="1" applyFont="1" applyFill="1" applyBorder="1" applyAlignment="1">
      <alignment horizontal="right"/>
    </xf>
    <xf numFmtId="164" fontId="17" fillId="12" borderId="7" xfId="1" applyNumberFormat="1" applyFont="1" applyFill="1" applyBorder="1"/>
    <xf numFmtId="164" fontId="18" fillId="12" borderId="7" xfId="1" applyNumberFormat="1" applyFont="1" applyFill="1" applyBorder="1"/>
    <xf numFmtId="164" fontId="18" fillId="12" borderId="13" xfId="1" applyNumberFormat="1" applyFont="1" applyFill="1" applyBorder="1"/>
    <xf numFmtId="164" fontId="18" fillId="12" borderId="14" xfId="1" applyNumberFormat="1" applyFont="1" applyFill="1" applyBorder="1"/>
    <xf numFmtId="164" fontId="17" fillId="12" borderId="17" xfId="1" applyNumberFormat="1" applyFont="1" applyFill="1" applyBorder="1"/>
    <xf numFmtId="0" fontId="3" fillId="12" borderId="16" xfId="0" applyFont="1" applyFill="1" applyBorder="1" applyAlignment="1">
      <alignment horizontal="left"/>
    </xf>
    <xf numFmtId="164" fontId="3" fillId="12" borderId="7" xfId="1" applyNumberFormat="1" applyFont="1" applyFill="1" applyBorder="1" applyAlignment="1">
      <alignment horizontal="right"/>
    </xf>
    <xf numFmtId="164" fontId="5" fillId="12" borderId="18" xfId="1" applyNumberFormat="1" applyFont="1" applyFill="1" applyBorder="1"/>
    <xf numFmtId="164" fontId="5" fillId="12" borderId="5" xfId="1" applyNumberFormat="1" applyFont="1" applyFill="1" applyBorder="1"/>
    <xf numFmtId="0" fontId="3" fillId="12" borderId="19" xfId="0" applyFont="1" applyFill="1" applyBorder="1" applyAlignment="1">
      <alignment horizontal="left"/>
    </xf>
    <xf numFmtId="0" fontId="3" fillId="12" borderId="18" xfId="0" applyFont="1" applyFill="1" applyBorder="1" applyAlignment="1">
      <alignment horizontal="center"/>
    </xf>
    <xf numFmtId="164" fontId="3" fillId="12" borderId="18" xfId="1" applyNumberFormat="1" applyFont="1" applyFill="1" applyBorder="1" applyAlignment="1">
      <alignment horizontal="left"/>
    </xf>
    <xf numFmtId="164" fontId="3" fillId="12" borderId="18" xfId="1" applyNumberFormat="1" applyFont="1" applyFill="1" applyBorder="1"/>
    <xf numFmtId="0" fontId="13" fillId="12" borderId="20" xfId="0" applyFont="1" applyFill="1" applyBorder="1" applyAlignment="1">
      <alignment horizontal="left"/>
    </xf>
    <xf numFmtId="0" fontId="3" fillId="12" borderId="5" xfId="0" applyFont="1" applyFill="1" applyBorder="1" applyAlignment="1">
      <alignment horizontal="center"/>
    </xf>
    <xf numFmtId="164" fontId="3" fillId="12" borderId="5" xfId="1" applyNumberFormat="1" applyFont="1" applyFill="1" applyBorder="1" applyAlignment="1">
      <alignment horizontal="left"/>
    </xf>
    <xf numFmtId="164" fontId="4" fillId="12" borderId="5" xfId="1" applyNumberFormat="1" applyFont="1" applyFill="1" applyBorder="1" applyAlignment="1">
      <alignment horizontal="right"/>
    </xf>
    <xf numFmtId="164" fontId="6" fillId="12" borderId="5" xfId="1" applyNumberFormat="1" applyFont="1" applyFill="1" applyBorder="1"/>
    <xf numFmtId="164" fontId="5" fillId="12" borderId="6" xfId="1" applyNumberFormat="1" applyFont="1" applyFill="1" applyBorder="1"/>
    <xf numFmtId="164" fontId="5" fillId="12" borderId="21" xfId="1" applyNumberFormat="1" applyFont="1" applyFill="1" applyBorder="1"/>
    <xf numFmtId="164" fontId="4" fillId="12" borderId="7" xfId="1" applyNumberFormat="1" applyFont="1" applyFill="1" applyBorder="1" applyAlignment="1">
      <alignment horizontal="left" indent="1"/>
    </xf>
    <xf numFmtId="0" fontId="3" fillId="12" borderId="20" xfId="0" applyFont="1" applyFill="1" applyBorder="1" applyAlignment="1">
      <alignment horizontal="left"/>
    </xf>
    <xf numFmtId="164" fontId="3" fillId="12" borderId="7" xfId="1" applyNumberFormat="1" applyFont="1" applyFill="1" applyBorder="1" applyAlignment="1">
      <alignment horizontal="left"/>
    </xf>
    <xf numFmtId="164" fontId="3" fillId="12" borderId="7" xfId="1" applyNumberFormat="1" applyFont="1" applyFill="1" applyBorder="1"/>
    <xf numFmtId="164" fontId="4" fillId="12" borderId="7" xfId="1" applyNumberFormat="1" applyFont="1" applyFill="1" applyBorder="1" applyAlignment="1">
      <alignment horizontal="left"/>
    </xf>
    <xf numFmtId="164" fontId="4" fillId="12" borderId="7" xfId="1" applyNumberFormat="1" applyFont="1" applyFill="1" applyBorder="1"/>
    <xf numFmtId="0" fontId="3" fillId="12" borderId="22" xfId="0" applyFont="1" applyFill="1" applyBorder="1" applyAlignment="1">
      <alignment horizontal="left" indent="1"/>
    </xf>
    <xf numFmtId="0" fontId="3" fillId="12" borderId="2" xfId="0" applyFont="1" applyFill="1" applyBorder="1" applyAlignment="1">
      <alignment horizontal="center"/>
    </xf>
    <xf numFmtId="164" fontId="3" fillId="12" borderId="2" xfId="1" applyNumberFormat="1" applyFont="1" applyFill="1" applyBorder="1" applyAlignment="1">
      <alignment horizontal="left" indent="1"/>
    </xf>
    <xf numFmtId="164" fontId="3" fillId="12" borderId="2" xfId="1" applyNumberFormat="1" applyFont="1" applyFill="1" applyBorder="1" applyAlignment="1">
      <alignment horizontal="right"/>
    </xf>
    <xf numFmtId="164" fontId="5" fillId="12" borderId="2" xfId="1" applyNumberFormat="1" applyFont="1" applyFill="1" applyBorder="1"/>
    <xf numFmtId="0" fontId="3" fillId="12" borderId="23" xfId="0" applyFont="1" applyFill="1" applyBorder="1" applyAlignment="1">
      <alignment horizontal="left" indent="1"/>
    </xf>
    <xf numFmtId="0" fontId="4" fillId="12" borderId="24" xfId="0" applyFont="1" applyFill="1" applyBorder="1" applyAlignment="1">
      <alignment horizontal="center"/>
    </xf>
    <xf numFmtId="164" fontId="4" fillId="12" borderId="24" xfId="1" applyNumberFormat="1" applyFont="1" applyFill="1" applyBorder="1" applyAlignment="1">
      <alignment horizontal="left" indent="1"/>
    </xf>
    <xf numFmtId="164" fontId="3" fillId="12" borderId="24" xfId="1" applyNumberFormat="1" applyFont="1" applyFill="1" applyBorder="1" applyAlignment="1">
      <alignment horizontal="right"/>
    </xf>
    <xf numFmtId="164" fontId="6" fillId="12" borderId="24" xfId="1" applyNumberFormat="1" applyFont="1" applyFill="1" applyBorder="1"/>
    <xf numFmtId="164" fontId="5" fillId="12" borderId="24" xfId="1" applyNumberFormat="1" applyFont="1" applyFill="1" applyBorder="1"/>
    <xf numFmtId="0" fontId="4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center"/>
    </xf>
    <xf numFmtId="164" fontId="4" fillId="0" borderId="0" xfId="1" applyNumberFormat="1" applyFont="1" applyBorder="1" applyAlignment="1">
      <alignment horizontal="left" indent="1"/>
    </xf>
    <xf numFmtId="164" fontId="4" fillId="0" borderId="0" xfId="1" applyNumberFormat="1" applyFont="1" applyBorder="1" applyAlignment="1">
      <alignment horizontal="right"/>
    </xf>
    <xf numFmtId="164" fontId="0" fillId="0" borderId="0" xfId="1" applyNumberFormat="1" applyFont="1"/>
    <xf numFmtId="164" fontId="5" fillId="0" borderId="0" xfId="1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0" xfId="0" applyFont="1"/>
    <xf numFmtId="0" fontId="19" fillId="0" borderId="0" xfId="0" applyFont="1" applyBorder="1"/>
    <xf numFmtId="0" fontId="5" fillId="5" borderId="7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164" fontId="0" fillId="5" borderId="7" xfId="0" applyNumberFormat="1" applyFill="1" applyBorder="1" applyAlignment="1">
      <alignment wrapText="1"/>
    </xf>
    <xf numFmtId="0" fontId="0" fillId="5" borderId="7" xfId="0" applyFill="1" applyBorder="1" applyAlignment="1">
      <alignment horizontal="center" wrapText="1"/>
    </xf>
    <xf numFmtId="164" fontId="0" fillId="0" borderId="0" xfId="0" applyNumberFormat="1"/>
    <xf numFmtId="164" fontId="0" fillId="5" borderId="7" xfId="0" applyNumberFormat="1" applyFill="1" applyBorder="1" applyAlignment="1">
      <alignment horizontal="center" wrapText="1"/>
    </xf>
    <xf numFmtId="0" fontId="0" fillId="5" borderId="7" xfId="0" applyFont="1" applyFill="1" applyBorder="1" applyAlignment="1">
      <alignment wrapText="1"/>
    </xf>
    <xf numFmtId="3" fontId="0" fillId="5" borderId="7" xfId="0" applyNumberFormat="1" applyFill="1" applyBorder="1" applyAlignment="1">
      <alignment wrapText="1"/>
    </xf>
    <xf numFmtId="3" fontId="0" fillId="5" borderId="7" xfId="0" applyNumberFormat="1" applyFill="1" applyBorder="1" applyAlignment="1">
      <alignment horizontal="center" wrapText="1"/>
    </xf>
    <xf numFmtId="1" fontId="0" fillId="5" borderId="7" xfId="0" applyNumberFormat="1" applyFill="1" applyBorder="1" applyAlignment="1">
      <alignment wrapText="1"/>
    </xf>
    <xf numFmtId="1" fontId="0" fillId="5" borderId="7" xfId="0" applyNumberFormat="1" applyFill="1" applyBorder="1" applyAlignment="1">
      <alignment horizontal="center" wrapText="1"/>
    </xf>
    <xf numFmtId="0" fontId="5" fillId="5" borderId="7" xfId="0" applyFont="1" applyFill="1" applyBorder="1"/>
    <xf numFmtId="164" fontId="0" fillId="5" borderId="7" xfId="0" applyNumberFormat="1" applyFill="1" applyBorder="1"/>
    <xf numFmtId="0" fontId="3" fillId="0" borderId="2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17" fontId="5" fillId="0" borderId="4" xfId="0" applyNumberFormat="1" applyFont="1" applyBorder="1"/>
    <xf numFmtId="17" fontId="5" fillId="0" borderId="0" xfId="0" applyNumberFormat="1" applyFont="1" applyBorder="1"/>
    <xf numFmtId="17" fontId="5" fillId="0" borderId="16" xfId="0" applyNumberFormat="1" applyFont="1" applyBorder="1"/>
    <xf numFmtId="17" fontId="5" fillId="0" borderId="7" xfId="0" applyNumberFormat="1" applyFont="1" applyBorder="1"/>
    <xf numFmtId="17" fontId="5" fillId="0" borderId="9" xfId="0" applyNumberFormat="1" applyFont="1" applyBorder="1"/>
    <xf numFmtId="17" fontId="5" fillId="0" borderId="30" xfId="0" applyNumberFormat="1" applyFont="1" applyBorder="1"/>
    <xf numFmtId="17" fontId="5" fillId="0" borderId="31" xfId="0" applyNumberFormat="1" applyFont="1" applyBorder="1"/>
    <xf numFmtId="0" fontId="5" fillId="0" borderId="26" xfId="0" applyFont="1" applyBorder="1"/>
    <xf numFmtId="17" fontId="5" fillId="0" borderId="32" xfId="0" applyNumberFormat="1" applyFont="1" applyBorder="1"/>
    <xf numFmtId="17" fontId="5" fillId="0" borderId="27" xfId="0" applyNumberFormat="1" applyFont="1" applyBorder="1"/>
    <xf numFmtId="17" fontId="5" fillId="0" borderId="12" xfId="0" applyNumberFormat="1" applyFont="1" applyBorder="1"/>
    <xf numFmtId="17" fontId="5" fillId="0" borderId="13" xfId="0" applyNumberFormat="1" applyFont="1" applyBorder="1"/>
    <xf numFmtId="17" fontId="5" fillId="0" borderId="14" xfId="0" applyNumberFormat="1" applyFont="1" applyBorder="1"/>
    <xf numFmtId="17" fontId="5" fillId="0" borderId="26" xfId="0" applyNumberFormat="1" applyFont="1" applyBorder="1"/>
    <xf numFmtId="17" fontId="5" fillId="0" borderId="15" xfId="0" applyNumberFormat="1" applyFont="1" applyBorder="1"/>
    <xf numFmtId="0" fontId="0" fillId="0" borderId="30" xfId="0" applyBorder="1"/>
    <xf numFmtId="17" fontId="0" fillId="0" borderId="4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" fontId="0" fillId="0" borderId="1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5" fillId="0" borderId="9" xfId="0" applyNumberFormat="1" applyFont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17" fontId="0" fillId="0" borderId="17" xfId="0" applyNumberFormat="1" applyBorder="1" applyAlignment="1">
      <alignment horizontal="center"/>
    </xf>
    <xf numFmtId="0" fontId="20" fillId="0" borderId="30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5" fillId="7" borderId="30" xfId="0" applyFont="1" applyFill="1" applyBorder="1"/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4" fillId="0" borderId="16" xfId="0" applyFont="1" applyFill="1" applyBorder="1" applyAlignment="1"/>
    <xf numFmtId="3" fontId="0" fillId="0" borderId="7" xfId="0" applyNumberFormat="1" applyBorder="1"/>
    <xf numFmtId="3" fontId="5" fillId="0" borderId="9" xfId="0" applyNumberFormat="1" applyFont="1" applyBorder="1"/>
    <xf numFmtId="3" fontId="0" fillId="0" borderId="16" xfId="0" applyNumberFormat="1" applyBorder="1"/>
    <xf numFmtId="3" fontId="0" fillId="0" borderId="30" xfId="0" applyNumberFormat="1" applyBorder="1"/>
    <xf numFmtId="3" fontId="5" fillId="0" borderId="17" xfId="0" applyNumberFormat="1" applyFont="1" applyBorder="1"/>
    <xf numFmtId="3" fontId="5" fillId="0" borderId="0" xfId="0" applyNumberFormat="1" applyFont="1" applyBorder="1"/>
    <xf numFmtId="0" fontId="3" fillId="7" borderId="16" xfId="0" applyFont="1" applyFill="1" applyBorder="1" applyAlignment="1"/>
    <xf numFmtId="3" fontId="0" fillId="7" borderId="7" xfId="0" applyNumberFormat="1" applyFill="1" applyBorder="1"/>
    <xf numFmtId="3" fontId="5" fillId="7" borderId="9" xfId="0" applyNumberFormat="1" applyFont="1" applyFill="1" applyBorder="1"/>
    <xf numFmtId="3" fontId="0" fillId="7" borderId="16" xfId="0" applyNumberFormat="1" applyFill="1" applyBorder="1"/>
    <xf numFmtId="3" fontId="0" fillId="7" borderId="30" xfId="0" applyNumberFormat="1" applyFill="1" applyBorder="1"/>
    <xf numFmtId="3" fontId="0" fillId="7" borderId="0" xfId="0" applyNumberFormat="1" applyFill="1" applyBorder="1"/>
    <xf numFmtId="3" fontId="5" fillId="7" borderId="0" xfId="0" applyNumberFormat="1" applyFont="1" applyFill="1" applyBorder="1"/>
    <xf numFmtId="3" fontId="5" fillId="7" borderId="17" xfId="0" applyNumberFormat="1" applyFont="1" applyFill="1" applyBorder="1"/>
    <xf numFmtId="0" fontId="21" fillId="13" borderId="33" xfId="0" applyFont="1" applyFill="1" applyBorder="1" applyAlignment="1"/>
    <xf numFmtId="3" fontId="22" fillId="13" borderId="4" xfId="0" applyNumberFormat="1" applyFont="1" applyFill="1" applyBorder="1"/>
    <xf numFmtId="0" fontId="23" fillId="0" borderId="33" xfId="0" applyFont="1" applyFill="1" applyBorder="1" applyAlignment="1"/>
    <xf numFmtId="3" fontId="0" fillId="0" borderId="4" xfId="0" applyNumberFormat="1" applyBorder="1"/>
    <xf numFmtId="3" fontId="0" fillId="0" borderId="0" xfId="0" applyNumberFormat="1" applyBorder="1"/>
    <xf numFmtId="3" fontId="3" fillId="7" borderId="4" xfId="0" applyNumberFormat="1" applyFont="1" applyFill="1" applyBorder="1"/>
    <xf numFmtId="3" fontId="3" fillId="7" borderId="0" xfId="0" applyNumberFormat="1" applyFont="1" applyFill="1" applyBorder="1"/>
    <xf numFmtId="3" fontId="3" fillId="7" borderId="16" xfId="0" applyNumberFormat="1" applyFont="1" applyFill="1" applyBorder="1"/>
    <xf numFmtId="3" fontId="3" fillId="7" borderId="7" xfId="0" applyNumberFormat="1" applyFont="1" applyFill="1" applyBorder="1"/>
    <xf numFmtId="3" fontId="3" fillId="7" borderId="30" xfId="0" applyNumberFormat="1" applyFont="1" applyFill="1" applyBorder="1"/>
    <xf numFmtId="3" fontId="4" fillId="0" borderId="7" xfId="0" applyNumberFormat="1" applyFont="1" applyBorder="1"/>
    <xf numFmtId="3" fontId="4" fillId="0" borderId="16" xfId="0" applyNumberFormat="1" applyFont="1" applyBorder="1"/>
    <xf numFmtId="3" fontId="4" fillId="0" borderId="30" xfId="0" applyNumberFormat="1" applyFont="1" applyBorder="1"/>
    <xf numFmtId="3" fontId="24" fillId="0" borderId="16" xfId="0" applyNumberFormat="1" applyFont="1" applyFill="1" applyBorder="1"/>
    <xf numFmtId="0" fontId="3" fillId="7" borderId="33" xfId="0" applyFont="1" applyFill="1" applyBorder="1" applyAlignment="1"/>
    <xf numFmtId="0" fontId="0" fillId="7" borderId="0" xfId="0" applyFill="1" applyBorder="1"/>
    <xf numFmtId="0" fontId="5" fillId="7" borderId="0" xfId="0" applyFont="1" applyFill="1" applyBorder="1"/>
    <xf numFmtId="0" fontId="0" fillId="7" borderId="16" xfId="0" applyFill="1" applyBorder="1"/>
    <xf numFmtId="0" fontId="0" fillId="7" borderId="30" xfId="0" applyFill="1" applyBorder="1"/>
    <xf numFmtId="0" fontId="21" fillId="13" borderId="16" xfId="0" applyFont="1" applyFill="1" applyBorder="1" applyAlignment="1"/>
    <xf numFmtId="3" fontId="25" fillId="13" borderId="7" xfId="0" applyNumberFormat="1" applyFont="1" applyFill="1" applyBorder="1"/>
    <xf numFmtId="3" fontId="25" fillId="13" borderId="34" xfId="0" applyNumberFormat="1" applyFont="1" applyFill="1" applyBorder="1"/>
    <xf numFmtId="0" fontId="0" fillId="0" borderId="16" xfId="0" applyBorder="1"/>
    <xf numFmtId="0" fontId="0" fillId="0" borderId="9" xfId="0" applyBorder="1"/>
    <xf numFmtId="0" fontId="0" fillId="0" borderId="35" xfId="0" applyBorder="1"/>
    <xf numFmtId="0" fontId="0" fillId="0" borderId="31" xfId="0" applyBorder="1"/>
    <xf numFmtId="0" fontId="3" fillId="7" borderId="16" xfId="0" applyFont="1" applyFill="1" applyBorder="1" applyAlignment="1">
      <alignment wrapText="1"/>
    </xf>
    <xf numFmtId="164" fontId="0" fillId="7" borderId="7" xfId="0" applyNumberFormat="1" applyFill="1" applyBorder="1"/>
    <xf numFmtId="164" fontId="0" fillId="7" borderId="16" xfId="0" applyNumberFormat="1" applyFill="1" applyBorder="1"/>
    <xf numFmtId="164" fontId="0" fillId="7" borderId="9" xfId="0" applyNumberFormat="1" applyFill="1" applyBorder="1"/>
    <xf numFmtId="3" fontId="5" fillId="7" borderId="35" xfId="0" applyNumberFormat="1" applyFont="1" applyFill="1" applyBorder="1"/>
    <xf numFmtId="164" fontId="0" fillId="7" borderId="0" xfId="0" applyNumberFormat="1" applyFill="1" applyBorder="1"/>
    <xf numFmtId="0" fontId="4" fillId="0" borderId="16" xfId="0" applyFont="1" applyFill="1" applyBorder="1" applyAlignment="1">
      <alignment wrapText="1"/>
    </xf>
    <xf numFmtId="164" fontId="0" fillId="0" borderId="7" xfId="0" applyNumberFormat="1" applyBorder="1"/>
    <xf numFmtId="3" fontId="5" fillId="0" borderId="9" xfId="0" applyNumberFormat="1" applyFont="1" applyBorder="1" applyAlignment="1">
      <alignment horizontal="center"/>
    </xf>
    <xf numFmtId="164" fontId="0" fillId="0" borderId="16" xfId="0" applyNumberFormat="1" applyBorder="1"/>
    <xf numFmtId="43" fontId="5" fillId="0" borderId="35" xfId="1" applyFont="1" applyBorder="1"/>
    <xf numFmtId="164" fontId="0" fillId="0" borderId="0" xfId="0" applyNumberFormat="1" applyBorder="1"/>
    <xf numFmtId="164" fontId="0" fillId="0" borderId="9" xfId="0" applyNumberFormat="1" applyBorder="1"/>
    <xf numFmtId="0" fontId="4" fillId="5" borderId="16" xfId="0" applyFont="1" applyFill="1" applyBorder="1" applyAlignment="1">
      <alignment wrapText="1"/>
    </xf>
    <xf numFmtId="0" fontId="0" fillId="5" borderId="7" xfId="0" applyFill="1" applyBorder="1"/>
    <xf numFmtId="3" fontId="0" fillId="5" borderId="7" xfId="0" applyNumberFormat="1" applyFill="1" applyBorder="1"/>
    <xf numFmtId="3" fontId="5" fillId="5" borderId="7" xfId="0" applyNumberFormat="1" applyFont="1" applyFill="1" applyBorder="1" applyAlignment="1">
      <alignment horizontal="center"/>
    </xf>
    <xf numFmtId="0" fontId="0" fillId="5" borderId="11" xfId="0" applyFill="1" applyBorder="1"/>
    <xf numFmtId="0" fontId="0" fillId="5" borderId="9" xfId="0" applyFill="1" applyBorder="1"/>
    <xf numFmtId="43" fontId="5" fillId="5" borderId="35" xfId="1" applyFont="1" applyFill="1" applyBorder="1"/>
    <xf numFmtId="3" fontId="5" fillId="5" borderId="0" xfId="0" applyNumberFormat="1" applyFont="1" applyFill="1" applyBorder="1"/>
    <xf numFmtId="0" fontId="0" fillId="5" borderId="16" xfId="0" applyFill="1" applyBorder="1"/>
    <xf numFmtId="0" fontId="26" fillId="5" borderId="16" xfId="0" applyFont="1" applyFill="1" applyBorder="1" applyAlignment="1">
      <alignment horizontal="left"/>
    </xf>
    <xf numFmtId="1" fontId="26" fillId="5" borderId="7" xfId="0" applyNumberFormat="1" applyFont="1" applyFill="1" applyBorder="1" applyAlignment="1">
      <alignment horizontal="center"/>
    </xf>
    <xf numFmtId="1" fontId="26" fillId="5" borderId="11" xfId="0" applyNumberFormat="1" applyFont="1" applyFill="1" applyBorder="1" applyAlignment="1">
      <alignment horizontal="center"/>
    </xf>
    <xf numFmtId="3" fontId="5" fillId="5" borderId="9" xfId="0" applyNumberFormat="1" applyFont="1" applyFill="1" applyBorder="1" applyAlignment="1">
      <alignment horizontal="center"/>
    </xf>
    <xf numFmtId="1" fontId="26" fillId="5" borderId="9" xfId="0" applyNumberFormat="1" applyFont="1" applyFill="1" applyBorder="1" applyAlignment="1">
      <alignment horizontal="center"/>
    </xf>
    <xf numFmtId="3" fontId="5" fillId="5" borderId="35" xfId="0" applyNumberFormat="1" applyFont="1" applyFill="1" applyBorder="1"/>
    <xf numFmtId="3" fontId="5" fillId="5" borderId="9" xfId="0" applyNumberFormat="1" applyFont="1" applyFill="1" applyBorder="1"/>
    <xf numFmtId="3" fontId="5" fillId="5" borderId="17" xfId="0" applyNumberFormat="1" applyFont="1" applyFill="1" applyBorder="1"/>
    <xf numFmtId="0" fontId="3" fillId="8" borderId="16" xfId="0" applyFont="1" applyFill="1" applyBorder="1" applyAlignment="1">
      <alignment horizontal="left"/>
    </xf>
    <xf numFmtId="1" fontId="3" fillId="8" borderId="7" xfId="0" applyNumberFormat="1" applyFont="1" applyFill="1" applyBorder="1" applyAlignment="1">
      <alignment horizontal="center"/>
    </xf>
    <xf numFmtId="1" fontId="3" fillId="8" borderId="9" xfId="0" applyNumberFormat="1" applyFont="1" applyFill="1" applyBorder="1" applyAlignment="1">
      <alignment horizontal="center"/>
    </xf>
    <xf numFmtId="1" fontId="3" fillId="8" borderId="36" xfId="0" applyNumberFormat="1" applyFont="1" applyFill="1" applyBorder="1" applyAlignment="1">
      <alignment horizontal="center"/>
    </xf>
    <xf numFmtId="1" fontId="3" fillId="8" borderId="11" xfId="0" applyNumberFormat="1" applyFont="1" applyFill="1" applyBorder="1" applyAlignment="1">
      <alignment horizontal="center"/>
    </xf>
    <xf numFmtId="0" fontId="3" fillId="14" borderId="30" xfId="0" applyFont="1" applyFill="1" applyBorder="1" applyAlignment="1"/>
    <xf numFmtId="3" fontId="5" fillId="14" borderId="0" xfId="0" applyNumberFormat="1" applyFont="1" applyFill="1" applyBorder="1"/>
    <xf numFmtId="43" fontId="5" fillId="14" borderId="0" xfId="1" applyFont="1" applyFill="1" applyBorder="1"/>
    <xf numFmtId="0" fontId="25" fillId="0" borderId="30" xfId="0" applyFont="1" applyBorder="1"/>
    <xf numFmtId="164" fontId="0" fillId="0" borderId="30" xfId="0" applyNumberFormat="1" applyBorder="1"/>
    <xf numFmtId="164" fontId="0" fillId="0" borderId="7" xfId="0" applyNumberFormat="1" applyFill="1" applyBorder="1"/>
    <xf numFmtId="164" fontId="0" fillId="0" borderId="16" xfId="0" applyNumberFormat="1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0" fontId="4" fillId="0" borderId="20" xfId="0" applyFont="1" applyFill="1" applyBorder="1" applyAlignment="1">
      <alignment wrapText="1"/>
    </xf>
    <xf numFmtId="0" fontId="4" fillId="0" borderId="16" xfId="0" applyFont="1" applyBorder="1" applyAlignment="1">
      <alignment wrapText="1"/>
    </xf>
    <xf numFmtId="4" fontId="0" fillId="0" borderId="7" xfId="0" applyNumberFormat="1" applyBorder="1"/>
    <xf numFmtId="0" fontId="16" fillId="0" borderId="16" xfId="0" applyFont="1" applyBorder="1" applyAlignment="1">
      <alignment wrapText="1"/>
    </xf>
    <xf numFmtId="4" fontId="17" fillId="0" borderId="7" xfId="0" applyNumberFormat="1" applyFont="1" applyBorder="1"/>
    <xf numFmtId="0" fontId="17" fillId="0" borderId="7" xfId="0" applyFont="1" applyBorder="1"/>
    <xf numFmtId="3" fontId="18" fillId="0" borderId="9" xfId="0" applyNumberFormat="1" applyFont="1" applyBorder="1"/>
    <xf numFmtId="0" fontId="17" fillId="0" borderId="16" xfId="0" applyFont="1" applyBorder="1"/>
    <xf numFmtId="0" fontId="17" fillId="0" borderId="30" xfId="0" applyFont="1" applyBorder="1"/>
    <xf numFmtId="0" fontId="17" fillId="0" borderId="0" xfId="0" applyFont="1" applyBorder="1"/>
    <xf numFmtId="3" fontId="18" fillId="0" borderId="0" xfId="0" applyNumberFormat="1" applyFont="1" applyBorder="1"/>
    <xf numFmtId="3" fontId="18" fillId="0" borderId="17" xfId="0" applyNumberFormat="1" applyFont="1" applyBorder="1"/>
    <xf numFmtId="0" fontId="0" fillId="0" borderId="11" xfId="0" applyBorder="1"/>
    <xf numFmtId="0" fontId="0" fillId="0" borderId="0" xfId="0" applyFill="1" applyBorder="1"/>
    <xf numFmtId="1" fontId="0" fillId="0" borderId="7" xfId="0" applyNumberFormat="1" applyBorder="1"/>
    <xf numFmtId="1" fontId="0" fillId="0" borderId="0" xfId="0" applyNumberFormat="1" applyBorder="1"/>
    <xf numFmtId="164" fontId="0" fillId="0" borderId="7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0" fontId="0" fillId="0" borderId="37" xfId="0" applyBorder="1"/>
    <xf numFmtId="4" fontId="0" fillId="0" borderId="5" xfId="0" applyNumberFormat="1" applyBorder="1"/>
    <xf numFmtId="1" fontId="0" fillId="0" borderId="5" xfId="0" applyNumberFormat="1" applyBorder="1"/>
    <xf numFmtId="43" fontId="0" fillId="0" borderId="5" xfId="1" applyFont="1" applyBorder="1"/>
    <xf numFmtId="0" fontId="26" fillId="15" borderId="20" xfId="0" applyFont="1" applyFill="1" applyBorder="1" applyAlignment="1">
      <alignment wrapText="1"/>
    </xf>
    <xf numFmtId="1" fontId="27" fillId="15" borderId="5" xfId="0" applyNumberFormat="1" applyFont="1" applyFill="1" applyBorder="1"/>
    <xf numFmtId="0" fontId="3" fillId="5" borderId="16" xfId="0" applyFont="1" applyFill="1" applyBorder="1" applyAlignment="1">
      <alignment wrapText="1"/>
    </xf>
    <xf numFmtId="164" fontId="5" fillId="5" borderId="7" xfId="0" applyNumberFormat="1" applyFont="1" applyFill="1" applyBorder="1"/>
    <xf numFmtId="164" fontId="5" fillId="5" borderId="16" xfId="0" applyNumberFormat="1" applyFont="1" applyFill="1" applyBorder="1"/>
    <xf numFmtId="164" fontId="5" fillId="5" borderId="9" xfId="0" applyNumberFormat="1" applyFont="1" applyFill="1" applyBorder="1"/>
    <xf numFmtId="164" fontId="5" fillId="5" borderId="30" xfId="0" applyNumberFormat="1" applyFont="1" applyFill="1" applyBorder="1"/>
    <xf numFmtId="164" fontId="5" fillId="5" borderId="0" xfId="0" applyNumberFormat="1" applyFont="1" applyFill="1" applyBorder="1"/>
    <xf numFmtId="0" fontId="4" fillId="5" borderId="16" xfId="0" applyFont="1" applyFill="1" applyBorder="1" applyAlignment="1">
      <alignment horizontal="left"/>
    </xf>
    <xf numFmtId="164" fontId="6" fillId="5" borderId="7" xfId="0" applyNumberFormat="1" applyFont="1" applyFill="1" applyBorder="1"/>
    <xf numFmtId="0" fontId="4" fillId="5" borderId="16" xfId="0" applyFont="1" applyFill="1" applyBorder="1" applyAlignment="1">
      <alignment horizontal="left" wrapText="1"/>
    </xf>
    <xf numFmtId="0" fontId="3" fillId="5" borderId="7" xfId="0" applyFont="1" applyFill="1" applyBorder="1" applyAlignment="1"/>
    <xf numFmtId="164" fontId="4" fillId="5" borderId="7" xfId="1" applyNumberFormat="1" applyFont="1" applyFill="1" applyBorder="1" applyAlignment="1">
      <alignment horizontal="right"/>
    </xf>
    <xf numFmtId="0" fontId="3" fillId="5" borderId="7" xfId="0" applyFont="1" applyFill="1" applyBorder="1" applyAlignment="1">
      <alignment horizontal="right"/>
    </xf>
    <xf numFmtId="0" fontId="4" fillId="5" borderId="16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right"/>
    </xf>
    <xf numFmtId="3" fontId="5" fillId="0" borderId="7" xfId="0" applyNumberFormat="1" applyFont="1" applyBorder="1"/>
    <xf numFmtId="0" fontId="3" fillId="5" borderId="11" xfId="0" applyFont="1" applyFill="1" applyBorder="1" applyAlignment="1">
      <alignment horizontal="right"/>
    </xf>
    <xf numFmtId="3" fontId="6" fillId="5" borderId="16" xfId="0" applyNumberFormat="1" applyFont="1" applyFill="1" applyBorder="1"/>
    <xf numFmtId="3" fontId="0" fillId="5" borderId="11" xfId="0" applyNumberFormat="1" applyFill="1" applyBorder="1"/>
    <xf numFmtId="0" fontId="26" fillId="7" borderId="16" xfId="0" applyFont="1" applyFill="1" applyBorder="1" applyAlignment="1">
      <alignment horizontal="left"/>
    </xf>
    <xf numFmtId="164" fontId="5" fillId="7" borderId="7" xfId="0" applyNumberFormat="1" applyFont="1" applyFill="1" applyBorder="1" applyAlignment="1">
      <alignment horizontal="right"/>
    </xf>
    <xf numFmtId="0" fontId="26" fillId="16" borderId="22" xfId="0" applyFont="1" applyFill="1" applyBorder="1" applyAlignment="1">
      <alignment horizontal="left"/>
    </xf>
    <xf numFmtId="164" fontId="5" fillId="16" borderId="2" xfId="0" applyNumberFormat="1" applyFont="1" applyFill="1" applyBorder="1" applyAlignment="1">
      <alignment horizontal="right"/>
    </xf>
    <xf numFmtId="0" fontId="26" fillId="9" borderId="22" xfId="0" applyFont="1" applyFill="1" applyBorder="1" applyAlignment="1">
      <alignment horizontal="left"/>
    </xf>
    <xf numFmtId="164" fontId="5" fillId="9" borderId="2" xfId="0" applyNumberFormat="1" applyFont="1" applyFill="1" applyBorder="1" applyAlignment="1">
      <alignment horizontal="right"/>
    </xf>
    <xf numFmtId="0" fontId="3" fillId="7" borderId="22" xfId="0" applyFont="1" applyFill="1" applyBorder="1"/>
    <xf numFmtId="1" fontId="5" fillId="0" borderId="2" xfId="0" applyNumberFormat="1" applyFont="1" applyBorder="1"/>
    <xf numFmtId="0" fontId="0" fillId="0" borderId="23" xfId="0" applyBorder="1"/>
    <xf numFmtId="3" fontId="0" fillId="0" borderId="24" xfId="0" applyNumberFormat="1" applyBorder="1"/>
    <xf numFmtId="0" fontId="0" fillId="0" borderId="24" xfId="0" applyBorder="1"/>
    <xf numFmtId="1" fontId="0" fillId="0" borderId="24" xfId="0" applyNumberFormat="1" applyBorder="1"/>
    <xf numFmtId="0" fontId="9" fillId="0" borderId="23" xfId="0" applyFont="1" applyBorder="1"/>
    <xf numFmtId="3" fontId="9" fillId="0" borderId="24" xfId="0" applyNumberFormat="1" applyFont="1" applyBorder="1"/>
    <xf numFmtId="0" fontId="0" fillId="0" borderId="20" xfId="0" applyBorder="1"/>
    <xf numFmtId="43" fontId="0" fillId="0" borderId="6" xfId="1" applyFont="1" applyBorder="1"/>
    <xf numFmtId="3" fontId="0" fillId="0" borderId="31" xfId="0" applyNumberFormat="1" applyBorder="1"/>
    <xf numFmtId="3" fontId="0" fillId="0" borderId="0" xfId="0" applyNumberFormat="1"/>
    <xf numFmtId="0" fontId="4" fillId="4" borderId="4" xfId="0" applyFont="1" applyFill="1" applyBorder="1" applyAlignment="1">
      <alignment wrapText="1"/>
    </xf>
    <xf numFmtId="0" fontId="2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4" borderId="2" xfId="0" applyFill="1" applyBorder="1" applyAlignment="1"/>
    <xf numFmtId="0" fontId="0" fillId="0" borderId="5" xfId="0" applyBorder="1" applyAlignment="1"/>
    <xf numFmtId="0" fontId="7" fillId="11" borderId="9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bin/Desktop/A%20template%20business%20plan%20(Autosaved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loss layout"/>
      <sheetName val="Investment"/>
      <sheetName val="Income Statement"/>
      <sheetName val="loan Pay"/>
      <sheetName val="Dep &amp; Ins"/>
      <sheetName val="Balance sheet"/>
      <sheetName val="Cash Flow"/>
      <sheetName val="NPV"/>
      <sheetName val="Pay back period"/>
      <sheetName val="Sheet1"/>
    </sheetNames>
    <sheetDataSet>
      <sheetData sheetId="0">
        <row r="8">
          <cell r="G8">
            <v>1933.25</v>
          </cell>
          <cell r="K8">
            <v>2586.375</v>
          </cell>
          <cell r="O8">
            <v>1306.25</v>
          </cell>
          <cell r="S8">
            <v>3605.25</v>
          </cell>
          <cell r="W8">
            <v>3887.4</v>
          </cell>
        </row>
        <row r="9">
          <cell r="E9">
            <v>925</v>
          </cell>
          <cell r="I9">
            <v>1181.25</v>
          </cell>
          <cell r="M9">
            <v>3025</v>
          </cell>
          <cell r="Q9">
            <v>1725</v>
          </cell>
          <cell r="U9">
            <v>1937.5</v>
          </cell>
        </row>
        <row r="12">
          <cell r="E12">
            <v>2210</v>
          </cell>
          <cell r="J12">
            <v>3009.8250000000003</v>
          </cell>
          <cell r="N12">
            <v>4087.6875</v>
          </cell>
          <cell r="R12">
            <v>4879.875</v>
          </cell>
          <cell r="V12">
            <v>5347.265625</v>
          </cell>
        </row>
        <row r="13">
          <cell r="D13">
            <v>1225</v>
          </cell>
          <cell r="H13">
            <v>1653.75</v>
          </cell>
          <cell r="L13">
            <v>2257.5</v>
          </cell>
          <cell r="P13">
            <v>2695</v>
          </cell>
          <cell r="T13">
            <v>2953.125</v>
          </cell>
        </row>
        <row r="16">
          <cell r="J16">
            <v>1919.53125</v>
          </cell>
          <cell r="N16">
            <v>2171.8125</v>
          </cell>
          <cell r="R16">
            <v>2522.8125</v>
          </cell>
          <cell r="V16">
            <v>3071.25</v>
          </cell>
        </row>
        <row r="17">
          <cell r="D17">
            <v>550</v>
          </cell>
          <cell r="H17">
            <v>1312.5</v>
          </cell>
          <cell r="L17">
            <v>1485</v>
          </cell>
          <cell r="P17">
            <v>1725</v>
          </cell>
          <cell r="T17">
            <v>2100</v>
          </cell>
        </row>
        <row r="19">
          <cell r="D19">
            <v>1</v>
          </cell>
          <cell r="E19">
            <v>0.95</v>
          </cell>
        </row>
        <row r="20">
          <cell r="J20">
            <v>1704.0625</v>
          </cell>
          <cell r="N20">
            <v>3491.25</v>
          </cell>
          <cell r="R20">
            <v>6400.625</v>
          </cell>
          <cell r="V20">
            <v>9351.5625</v>
          </cell>
        </row>
        <row r="21">
          <cell r="D21">
            <v>120</v>
          </cell>
          <cell r="H21">
            <v>1230</v>
          </cell>
          <cell r="L21">
            <v>2520</v>
          </cell>
          <cell r="P21">
            <v>4620</v>
          </cell>
          <cell r="T21">
            <v>6750</v>
          </cell>
        </row>
        <row r="25">
          <cell r="G25">
            <v>23750</v>
          </cell>
          <cell r="I25">
            <v>0</v>
          </cell>
          <cell r="K25">
            <v>29212.5</v>
          </cell>
          <cell r="M25">
            <v>0</v>
          </cell>
          <cell r="O25">
            <v>37406.25</v>
          </cell>
          <cell r="S25">
            <v>43403.125</v>
          </cell>
          <cell r="U25">
            <v>0</v>
          </cell>
          <cell r="W25">
            <v>52250</v>
          </cell>
        </row>
        <row r="26">
          <cell r="E26">
            <v>12500</v>
          </cell>
          <cell r="I26">
            <v>15375</v>
          </cell>
          <cell r="M26">
            <v>19687.5</v>
          </cell>
          <cell r="Q26">
            <v>22843.75</v>
          </cell>
          <cell r="U26">
            <v>27500</v>
          </cell>
        </row>
        <row r="29">
          <cell r="E29">
            <v>9405</v>
          </cell>
          <cell r="J29">
            <v>30135</v>
          </cell>
          <cell r="N29">
            <v>46305</v>
          </cell>
          <cell r="R29">
            <v>63210</v>
          </cell>
          <cell r="V29">
            <v>84150</v>
          </cell>
        </row>
        <row r="30">
          <cell r="D30">
            <v>4950</v>
          </cell>
          <cell r="F30">
            <v>0</v>
          </cell>
          <cell r="H30">
            <v>15375</v>
          </cell>
          <cell r="L30">
            <v>23625</v>
          </cell>
          <cell r="P30">
            <v>52500</v>
          </cell>
          <cell r="T30">
            <v>41250</v>
          </cell>
          <cell r="W30">
            <v>0</v>
          </cell>
        </row>
        <row r="33">
          <cell r="G33">
            <v>4027.4812500000003</v>
          </cell>
          <cell r="K33">
            <v>6654.375</v>
          </cell>
          <cell r="O33">
            <v>11922.421875</v>
          </cell>
          <cell r="S33">
            <v>17428.125</v>
          </cell>
          <cell r="W33">
            <v>24953.90625</v>
          </cell>
        </row>
        <row r="34">
          <cell r="F34">
            <v>3177.5</v>
          </cell>
          <cell r="J34">
            <v>5250</v>
          </cell>
          <cell r="N34">
            <v>9406.25</v>
          </cell>
          <cell r="R34">
            <v>13750</v>
          </cell>
          <cell r="V34">
            <v>19687.5</v>
          </cell>
        </row>
        <row r="37">
          <cell r="J37">
            <v>2244.375</v>
          </cell>
          <cell r="N37">
            <v>3651.5625</v>
          </cell>
          <cell r="R37">
            <v>5985</v>
          </cell>
          <cell r="V37">
            <v>9405</v>
          </cell>
        </row>
        <row r="38">
          <cell r="H38">
            <v>1650</v>
          </cell>
          <cell r="L38">
            <v>2818.75</v>
          </cell>
          <cell r="O38">
            <v>0</v>
          </cell>
          <cell r="P38">
            <v>4620</v>
          </cell>
          <cell r="T38">
            <v>7095</v>
          </cell>
          <cell r="W38">
            <v>0</v>
          </cell>
        </row>
        <row r="103">
          <cell r="F103">
            <v>18258.75</v>
          </cell>
          <cell r="G103">
            <v>28402.5</v>
          </cell>
          <cell r="H103">
            <v>59815</v>
          </cell>
          <cell r="I103">
            <v>50953.125</v>
          </cell>
          <cell r="J103">
            <v>0</v>
          </cell>
        </row>
      </sheetData>
      <sheetData sheetId="1"/>
      <sheetData sheetId="2">
        <row r="28">
          <cell r="K28">
            <v>43027.5</v>
          </cell>
          <cell r="P28">
            <v>64825</v>
          </cell>
          <cell r="U28">
            <v>104478.75</v>
          </cell>
        </row>
        <row r="39">
          <cell r="F39">
            <v>2755</v>
          </cell>
          <cell r="K39">
            <v>3074</v>
          </cell>
          <cell r="P39">
            <v>3326.1000000000004</v>
          </cell>
          <cell r="U39">
            <v>3638.0450000000005</v>
          </cell>
        </row>
        <row r="63">
          <cell r="F63">
            <v>1069.9725000000001</v>
          </cell>
          <cell r="K63">
            <v>4606.3378000000002</v>
          </cell>
          <cell r="P63">
            <v>4443.8693583125005</v>
          </cell>
          <cell r="U63">
            <v>4433.6889215906249</v>
          </cell>
        </row>
        <row r="72">
          <cell r="F72">
            <v>3156.645</v>
          </cell>
          <cell r="K72">
            <v>5445.0550000000003</v>
          </cell>
          <cell r="P72">
            <v>7857.4624999999996</v>
          </cell>
          <cell r="U72">
            <v>12200.973125</v>
          </cell>
        </row>
      </sheetData>
      <sheetData sheetId="3"/>
      <sheetData sheetId="4">
        <row r="9">
          <cell r="H9">
            <v>3.4724999999999997</v>
          </cell>
        </row>
        <row r="15">
          <cell r="H15">
            <v>1398.9066250000001</v>
          </cell>
        </row>
        <row r="18">
          <cell r="H18">
            <v>104.181175</v>
          </cell>
        </row>
        <row r="19">
          <cell r="H19">
            <v>1161.0736312500001</v>
          </cell>
        </row>
        <row r="21">
          <cell r="H21">
            <v>72.248227062500007</v>
          </cell>
        </row>
        <row r="22">
          <cell r="H22">
            <v>969.65013656249994</v>
          </cell>
        </row>
        <row r="24">
          <cell r="H24">
            <v>60.573910028124992</v>
          </cell>
        </row>
        <row r="25">
          <cell r="H25">
            <v>814.97115482812501</v>
          </cell>
        </row>
        <row r="27">
          <cell r="H27">
            <v>51.033525478906256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97"/>
  <sheetViews>
    <sheetView tabSelected="1" topLeftCell="R65" workbookViewId="0">
      <selection activeCell="B43" sqref="B43"/>
    </sheetView>
  </sheetViews>
  <sheetFormatPr defaultRowHeight="15" x14ac:dyDescent="0.25"/>
  <cols>
    <col min="1" max="1" width="33.85546875" customWidth="1"/>
    <col min="2" max="2" width="12.85546875" bestFit="1" customWidth="1"/>
    <col min="3" max="3" width="12.42578125" bestFit="1" customWidth="1"/>
    <col min="4" max="4" width="11.85546875" customWidth="1"/>
    <col min="5" max="5" width="13.5703125" customWidth="1"/>
    <col min="6" max="6" width="13.42578125" customWidth="1"/>
    <col min="7" max="7" width="13.7109375" customWidth="1"/>
    <col min="8" max="8" width="13.85546875" customWidth="1"/>
    <col min="9" max="9" width="14.140625" customWidth="1"/>
    <col min="10" max="10" width="11.85546875" bestFit="1" customWidth="1"/>
    <col min="11" max="11" width="12.7109375" customWidth="1"/>
    <col min="12" max="12" width="15.5703125" customWidth="1"/>
    <col min="13" max="13" width="12.28515625" bestFit="1" customWidth="1"/>
    <col min="14" max="14" width="14.5703125" customWidth="1"/>
    <col min="15" max="15" width="13.140625" customWidth="1"/>
    <col min="16" max="16" width="15.7109375" customWidth="1"/>
    <col min="17" max="17" width="14.7109375" customWidth="1"/>
    <col min="18" max="18" width="12.28515625" bestFit="1" customWidth="1"/>
    <col min="19" max="19" width="14.140625" bestFit="1" customWidth="1"/>
    <col min="20" max="20" width="12.28515625" bestFit="1" customWidth="1"/>
    <col min="21" max="21" width="13" bestFit="1" customWidth="1"/>
    <col min="22" max="22" width="13.140625" customWidth="1"/>
    <col min="23" max="23" width="12.28515625" bestFit="1" customWidth="1"/>
    <col min="24" max="24" width="16.42578125" customWidth="1"/>
    <col min="25" max="25" width="13" customWidth="1"/>
    <col min="26" max="26" width="15.85546875" customWidth="1"/>
  </cols>
  <sheetData>
    <row r="2" spans="1:66" ht="15.75" x14ac:dyDescent="0.25">
      <c r="A2" s="1"/>
      <c r="B2" s="2"/>
      <c r="C2" s="1"/>
      <c r="D2" s="378" t="s">
        <v>0</v>
      </c>
      <c r="E2" s="378"/>
      <c r="F2" s="378"/>
      <c r="G2" s="378"/>
      <c r="H2" s="386" t="s">
        <v>1</v>
      </c>
      <c r="I2" s="386"/>
      <c r="J2" s="386"/>
      <c r="K2" s="386"/>
      <c r="L2" s="378" t="s">
        <v>2</v>
      </c>
      <c r="M2" s="378"/>
      <c r="N2" s="378"/>
      <c r="O2" s="378"/>
      <c r="P2" s="379" t="s">
        <v>3</v>
      </c>
      <c r="Q2" s="379"/>
      <c r="R2" s="379"/>
      <c r="S2" s="379"/>
      <c r="T2" s="378" t="s">
        <v>4</v>
      </c>
      <c r="U2" s="378"/>
      <c r="V2" s="378"/>
      <c r="W2" s="378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x14ac:dyDescent="0.25">
      <c r="A3" s="4"/>
      <c r="B3" s="5" t="s">
        <v>5</v>
      </c>
      <c r="C3" s="6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8" t="s">
        <v>26</v>
      </c>
      <c r="X3" s="7" t="s">
        <v>27</v>
      </c>
      <c r="Y3" s="6" t="s">
        <v>28</v>
      </c>
      <c r="Z3" s="6" t="s">
        <v>29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x14ac:dyDescent="0.25">
      <c r="A4" s="10"/>
      <c r="B4" s="11" t="s">
        <v>30</v>
      </c>
      <c r="C4" s="12" t="s">
        <v>30</v>
      </c>
      <c r="D4" s="13" t="s">
        <v>31</v>
      </c>
      <c r="E4" s="13" t="s">
        <v>32</v>
      </c>
      <c r="F4" s="13" t="s">
        <v>33</v>
      </c>
      <c r="G4" s="13" t="s">
        <v>34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31</v>
      </c>
      <c r="M4" s="13" t="s">
        <v>32</v>
      </c>
      <c r="N4" s="13" t="s">
        <v>33</v>
      </c>
      <c r="O4" s="13" t="s">
        <v>34</v>
      </c>
      <c r="P4" s="13" t="s">
        <v>31</v>
      </c>
      <c r="Q4" s="13" t="s">
        <v>32</v>
      </c>
      <c r="R4" s="13" t="s">
        <v>33</v>
      </c>
      <c r="S4" s="13" t="s">
        <v>34</v>
      </c>
      <c r="T4" s="13" t="s">
        <v>31</v>
      </c>
      <c r="U4" s="13" t="s">
        <v>32</v>
      </c>
      <c r="V4" s="13" t="s">
        <v>33</v>
      </c>
      <c r="W4" s="14" t="s">
        <v>34</v>
      </c>
      <c r="X4" s="15"/>
      <c r="Y4" s="16"/>
      <c r="Z4" s="16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</row>
    <row r="5" spans="1:66" x14ac:dyDescent="0.25">
      <c r="A5" s="10"/>
      <c r="B5" s="11" t="s">
        <v>35</v>
      </c>
      <c r="C5" s="12" t="s">
        <v>36</v>
      </c>
      <c r="D5" s="18" t="s">
        <v>36</v>
      </c>
      <c r="E5" s="18" t="s">
        <v>36</v>
      </c>
      <c r="F5" s="18" t="s">
        <v>36</v>
      </c>
      <c r="G5" s="18" t="s">
        <v>36</v>
      </c>
      <c r="H5" s="18" t="s">
        <v>36</v>
      </c>
      <c r="I5" s="18" t="s">
        <v>36</v>
      </c>
      <c r="J5" s="18" t="s">
        <v>36</v>
      </c>
      <c r="K5" s="18" t="s">
        <v>36</v>
      </c>
      <c r="L5" s="18" t="s">
        <v>36</v>
      </c>
      <c r="M5" s="18" t="s">
        <v>36</v>
      </c>
      <c r="N5" s="18" t="s">
        <v>36</v>
      </c>
      <c r="O5" s="18" t="s">
        <v>36</v>
      </c>
      <c r="P5" s="18" t="s">
        <v>36</v>
      </c>
      <c r="Q5" s="18" t="s">
        <v>36</v>
      </c>
      <c r="R5" s="18" t="s">
        <v>36</v>
      </c>
      <c r="S5" s="18" t="s">
        <v>36</v>
      </c>
      <c r="T5" s="18" t="s">
        <v>36</v>
      </c>
      <c r="U5" s="18" t="s">
        <v>36</v>
      </c>
      <c r="V5" s="18" t="s">
        <v>36</v>
      </c>
      <c r="W5" s="19" t="s">
        <v>36</v>
      </c>
      <c r="X5" s="18" t="s">
        <v>37</v>
      </c>
      <c r="Y5" s="18" t="s">
        <v>38</v>
      </c>
      <c r="Z5" s="18" t="s">
        <v>38</v>
      </c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</row>
    <row r="6" spans="1:66" ht="18" x14ac:dyDescent="0.25">
      <c r="A6" s="21" t="s">
        <v>39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3"/>
      <c r="Y6" s="24"/>
      <c r="Z6" s="24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spans="1:66" ht="15.75" x14ac:dyDescent="0.25">
      <c r="A7" s="26" t="s">
        <v>40</v>
      </c>
      <c r="B7" s="27">
        <v>55</v>
      </c>
      <c r="C7" s="27">
        <v>25</v>
      </c>
      <c r="D7" s="27"/>
      <c r="E7" s="27">
        <v>37</v>
      </c>
      <c r="F7" s="27"/>
      <c r="G7" s="27">
        <f>E7-E7*0.05</f>
        <v>35.15</v>
      </c>
      <c r="H7" s="27"/>
      <c r="I7" s="27">
        <v>45</v>
      </c>
      <c r="J7" s="27"/>
      <c r="K7" s="27">
        <f>I7-I7*0.05</f>
        <v>42.75</v>
      </c>
      <c r="L7" s="27"/>
      <c r="M7" s="27">
        <v>50</v>
      </c>
      <c r="N7" s="27"/>
      <c r="O7" s="27">
        <f>M7-M7*0.05</f>
        <v>47.5</v>
      </c>
      <c r="P7" s="27"/>
      <c r="Q7" s="27">
        <v>60</v>
      </c>
      <c r="R7" s="27"/>
      <c r="S7" s="27">
        <f>Q7-Q7*0.05</f>
        <v>57</v>
      </c>
      <c r="T7" s="27"/>
      <c r="U7" s="27">
        <v>62</v>
      </c>
      <c r="V7" s="27"/>
      <c r="W7" s="27">
        <f>U7-U7*0.05</f>
        <v>58.9</v>
      </c>
      <c r="X7" s="27"/>
      <c r="Y7" s="27">
        <f>W7+S7+O7+K7+G7</f>
        <v>241.3</v>
      </c>
      <c r="Z7" s="27">
        <f>W7</f>
        <v>58.9</v>
      </c>
    </row>
    <row r="8" spans="1:66" x14ac:dyDescent="0.25">
      <c r="A8" s="28" t="s">
        <v>41</v>
      </c>
      <c r="B8" s="27"/>
      <c r="C8" s="27"/>
      <c r="D8" s="27"/>
      <c r="E8" s="27"/>
      <c r="F8" s="27"/>
      <c r="G8" s="27">
        <f>G7*B7</f>
        <v>1933.25</v>
      </c>
      <c r="H8" s="27"/>
      <c r="I8" s="27"/>
      <c r="J8" s="27"/>
      <c r="K8" s="27">
        <f>K7*(B7+B7*0.1)</f>
        <v>2586.375</v>
      </c>
      <c r="L8" s="27"/>
      <c r="M8" s="27"/>
      <c r="N8" s="27"/>
      <c r="O8" s="27">
        <f>O7*(C7+C7*0.1)</f>
        <v>1306.25</v>
      </c>
      <c r="P8" s="27"/>
      <c r="Q8" s="27"/>
      <c r="R8" s="27"/>
      <c r="S8" s="27">
        <f>S7*(B7+B7*0.15)</f>
        <v>3605.25</v>
      </c>
      <c r="T8" s="27"/>
      <c r="U8" s="27"/>
      <c r="V8" s="27"/>
      <c r="W8" s="27">
        <f>W7*(B7+B7*0.2)</f>
        <v>3887.4</v>
      </c>
      <c r="X8" s="27">
        <f>SUM(D8:W8)</f>
        <v>13318.525</v>
      </c>
      <c r="Y8" s="27"/>
      <c r="Z8" s="27"/>
    </row>
    <row r="9" spans="1:66" x14ac:dyDescent="0.25">
      <c r="A9" s="28" t="s">
        <v>42</v>
      </c>
      <c r="B9" s="27"/>
      <c r="C9" s="27"/>
      <c r="D9" s="27"/>
      <c r="E9" s="27">
        <f>E7*C7</f>
        <v>925</v>
      </c>
      <c r="F9" s="27"/>
      <c r="G9" s="27"/>
      <c r="H9" s="27"/>
      <c r="I9" s="27">
        <f>I7*(C7+C7*0.05)</f>
        <v>1181.25</v>
      </c>
      <c r="J9" s="27"/>
      <c r="K9" s="27"/>
      <c r="L9" s="27"/>
      <c r="M9" s="27">
        <f>M7*(B7+B7*0.1)</f>
        <v>3025</v>
      </c>
      <c r="N9" s="27"/>
      <c r="O9" s="27"/>
      <c r="P9" s="27"/>
      <c r="Q9" s="27">
        <f>Q7*(C7+C7*0.15)</f>
        <v>1725</v>
      </c>
      <c r="R9" s="27"/>
      <c r="S9" s="27"/>
      <c r="T9" s="27"/>
      <c r="U9" s="27">
        <f>U7*(C7+C7*0.25)</f>
        <v>1937.5</v>
      </c>
      <c r="V9" s="27"/>
      <c r="W9" s="27"/>
      <c r="X9" s="27">
        <f>SUM(D9:W9)</f>
        <v>8793.75</v>
      </c>
      <c r="Y9" s="27"/>
      <c r="Z9" s="27"/>
    </row>
    <row r="10" spans="1:66" x14ac:dyDescent="0.25">
      <c r="A10" s="29" t="s">
        <v>43</v>
      </c>
      <c r="B10" s="29"/>
      <c r="C10" s="29"/>
      <c r="D10" s="29"/>
      <c r="E10" s="29">
        <f t="shared" ref="E10:X10" si="0">E8-E9</f>
        <v>-925</v>
      </c>
      <c r="F10" s="29">
        <f t="shared" si="0"/>
        <v>0</v>
      </c>
      <c r="G10" s="29">
        <f t="shared" si="0"/>
        <v>1933.25</v>
      </c>
      <c r="H10" s="29">
        <f t="shared" si="0"/>
        <v>0</v>
      </c>
      <c r="I10" s="29">
        <f t="shared" si="0"/>
        <v>-1181.25</v>
      </c>
      <c r="J10" s="29">
        <f t="shared" si="0"/>
        <v>0</v>
      </c>
      <c r="K10" s="29">
        <f t="shared" si="0"/>
        <v>2586.375</v>
      </c>
      <c r="L10" s="29">
        <f t="shared" si="0"/>
        <v>0</v>
      </c>
      <c r="M10" s="29">
        <f t="shared" si="0"/>
        <v>-3025</v>
      </c>
      <c r="N10" s="29">
        <f t="shared" si="0"/>
        <v>0</v>
      </c>
      <c r="O10" s="29">
        <f t="shared" si="0"/>
        <v>1306.25</v>
      </c>
      <c r="P10" s="29">
        <f t="shared" si="0"/>
        <v>0</v>
      </c>
      <c r="Q10" s="29">
        <f t="shared" si="0"/>
        <v>-1725</v>
      </c>
      <c r="R10" s="29">
        <f t="shared" si="0"/>
        <v>0</v>
      </c>
      <c r="S10" s="29">
        <f t="shared" si="0"/>
        <v>3605.25</v>
      </c>
      <c r="T10" s="29">
        <f t="shared" si="0"/>
        <v>0</v>
      </c>
      <c r="U10" s="29">
        <f t="shared" si="0"/>
        <v>-1937.5</v>
      </c>
      <c r="V10" s="29">
        <f t="shared" si="0"/>
        <v>0</v>
      </c>
      <c r="W10" s="29">
        <f t="shared" si="0"/>
        <v>3887.4</v>
      </c>
      <c r="X10" s="29">
        <f t="shared" si="0"/>
        <v>4524.7749999999996</v>
      </c>
      <c r="Y10" s="30"/>
      <c r="Z10" s="30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</row>
    <row r="11" spans="1:66" ht="15.75" x14ac:dyDescent="0.25">
      <c r="A11" s="26" t="s">
        <v>44</v>
      </c>
      <c r="B11" s="32">
        <v>65</v>
      </c>
      <c r="C11" s="32">
        <v>35</v>
      </c>
      <c r="D11" s="27">
        <v>35</v>
      </c>
      <c r="E11" s="27">
        <v>34</v>
      </c>
      <c r="F11" s="27"/>
      <c r="G11" s="33"/>
      <c r="H11" s="27">
        <v>45</v>
      </c>
      <c r="I11" s="27"/>
      <c r="J11" s="27">
        <f>H11-H11*0.02</f>
        <v>44.1</v>
      </c>
      <c r="L11" s="27">
        <v>60</v>
      </c>
      <c r="M11" s="27"/>
      <c r="N11" s="27">
        <f>L11-L11*0.025</f>
        <v>58.5</v>
      </c>
      <c r="O11" s="27"/>
      <c r="P11" s="27">
        <v>70</v>
      </c>
      <c r="Q11" s="27"/>
      <c r="R11" s="27">
        <f>P11-P11*0.025</f>
        <v>68.25</v>
      </c>
      <c r="S11" s="27"/>
      <c r="T11" s="27">
        <v>75</v>
      </c>
      <c r="U11" s="27"/>
      <c r="V11" s="27">
        <f>T11-T11*0.025</f>
        <v>73.125</v>
      </c>
      <c r="W11" s="27"/>
      <c r="X11" s="27"/>
      <c r="Y11" s="27">
        <f>V11+R11+N11+J11+E11</f>
        <v>277.97500000000002</v>
      </c>
      <c r="Z11" s="27">
        <f>V11</f>
        <v>73.125</v>
      </c>
    </row>
    <row r="12" spans="1:66" x14ac:dyDescent="0.25">
      <c r="A12" s="28" t="s">
        <v>41</v>
      </c>
      <c r="B12" s="27"/>
      <c r="C12" s="27"/>
      <c r="D12" s="27"/>
      <c r="E12" s="27">
        <f>E11*B11</f>
        <v>2210</v>
      </c>
      <c r="F12" s="27"/>
      <c r="G12" s="33"/>
      <c r="H12" s="27"/>
      <c r="I12" s="27"/>
      <c r="J12" s="27">
        <f>J11*(B11+B11*0.05)</f>
        <v>3009.8250000000003</v>
      </c>
      <c r="L12" s="27"/>
      <c r="M12" s="27"/>
      <c r="N12" s="27">
        <f>N11*(B11+B11*0.075)</f>
        <v>4087.6875</v>
      </c>
      <c r="O12" s="27"/>
      <c r="P12" s="27"/>
      <c r="Q12" s="27"/>
      <c r="R12" s="27">
        <f>R11*(B11+B11*0.1)</f>
        <v>4879.875</v>
      </c>
      <c r="S12" s="27"/>
      <c r="T12" s="27"/>
      <c r="U12" s="27"/>
      <c r="V12" s="27">
        <f>V11*(B11+B11*0.125)</f>
        <v>5347.265625</v>
      </c>
      <c r="W12" s="27"/>
      <c r="X12" s="27">
        <f>SUM(D12:W12)</f>
        <v>19534.653125000001</v>
      </c>
      <c r="Y12" s="27"/>
      <c r="Z12" s="27"/>
    </row>
    <row r="13" spans="1:66" x14ac:dyDescent="0.25">
      <c r="A13" s="28" t="s">
        <v>45</v>
      </c>
      <c r="B13" s="27"/>
      <c r="C13" s="27"/>
      <c r="D13" s="27">
        <f>D11*C11</f>
        <v>1225</v>
      </c>
      <c r="E13" s="27"/>
      <c r="F13" s="27"/>
      <c r="G13" s="33"/>
      <c r="H13" s="27">
        <f>H11*(C11+C11*0.05)</f>
        <v>1653.75</v>
      </c>
      <c r="I13" s="27"/>
      <c r="J13" s="27"/>
      <c r="L13" s="27">
        <f>L11*(C11+C11*0.075)</f>
        <v>2257.5</v>
      </c>
      <c r="M13" s="27"/>
      <c r="N13" s="27"/>
      <c r="O13" s="27"/>
      <c r="P13" s="27">
        <f>P11*(C11+C11*0.1)</f>
        <v>2695</v>
      </c>
      <c r="Q13" s="27"/>
      <c r="R13" s="27"/>
      <c r="S13" s="27"/>
      <c r="T13" s="27">
        <f>T11*(C11+C11*0.125)</f>
        <v>2953.125</v>
      </c>
      <c r="U13" s="27"/>
      <c r="V13" s="27"/>
      <c r="W13" s="27"/>
      <c r="X13" s="27">
        <f>SUM(B13:W13)</f>
        <v>10784.375</v>
      </c>
      <c r="Y13" s="27"/>
      <c r="Z13" s="27">
        <f>W13</f>
        <v>0</v>
      </c>
    </row>
    <row r="14" spans="1:66" x14ac:dyDescent="0.25">
      <c r="A14" s="29" t="s">
        <v>43</v>
      </c>
      <c r="B14" s="29"/>
      <c r="C14" s="29"/>
      <c r="D14" s="29">
        <f t="shared" ref="D14:X14" si="1">D12-D13</f>
        <v>-1225</v>
      </c>
      <c r="E14" s="29">
        <f t="shared" si="1"/>
        <v>2210</v>
      </c>
      <c r="F14" s="29">
        <f t="shared" si="1"/>
        <v>0</v>
      </c>
      <c r="G14" s="29">
        <f t="shared" si="1"/>
        <v>0</v>
      </c>
      <c r="H14" s="29">
        <f t="shared" si="1"/>
        <v>-1653.75</v>
      </c>
      <c r="I14" s="29">
        <f t="shared" si="1"/>
        <v>0</v>
      </c>
      <c r="J14" s="29">
        <f t="shared" si="1"/>
        <v>3009.8250000000003</v>
      </c>
      <c r="K14" s="29">
        <f t="shared" si="1"/>
        <v>0</v>
      </c>
      <c r="L14" s="29">
        <f t="shared" si="1"/>
        <v>-2257.5</v>
      </c>
      <c r="M14" s="29">
        <f t="shared" si="1"/>
        <v>0</v>
      </c>
      <c r="N14" s="29">
        <f t="shared" si="1"/>
        <v>4087.6875</v>
      </c>
      <c r="O14" s="29">
        <f t="shared" si="1"/>
        <v>0</v>
      </c>
      <c r="P14" s="29">
        <f t="shared" si="1"/>
        <v>-2695</v>
      </c>
      <c r="Q14" s="29">
        <f t="shared" si="1"/>
        <v>0</v>
      </c>
      <c r="R14" s="29">
        <f t="shared" si="1"/>
        <v>4879.875</v>
      </c>
      <c r="S14" s="29">
        <f t="shared" si="1"/>
        <v>0</v>
      </c>
      <c r="T14" s="29">
        <f t="shared" si="1"/>
        <v>-2953.125</v>
      </c>
      <c r="U14" s="29">
        <f t="shared" si="1"/>
        <v>0</v>
      </c>
      <c r="V14" s="29">
        <f t="shared" si="1"/>
        <v>5347.265625</v>
      </c>
      <c r="W14" s="29">
        <f t="shared" si="1"/>
        <v>0</v>
      </c>
      <c r="X14" s="29">
        <f t="shared" si="1"/>
        <v>8750.2781250000007</v>
      </c>
      <c r="Y14" s="30"/>
      <c r="Z14" s="30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</row>
    <row r="15" spans="1:66" ht="15.75" x14ac:dyDescent="0.25">
      <c r="A15" s="26" t="s">
        <v>46</v>
      </c>
      <c r="B15" s="27">
        <v>75</v>
      </c>
      <c r="C15" s="27">
        <v>50</v>
      </c>
      <c r="D15" s="27">
        <v>11</v>
      </c>
      <c r="E15" s="27"/>
      <c r="F15" s="27">
        <f>D15-D15*0.05</f>
        <v>10.45</v>
      </c>
      <c r="G15" s="33"/>
      <c r="H15" s="27">
        <v>25</v>
      </c>
      <c r="I15" s="27"/>
      <c r="J15" s="27">
        <f>H15-H15*0.025</f>
        <v>24.375</v>
      </c>
      <c r="K15" s="27"/>
      <c r="L15" s="27">
        <v>27</v>
      </c>
      <c r="M15" s="27"/>
      <c r="N15" s="27">
        <f>L15-L15*0.025</f>
        <v>26.324999999999999</v>
      </c>
      <c r="O15" s="27"/>
      <c r="P15" s="27">
        <v>30</v>
      </c>
      <c r="Q15" s="27"/>
      <c r="R15" s="27">
        <f>P15-P15*0.025</f>
        <v>29.25</v>
      </c>
      <c r="S15" s="27"/>
      <c r="T15" s="27">
        <v>35</v>
      </c>
      <c r="U15" s="27"/>
      <c r="V15" s="27">
        <f>T15-T15*0.025</f>
        <v>34.125</v>
      </c>
      <c r="W15" s="27"/>
      <c r="X15" s="27"/>
      <c r="Y15" s="27">
        <f>T15+P15+L15+H15+D15</f>
        <v>128</v>
      </c>
      <c r="Z15" s="27">
        <f>V15</f>
        <v>34.125</v>
      </c>
    </row>
    <row r="16" spans="1:66" x14ac:dyDescent="0.25">
      <c r="A16" s="28" t="s">
        <v>41</v>
      </c>
      <c r="B16" s="27"/>
      <c r="C16" s="27"/>
      <c r="E16" s="27"/>
      <c r="F16" s="27">
        <f>F15*B15</f>
        <v>783.75</v>
      </c>
      <c r="G16" s="27"/>
      <c r="H16" s="27"/>
      <c r="I16" s="27"/>
      <c r="J16" s="27">
        <f>J15*(B15+5%*B15)</f>
        <v>1919.53125</v>
      </c>
      <c r="K16" s="27"/>
      <c r="L16" s="27"/>
      <c r="M16" s="27"/>
      <c r="N16" s="27">
        <f>N15*(B15+10%*B15)</f>
        <v>2171.8125</v>
      </c>
      <c r="O16" s="27"/>
      <c r="P16" s="27"/>
      <c r="Q16" s="27"/>
      <c r="R16" s="27">
        <f>R15*(B15+15%*B15)</f>
        <v>2522.8125</v>
      </c>
      <c r="S16" s="27"/>
      <c r="T16" s="27"/>
      <c r="U16" s="27"/>
      <c r="V16" s="27">
        <f>V15*(B15+20%*B15)</f>
        <v>3071.25</v>
      </c>
      <c r="W16" s="27"/>
      <c r="X16" s="27">
        <f>SUM(B16:W16)</f>
        <v>10469.15625</v>
      </c>
      <c r="Y16" s="27"/>
      <c r="Z16" s="27"/>
    </row>
    <row r="17" spans="1:66" x14ac:dyDescent="0.25">
      <c r="A17" s="28" t="s">
        <v>42</v>
      </c>
      <c r="B17" s="27"/>
      <c r="C17" s="27"/>
      <c r="D17" s="27">
        <f>D15*C15</f>
        <v>550</v>
      </c>
      <c r="E17" s="27"/>
      <c r="G17" s="27"/>
      <c r="H17" s="27">
        <f>H15*(C15+5%*C15)</f>
        <v>1312.5</v>
      </c>
      <c r="I17" s="27"/>
      <c r="J17" s="27"/>
      <c r="K17" s="27"/>
      <c r="L17" s="27">
        <f>L15*(C15+10%*C15)</f>
        <v>1485</v>
      </c>
      <c r="M17" s="27"/>
      <c r="N17" s="27"/>
      <c r="O17" s="27"/>
      <c r="P17" s="27">
        <f>P15*(C15+15%*C15)</f>
        <v>1725</v>
      </c>
      <c r="Q17" s="27"/>
      <c r="R17" s="27"/>
      <c r="S17" s="27"/>
      <c r="T17" s="27">
        <f>T15*(C15+20%*C15)</f>
        <v>2100</v>
      </c>
      <c r="U17" s="27"/>
      <c r="V17" s="27"/>
      <c r="W17" s="27"/>
      <c r="X17" s="27">
        <f>SUM(B17:W17)</f>
        <v>7172.5</v>
      </c>
      <c r="Y17" s="27"/>
      <c r="Z17" s="27">
        <f>V17</f>
        <v>0</v>
      </c>
    </row>
    <row r="18" spans="1:66" x14ac:dyDescent="0.25">
      <c r="A18" s="29" t="s">
        <v>43</v>
      </c>
      <c r="B18" s="29">
        <v>160</v>
      </c>
      <c r="C18" s="29">
        <v>130</v>
      </c>
      <c r="D18" s="29">
        <f t="shared" ref="D18:X18" si="2">D16-D17</f>
        <v>-550</v>
      </c>
      <c r="E18" s="29">
        <f t="shared" si="2"/>
        <v>0</v>
      </c>
      <c r="F18" s="29">
        <f t="shared" si="2"/>
        <v>783.75</v>
      </c>
      <c r="G18" s="29">
        <f t="shared" si="2"/>
        <v>0</v>
      </c>
      <c r="H18" s="29">
        <f t="shared" si="2"/>
        <v>-1312.5</v>
      </c>
      <c r="I18" s="29">
        <f t="shared" si="2"/>
        <v>0</v>
      </c>
      <c r="J18" s="29">
        <f t="shared" si="2"/>
        <v>1919.53125</v>
      </c>
      <c r="K18" s="29">
        <f t="shared" si="2"/>
        <v>0</v>
      </c>
      <c r="L18" s="29">
        <f t="shared" si="2"/>
        <v>-1485</v>
      </c>
      <c r="M18" s="29">
        <f t="shared" si="2"/>
        <v>0</v>
      </c>
      <c r="N18" s="29">
        <f t="shared" si="2"/>
        <v>2171.8125</v>
      </c>
      <c r="O18" s="29">
        <f t="shared" si="2"/>
        <v>0</v>
      </c>
      <c r="P18" s="29">
        <f t="shared" si="2"/>
        <v>-1725</v>
      </c>
      <c r="Q18" s="29">
        <f t="shared" si="2"/>
        <v>0</v>
      </c>
      <c r="R18" s="29">
        <f t="shared" si="2"/>
        <v>2522.8125</v>
      </c>
      <c r="S18" s="29">
        <f t="shared" si="2"/>
        <v>0</v>
      </c>
      <c r="T18" s="29">
        <f t="shared" si="2"/>
        <v>-2100</v>
      </c>
      <c r="U18" s="29">
        <f t="shared" si="2"/>
        <v>0</v>
      </c>
      <c r="V18" s="29">
        <f t="shared" si="2"/>
        <v>3071.25</v>
      </c>
      <c r="W18" s="29">
        <f t="shared" si="2"/>
        <v>0</v>
      </c>
      <c r="X18" s="29">
        <f t="shared" si="2"/>
        <v>3296.65625</v>
      </c>
      <c r="Y18" s="30"/>
      <c r="Z18" s="30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</row>
    <row r="19" spans="1:66" ht="15.75" x14ac:dyDescent="0.25">
      <c r="A19" s="26" t="s">
        <v>47</v>
      </c>
      <c r="B19" s="27">
        <v>175</v>
      </c>
      <c r="C19" s="27">
        <v>120</v>
      </c>
      <c r="D19" s="27">
        <v>1</v>
      </c>
      <c r="E19" s="27">
        <f>D19-D19*0.05</f>
        <v>0.95</v>
      </c>
      <c r="F19" s="27"/>
      <c r="G19" s="33"/>
      <c r="H19" s="27">
        <v>10</v>
      </c>
      <c r="I19" s="27"/>
      <c r="J19" s="27">
        <f>H19-H19*0.05</f>
        <v>9.5</v>
      </c>
      <c r="K19" s="27"/>
      <c r="L19" s="27">
        <v>20</v>
      </c>
      <c r="M19" s="27"/>
      <c r="N19" s="27">
        <f>L19-L19*0.05</f>
        <v>19</v>
      </c>
      <c r="O19" s="27"/>
      <c r="P19" s="27">
        <v>35</v>
      </c>
      <c r="Q19" s="27"/>
      <c r="R19" s="27">
        <f>P19-P19*0.05</f>
        <v>33.25</v>
      </c>
      <c r="S19" s="27"/>
      <c r="T19" s="27">
        <v>50</v>
      </c>
      <c r="U19" s="27"/>
      <c r="V19" s="27">
        <f>T19-T19*0.05</f>
        <v>47.5</v>
      </c>
      <c r="W19" s="27"/>
      <c r="X19" s="27"/>
      <c r="Y19" s="27">
        <f>V19+R19+N19+J19+D19</f>
        <v>110.25</v>
      </c>
      <c r="Z19" s="27">
        <f>V19</f>
        <v>47.5</v>
      </c>
    </row>
    <row r="20" spans="1:66" x14ac:dyDescent="0.25">
      <c r="A20" s="28" t="s">
        <v>41</v>
      </c>
      <c r="B20" s="27"/>
      <c r="C20" s="27"/>
      <c r="E20" s="27">
        <f>E19*B19</f>
        <v>166.25</v>
      </c>
      <c r="F20" s="27"/>
      <c r="G20" s="33"/>
      <c r="H20" s="27"/>
      <c r="I20" s="27"/>
      <c r="J20" s="27">
        <f>J19*(B19+B19*0.025)</f>
        <v>1704.0625</v>
      </c>
      <c r="K20" s="27"/>
      <c r="L20" s="27"/>
      <c r="M20" s="27"/>
      <c r="N20" s="27">
        <f>N19*(B19+B19*0.05)</f>
        <v>3491.25</v>
      </c>
      <c r="O20" s="27"/>
      <c r="P20" s="27"/>
      <c r="Q20" s="27"/>
      <c r="R20" s="27">
        <f>R19*(B19+B19*0.1)</f>
        <v>6400.625</v>
      </c>
      <c r="S20" s="27"/>
      <c r="T20" s="27"/>
      <c r="U20" s="27"/>
      <c r="V20" s="27">
        <f>V19*(B19+B19*0.125)</f>
        <v>9351.5625</v>
      </c>
      <c r="W20" s="27"/>
      <c r="X20" s="27">
        <f>SUM(B20:W20)</f>
        <v>21113.75</v>
      </c>
      <c r="Y20" s="27"/>
      <c r="Z20" s="27"/>
    </row>
    <row r="21" spans="1:66" x14ac:dyDescent="0.25">
      <c r="A21" s="28" t="s">
        <v>42</v>
      </c>
      <c r="B21" s="27"/>
      <c r="C21" s="27"/>
      <c r="D21" s="27">
        <f>D19*C19</f>
        <v>120</v>
      </c>
      <c r="F21" s="27"/>
      <c r="G21" s="33"/>
      <c r="H21" s="27">
        <f>H19*(C19+C19*0.025)</f>
        <v>1230</v>
      </c>
      <c r="I21" s="27"/>
      <c r="J21" s="27"/>
      <c r="K21" s="27"/>
      <c r="L21" s="27">
        <f>L19*(C19+C19*0.05)</f>
        <v>2520</v>
      </c>
      <c r="M21" s="27"/>
      <c r="N21" s="27"/>
      <c r="O21" s="27"/>
      <c r="P21" s="27">
        <f>P19*(C19+C19*0.1)</f>
        <v>4620</v>
      </c>
      <c r="Q21" s="27"/>
      <c r="R21" s="27"/>
      <c r="S21" s="27"/>
      <c r="T21" s="27">
        <f>T19*(C19+C19*0.125)</f>
        <v>6750</v>
      </c>
      <c r="U21" s="27"/>
      <c r="V21" s="27"/>
      <c r="W21" s="27"/>
      <c r="X21" s="27">
        <f>SUM(B21:W21)</f>
        <v>15240</v>
      </c>
      <c r="Y21" s="27"/>
      <c r="Z21" s="27">
        <f>W21</f>
        <v>0</v>
      </c>
    </row>
    <row r="22" spans="1:66" x14ac:dyDescent="0.25">
      <c r="A22" s="29" t="s">
        <v>43</v>
      </c>
      <c r="B22" s="34"/>
      <c r="C22" s="34"/>
      <c r="D22" s="34">
        <f t="shared" ref="D22:X22" si="3">D20-D21</f>
        <v>-120</v>
      </c>
      <c r="E22" s="34">
        <f t="shared" si="3"/>
        <v>166.25</v>
      </c>
      <c r="F22" s="34">
        <f t="shared" si="3"/>
        <v>0</v>
      </c>
      <c r="G22" s="34">
        <f t="shared" si="3"/>
        <v>0</v>
      </c>
      <c r="H22" s="34">
        <f t="shared" si="3"/>
        <v>-1230</v>
      </c>
      <c r="I22" s="34">
        <f t="shared" si="3"/>
        <v>0</v>
      </c>
      <c r="J22" s="34">
        <f t="shared" si="3"/>
        <v>1704.0625</v>
      </c>
      <c r="K22" s="34">
        <f t="shared" si="3"/>
        <v>0</v>
      </c>
      <c r="L22" s="34">
        <f t="shared" si="3"/>
        <v>-2520</v>
      </c>
      <c r="M22" s="34">
        <f t="shared" si="3"/>
        <v>0</v>
      </c>
      <c r="N22" s="34">
        <f t="shared" si="3"/>
        <v>3491.25</v>
      </c>
      <c r="O22" s="34">
        <f t="shared" si="3"/>
        <v>0</v>
      </c>
      <c r="P22" s="34">
        <f t="shared" si="3"/>
        <v>-4620</v>
      </c>
      <c r="Q22" s="34">
        <f t="shared" si="3"/>
        <v>0</v>
      </c>
      <c r="R22" s="34">
        <f t="shared" si="3"/>
        <v>6400.625</v>
      </c>
      <c r="S22" s="34">
        <f t="shared" si="3"/>
        <v>0</v>
      </c>
      <c r="T22" s="34">
        <f t="shared" si="3"/>
        <v>-6750</v>
      </c>
      <c r="U22" s="34">
        <f t="shared" si="3"/>
        <v>0</v>
      </c>
      <c r="V22" s="34">
        <f t="shared" si="3"/>
        <v>9351.5625</v>
      </c>
      <c r="W22" s="34">
        <f t="shared" si="3"/>
        <v>0</v>
      </c>
      <c r="X22" s="34">
        <f t="shared" si="3"/>
        <v>5873.75</v>
      </c>
      <c r="Y22" s="35"/>
      <c r="Z22" s="30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</row>
    <row r="23" spans="1:66" ht="18" x14ac:dyDescent="0.25">
      <c r="A23" s="36" t="s">
        <v>48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8">
        <f>SUM(B23:W23)</f>
        <v>0</v>
      </c>
      <c r="Y23" s="27"/>
      <c r="Z23" s="27"/>
    </row>
    <row r="24" spans="1:66" ht="15.75" x14ac:dyDescent="0.25">
      <c r="A24" s="26" t="s">
        <v>40</v>
      </c>
      <c r="B24" s="27">
        <v>50</v>
      </c>
      <c r="C24" s="27">
        <v>25</v>
      </c>
      <c r="D24" s="27"/>
      <c r="E24" s="27">
        <v>500</v>
      </c>
      <c r="F24" s="27"/>
      <c r="G24" s="27">
        <f>E24-E24*0.05</f>
        <v>475</v>
      </c>
      <c r="H24" s="27"/>
      <c r="I24" s="27">
        <v>600</v>
      </c>
      <c r="J24" s="27"/>
      <c r="K24" s="27">
        <f>I24-I24*0.05</f>
        <v>570</v>
      </c>
      <c r="L24" s="27"/>
      <c r="M24" s="27">
        <v>750</v>
      </c>
      <c r="N24" s="27"/>
      <c r="O24" s="27">
        <f>M24-M24*0.05</f>
        <v>712.5</v>
      </c>
      <c r="P24" s="27"/>
      <c r="Q24" s="27">
        <v>850</v>
      </c>
      <c r="R24" s="27"/>
      <c r="S24" s="27">
        <f>Q24-Q24*0.05</f>
        <v>807.5</v>
      </c>
      <c r="T24" s="27"/>
      <c r="U24" s="27">
        <v>1000</v>
      </c>
      <c r="V24" s="27"/>
      <c r="W24" s="27">
        <f>U24-U24*0.05</f>
        <v>950</v>
      </c>
      <c r="X24" s="27"/>
      <c r="Y24" s="27">
        <f>W24+S24+O24+K24+G24</f>
        <v>3515</v>
      </c>
      <c r="Z24" s="27">
        <f>W24</f>
        <v>950</v>
      </c>
    </row>
    <row r="25" spans="1:66" x14ac:dyDescent="0.25">
      <c r="A25" s="27" t="s">
        <v>41</v>
      </c>
      <c r="B25" s="27"/>
      <c r="C25" s="27"/>
      <c r="D25" s="27"/>
      <c r="E25" s="27"/>
      <c r="F25" s="27"/>
      <c r="G25" s="27">
        <f>G24*B24</f>
        <v>23750</v>
      </c>
      <c r="H25" s="27"/>
      <c r="I25" s="27">
        <f>+I23*$B$24</f>
        <v>0</v>
      </c>
      <c r="J25" s="27"/>
      <c r="K25" s="27">
        <f>K24*(B24+B24*0.025)</f>
        <v>29212.5</v>
      </c>
      <c r="L25" s="27"/>
      <c r="M25" s="27">
        <f>+M23*$B$24</f>
        <v>0</v>
      </c>
      <c r="N25" s="27"/>
      <c r="O25" s="27">
        <f>O24*(B24+B24*0.05)</f>
        <v>37406.25</v>
      </c>
      <c r="P25" s="27"/>
      <c r="Q25" s="27"/>
      <c r="R25" s="27"/>
      <c r="S25" s="27">
        <f>S24*(B24+B24*0.075)</f>
        <v>43403.125</v>
      </c>
      <c r="T25" s="27"/>
      <c r="U25" s="27">
        <f>+U23*$B$24</f>
        <v>0</v>
      </c>
      <c r="V25" s="27"/>
      <c r="W25" s="27">
        <f>W24*(B24+B24*0.1)</f>
        <v>52250</v>
      </c>
      <c r="X25" s="27">
        <f>SUM(B25:W25)</f>
        <v>186021.875</v>
      </c>
      <c r="Y25" s="27"/>
      <c r="Z25" s="27"/>
    </row>
    <row r="26" spans="1:66" x14ac:dyDescent="0.25">
      <c r="A26" s="27" t="s">
        <v>49</v>
      </c>
      <c r="B26" s="27"/>
      <c r="C26" s="27"/>
      <c r="D26" s="27"/>
      <c r="E26" s="27">
        <f>E24*C24</f>
        <v>12500</v>
      </c>
      <c r="F26" s="27"/>
      <c r="G26" s="27"/>
      <c r="H26" s="27"/>
      <c r="I26" s="27">
        <f>I24*(C24+C24*0.025)</f>
        <v>15375</v>
      </c>
      <c r="J26" s="27"/>
      <c r="K26" s="27"/>
      <c r="L26" s="27"/>
      <c r="M26" s="27">
        <f>M24*(C24+C24*0.05)</f>
        <v>19687.5</v>
      </c>
      <c r="N26" s="27"/>
      <c r="O26" s="27"/>
      <c r="P26" s="27"/>
      <c r="Q26" s="27">
        <f>Q24*(C24+C24*0.075)</f>
        <v>22843.75</v>
      </c>
      <c r="R26" s="27"/>
      <c r="S26" s="27"/>
      <c r="T26" s="27"/>
      <c r="U26" s="27">
        <f>U24*(C24+C24*0.1)</f>
        <v>27500</v>
      </c>
      <c r="V26" s="27"/>
      <c r="W26" s="27"/>
      <c r="X26" s="27">
        <f>SUM(B26:W26)</f>
        <v>97906.25</v>
      </c>
      <c r="Y26" s="27"/>
      <c r="Z26" s="27"/>
    </row>
    <row r="27" spans="1:66" x14ac:dyDescent="0.25">
      <c r="A27" s="29" t="s">
        <v>43</v>
      </c>
      <c r="B27" s="29"/>
      <c r="C27" s="29"/>
      <c r="D27" s="29"/>
      <c r="E27" s="29">
        <f t="shared" ref="E27:X27" si="4">+E25-E26</f>
        <v>-12500</v>
      </c>
      <c r="F27" s="29">
        <f t="shared" si="4"/>
        <v>0</v>
      </c>
      <c r="G27" s="29">
        <f t="shared" si="4"/>
        <v>23750</v>
      </c>
      <c r="H27" s="29">
        <f t="shared" si="4"/>
        <v>0</v>
      </c>
      <c r="I27" s="29">
        <f t="shared" si="4"/>
        <v>-15375</v>
      </c>
      <c r="J27" s="29">
        <f t="shared" si="4"/>
        <v>0</v>
      </c>
      <c r="K27" s="29">
        <f t="shared" si="4"/>
        <v>29212.5</v>
      </c>
      <c r="L27" s="29">
        <f t="shared" si="4"/>
        <v>0</v>
      </c>
      <c r="M27" s="29">
        <f t="shared" si="4"/>
        <v>-19687.5</v>
      </c>
      <c r="N27" s="29">
        <f t="shared" si="4"/>
        <v>0</v>
      </c>
      <c r="O27" s="29">
        <f t="shared" si="4"/>
        <v>37406.25</v>
      </c>
      <c r="P27" s="29">
        <f t="shared" si="4"/>
        <v>0</v>
      </c>
      <c r="Q27" s="29">
        <f t="shared" si="4"/>
        <v>-22843.75</v>
      </c>
      <c r="R27" s="29">
        <f t="shared" si="4"/>
        <v>0</v>
      </c>
      <c r="S27" s="29">
        <f t="shared" si="4"/>
        <v>43403.125</v>
      </c>
      <c r="T27" s="29">
        <f t="shared" si="4"/>
        <v>0</v>
      </c>
      <c r="U27" s="29">
        <f t="shared" si="4"/>
        <v>-27500</v>
      </c>
      <c r="V27" s="29">
        <f t="shared" si="4"/>
        <v>0</v>
      </c>
      <c r="W27" s="29">
        <f t="shared" si="4"/>
        <v>52250</v>
      </c>
      <c r="X27" s="29">
        <f t="shared" si="4"/>
        <v>88115.625</v>
      </c>
      <c r="Y27" s="30"/>
      <c r="Z27" s="30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</row>
    <row r="28" spans="1:66" ht="15.75" x14ac:dyDescent="0.25">
      <c r="A28" s="26" t="s">
        <v>50</v>
      </c>
      <c r="B28" s="27">
        <v>60</v>
      </c>
      <c r="C28" s="27">
        <v>30</v>
      </c>
      <c r="D28" s="27">
        <v>165</v>
      </c>
      <c r="E28" s="27">
        <f>D28-D28*0.05</f>
        <v>156.75</v>
      </c>
      <c r="F28" s="27"/>
      <c r="G28" s="33"/>
      <c r="H28" s="27">
        <v>500</v>
      </c>
      <c r="I28" s="27"/>
      <c r="J28" s="27">
        <f>H28-H28*0.02</f>
        <v>490</v>
      </c>
      <c r="K28" s="27"/>
      <c r="L28" s="27">
        <v>750</v>
      </c>
      <c r="M28" s="27"/>
      <c r="N28" s="27">
        <f>L28-L28*0.02</f>
        <v>735</v>
      </c>
      <c r="O28" s="27"/>
      <c r="P28" s="27">
        <v>1000</v>
      </c>
      <c r="Q28" s="27"/>
      <c r="R28" s="27">
        <f>P28-P28*0.02</f>
        <v>980</v>
      </c>
      <c r="S28" s="27"/>
      <c r="T28" s="27">
        <v>1250</v>
      </c>
      <c r="U28" s="27"/>
      <c r="V28" s="27">
        <f>T28+T28*0.02</f>
        <v>1275</v>
      </c>
      <c r="W28" s="27"/>
      <c r="X28" s="27"/>
      <c r="Y28" s="27">
        <f>V28+R28+N28+J28</f>
        <v>3480</v>
      </c>
      <c r="Z28" s="27">
        <f>V28</f>
        <v>1275</v>
      </c>
    </row>
    <row r="29" spans="1:66" x14ac:dyDescent="0.25">
      <c r="A29" s="27" t="s">
        <v>41</v>
      </c>
      <c r="B29" s="27"/>
      <c r="C29" s="27"/>
      <c r="D29" s="27"/>
      <c r="E29" s="27">
        <f>E28*B28</f>
        <v>9405</v>
      </c>
      <c r="F29" s="27"/>
      <c r="G29" s="33"/>
      <c r="H29" s="27"/>
      <c r="I29" s="27"/>
      <c r="J29" s="27">
        <f>J28*(B28+B28*0.025)</f>
        <v>30135</v>
      </c>
      <c r="K29" s="27"/>
      <c r="L29" s="27"/>
      <c r="M29" s="27"/>
      <c r="N29" s="27">
        <f>N28*(B28+B28*0.05)</f>
        <v>46305</v>
      </c>
      <c r="O29" s="27"/>
      <c r="P29" s="27"/>
      <c r="Q29" s="27"/>
      <c r="R29" s="27">
        <f>R28*(B28+B28*0.075)</f>
        <v>63210</v>
      </c>
      <c r="S29" s="27"/>
      <c r="T29" s="27"/>
      <c r="U29" s="27"/>
      <c r="V29" s="27">
        <f>V28*(B28+B28*0.1)</f>
        <v>84150</v>
      </c>
      <c r="W29" s="27"/>
      <c r="X29" s="27">
        <f>SUM(B29:W29)</f>
        <v>233205</v>
      </c>
      <c r="Y29" s="27"/>
      <c r="Z29" s="27"/>
    </row>
    <row r="30" spans="1:66" x14ac:dyDescent="0.25">
      <c r="A30" s="27" t="s">
        <v>51</v>
      </c>
      <c r="B30" s="27"/>
      <c r="C30" s="27"/>
      <c r="D30" s="27">
        <f>D28*C28</f>
        <v>4950</v>
      </c>
      <c r="E30" s="27"/>
      <c r="F30" s="27">
        <f>F28*C28</f>
        <v>0</v>
      </c>
      <c r="G30" s="33"/>
      <c r="H30" s="27">
        <f>H28*(C28+C28*0.025)</f>
        <v>15375</v>
      </c>
      <c r="I30" s="27"/>
      <c r="J30" s="27"/>
      <c r="K30" s="27"/>
      <c r="L30" s="27">
        <f>L28*(C28+C28*0.05)</f>
        <v>23625</v>
      </c>
      <c r="M30" s="27"/>
      <c r="N30" s="27"/>
      <c r="O30" s="27"/>
      <c r="P30" s="27">
        <f>P28*(C28+C28*0.75)</f>
        <v>52500</v>
      </c>
      <c r="Q30" s="27"/>
      <c r="R30" s="27"/>
      <c r="S30" s="27"/>
      <c r="T30" s="27">
        <f>T28*(C28+C28*0.1)</f>
        <v>41250</v>
      </c>
      <c r="U30" s="27"/>
      <c r="V30" s="27"/>
      <c r="W30" s="27">
        <f>W28*(C28+C28*0.125)</f>
        <v>0</v>
      </c>
      <c r="X30" s="27">
        <f>SUM(B30:W30)</f>
        <v>137700</v>
      </c>
      <c r="Y30" s="27"/>
      <c r="Z30" s="27">
        <f>W30</f>
        <v>0</v>
      </c>
    </row>
    <row r="31" spans="1:66" x14ac:dyDescent="0.25">
      <c r="A31" s="29" t="s">
        <v>43</v>
      </c>
      <c r="B31" s="29"/>
      <c r="C31" s="29"/>
      <c r="D31" s="29">
        <f t="shared" ref="D31:X31" si="5">D29-D30</f>
        <v>-4950</v>
      </c>
      <c r="E31" s="29">
        <f t="shared" si="5"/>
        <v>9405</v>
      </c>
      <c r="F31" s="29">
        <f t="shared" si="5"/>
        <v>0</v>
      </c>
      <c r="G31" s="29">
        <f t="shared" si="5"/>
        <v>0</v>
      </c>
      <c r="H31" s="29">
        <f t="shared" si="5"/>
        <v>-15375</v>
      </c>
      <c r="I31" s="29">
        <f t="shared" si="5"/>
        <v>0</v>
      </c>
      <c r="J31" s="29">
        <f t="shared" si="5"/>
        <v>30135</v>
      </c>
      <c r="K31" s="29">
        <f t="shared" si="5"/>
        <v>0</v>
      </c>
      <c r="L31" s="29">
        <f t="shared" si="5"/>
        <v>-23625</v>
      </c>
      <c r="M31" s="29">
        <f t="shared" si="5"/>
        <v>0</v>
      </c>
      <c r="N31" s="29">
        <f t="shared" si="5"/>
        <v>46305</v>
      </c>
      <c r="O31" s="29">
        <f t="shared" si="5"/>
        <v>0</v>
      </c>
      <c r="P31" s="29">
        <f t="shared" si="5"/>
        <v>-52500</v>
      </c>
      <c r="Q31" s="29">
        <f t="shared" si="5"/>
        <v>0</v>
      </c>
      <c r="R31" s="29">
        <f t="shared" si="5"/>
        <v>63210</v>
      </c>
      <c r="S31" s="29">
        <f t="shared" si="5"/>
        <v>0</v>
      </c>
      <c r="T31" s="29">
        <f t="shared" si="5"/>
        <v>-41250</v>
      </c>
      <c r="U31" s="29">
        <f t="shared" si="5"/>
        <v>0</v>
      </c>
      <c r="V31" s="29">
        <f t="shared" si="5"/>
        <v>84150</v>
      </c>
      <c r="W31" s="29">
        <f t="shared" si="5"/>
        <v>0</v>
      </c>
      <c r="X31" s="29">
        <f t="shared" si="5"/>
        <v>95505</v>
      </c>
      <c r="Y31" s="30"/>
      <c r="Z31" s="30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</row>
    <row r="32" spans="1:66" ht="15.75" x14ac:dyDescent="0.25">
      <c r="A32" s="26" t="s">
        <v>52</v>
      </c>
      <c r="B32" s="27">
        <v>65</v>
      </c>
      <c r="C32" s="27">
        <v>50</v>
      </c>
      <c r="D32" s="27"/>
      <c r="E32" s="27"/>
      <c r="F32" s="27">
        <v>62</v>
      </c>
      <c r="G32" s="27">
        <f>F32-F32*0.025</f>
        <v>60.45</v>
      </c>
      <c r="H32" s="27"/>
      <c r="I32" s="27"/>
      <c r="J32" s="27">
        <v>100</v>
      </c>
      <c r="K32" s="27">
        <f>J32-J32*0.025</f>
        <v>97.5</v>
      </c>
      <c r="L32" s="27"/>
      <c r="M32" s="27"/>
      <c r="N32" s="27">
        <v>175</v>
      </c>
      <c r="O32" s="27">
        <f>N32-N32*0.025</f>
        <v>170.625</v>
      </c>
      <c r="P32" s="27"/>
      <c r="Q32" s="27"/>
      <c r="R32" s="27">
        <v>250</v>
      </c>
      <c r="S32" s="27">
        <f>R32-R32*0.025</f>
        <v>243.75</v>
      </c>
      <c r="T32" s="27"/>
      <c r="U32" s="27"/>
      <c r="V32" s="27">
        <v>350</v>
      </c>
      <c r="W32" s="27">
        <f>V32-V32*0.025</f>
        <v>341.25</v>
      </c>
      <c r="X32" s="27"/>
      <c r="Y32" s="27">
        <f>W32+S32+O32+K32</f>
        <v>853.125</v>
      </c>
      <c r="Z32" s="27">
        <f>W32</f>
        <v>341.25</v>
      </c>
    </row>
    <row r="33" spans="1:66" x14ac:dyDescent="0.25">
      <c r="A33" s="27" t="s">
        <v>41</v>
      </c>
      <c r="B33" s="27"/>
      <c r="C33" s="27"/>
      <c r="D33" s="27"/>
      <c r="E33" s="27"/>
      <c r="F33" s="27"/>
      <c r="G33" s="27">
        <f>G32*(B32+B32*0.025)</f>
        <v>4027.4812500000003</v>
      </c>
      <c r="H33" s="27"/>
      <c r="I33" s="27"/>
      <c r="J33" s="27"/>
      <c r="K33" s="27">
        <f>K32*(B32+B32*0.05)</f>
        <v>6654.375</v>
      </c>
      <c r="L33" s="27"/>
      <c r="M33" s="27"/>
      <c r="N33" s="27"/>
      <c r="O33" s="27">
        <f>O32*(B32+B32*0.075)</f>
        <v>11922.421875</v>
      </c>
      <c r="P33" s="27"/>
      <c r="Q33" s="27"/>
      <c r="R33" s="27"/>
      <c r="S33" s="27">
        <f>S32*(B32+B32*0.1)</f>
        <v>17428.125</v>
      </c>
      <c r="T33" s="27"/>
      <c r="U33" s="27"/>
      <c r="V33" s="27"/>
      <c r="W33" s="27">
        <f>W32*(B32+B32*0.125)</f>
        <v>24953.90625</v>
      </c>
      <c r="X33" s="27">
        <f>SUM(B33:W33)</f>
        <v>64986.309374999997</v>
      </c>
      <c r="Y33" s="27"/>
      <c r="Z33" s="27"/>
    </row>
    <row r="34" spans="1:66" x14ac:dyDescent="0.25">
      <c r="A34" s="27" t="s">
        <v>53</v>
      </c>
      <c r="B34" s="27"/>
      <c r="C34" s="27"/>
      <c r="D34" s="27"/>
      <c r="E34" s="27"/>
      <c r="F34" s="27">
        <f>F32*(C32+C32*0.025)</f>
        <v>3177.5</v>
      </c>
      <c r="G34" s="27"/>
      <c r="H34" s="27"/>
      <c r="I34" s="27"/>
      <c r="J34" s="27">
        <f>J32*(C32+C32*0.05)</f>
        <v>5250</v>
      </c>
      <c r="K34" s="27"/>
      <c r="L34" s="27"/>
      <c r="M34" s="27"/>
      <c r="N34" s="27">
        <f>N32*(C32+C32*0.075)</f>
        <v>9406.25</v>
      </c>
      <c r="O34" s="27"/>
      <c r="P34" s="27"/>
      <c r="Q34" s="27"/>
      <c r="R34" s="27">
        <f>R32*(C32+C32*0.1)</f>
        <v>13750</v>
      </c>
      <c r="S34" s="27"/>
      <c r="T34" s="27"/>
      <c r="U34" s="27"/>
      <c r="V34" s="27">
        <f>V32*(C32+C32*0.125)</f>
        <v>19687.5</v>
      </c>
      <c r="W34" s="27"/>
      <c r="X34" s="27">
        <f>SUM(B34:W34)</f>
        <v>51271.25</v>
      </c>
      <c r="Y34" s="27"/>
      <c r="Z34" s="27"/>
    </row>
    <row r="35" spans="1:66" x14ac:dyDescent="0.25">
      <c r="A35" s="29" t="s">
        <v>43</v>
      </c>
      <c r="B35" s="29"/>
      <c r="C35" s="29"/>
      <c r="D35" s="29">
        <f t="shared" ref="D35:X35" si="6">D33-D34</f>
        <v>0</v>
      </c>
      <c r="E35" s="29">
        <f t="shared" si="6"/>
        <v>0</v>
      </c>
      <c r="F35" s="29">
        <f t="shared" si="6"/>
        <v>-3177.5</v>
      </c>
      <c r="G35" s="29">
        <f t="shared" si="6"/>
        <v>4027.4812500000003</v>
      </c>
      <c r="H35" s="29">
        <f t="shared" si="6"/>
        <v>0</v>
      </c>
      <c r="I35" s="29">
        <f t="shared" si="6"/>
        <v>0</v>
      </c>
      <c r="J35" s="29">
        <f t="shared" si="6"/>
        <v>-5250</v>
      </c>
      <c r="K35" s="29">
        <f t="shared" si="6"/>
        <v>6654.375</v>
      </c>
      <c r="L35" s="29">
        <f t="shared" si="6"/>
        <v>0</v>
      </c>
      <c r="M35" s="29">
        <f t="shared" si="6"/>
        <v>0</v>
      </c>
      <c r="N35" s="29">
        <f t="shared" si="6"/>
        <v>-9406.25</v>
      </c>
      <c r="O35" s="29">
        <f t="shared" si="6"/>
        <v>11922.421875</v>
      </c>
      <c r="P35" s="29">
        <f t="shared" si="6"/>
        <v>0</v>
      </c>
      <c r="Q35" s="29">
        <f t="shared" si="6"/>
        <v>0</v>
      </c>
      <c r="R35" s="29">
        <f t="shared" si="6"/>
        <v>-13750</v>
      </c>
      <c r="S35" s="29">
        <f t="shared" si="6"/>
        <v>17428.125</v>
      </c>
      <c r="T35" s="29">
        <f t="shared" si="6"/>
        <v>0</v>
      </c>
      <c r="U35" s="29">
        <f t="shared" si="6"/>
        <v>0</v>
      </c>
      <c r="V35" s="29">
        <f t="shared" si="6"/>
        <v>-19687.5</v>
      </c>
      <c r="W35" s="29">
        <f t="shared" si="6"/>
        <v>24953.90625</v>
      </c>
      <c r="X35" s="29">
        <f t="shared" si="6"/>
        <v>13715.059374999997</v>
      </c>
      <c r="Y35" s="30"/>
      <c r="Z35" s="30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</row>
    <row r="36" spans="1:66" ht="15.75" x14ac:dyDescent="0.25">
      <c r="A36" s="26" t="s">
        <v>47</v>
      </c>
      <c r="B36" s="27">
        <v>150</v>
      </c>
      <c r="C36" s="27">
        <v>110</v>
      </c>
      <c r="D36" s="27"/>
      <c r="E36" s="27"/>
      <c r="F36" s="27"/>
      <c r="G36" s="39"/>
      <c r="H36" s="27">
        <v>15</v>
      </c>
      <c r="I36" s="27"/>
      <c r="J36" s="27">
        <f>H36-H36*0.05</f>
        <v>14.25</v>
      </c>
      <c r="K36" s="27"/>
      <c r="L36" s="27">
        <v>25</v>
      </c>
      <c r="M36" s="27"/>
      <c r="N36" s="27">
        <f>L36-L36*0.05</f>
        <v>23.75</v>
      </c>
      <c r="O36" s="27"/>
      <c r="P36" s="27">
        <v>40</v>
      </c>
      <c r="Q36" s="27"/>
      <c r="R36" s="27">
        <f>P36-P36*0.05</f>
        <v>38</v>
      </c>
      <c r="S36" s="27"/>
      <c r="T36" s="27">
        <v>60</v>
      </c>
      <c r="U36" s="27"/>
      <c r="V36" s="27">
        <f>T36-T36*0.05</f>
        <v>57</v>
      </c>
      <c r="W36" s="27"/>
      <c r="X36" s="27"/>
      <c r="Y36" s="27">
        <f>V36+R36+N36+J36</f>
        <v>133</v>
      </c>
      <c r="Z36" s="30">
        <f>V36</f>
        <v>57</v>
      </c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</row>
    <row r="37" spans="1:66" x14ac:dyDescent="0.25">
      <c r="A37" s="27" t="s">
        <v>41</v>
      </c>
      <c r="B37" s="27"/>
      <c r="C37" s="27"/>
      <c r="D37" s="27"/>
      <c r="E37" s="27"/>
      <c r="F37" s="27"/>
      <c r="G37" s="39"/>
      <c r="H37" s="27"/>
      <c r="I37" s="27"/>
      <c r="J37" s="27">
        <f>J36*(B36+B36*0.05)</f>
        <v>2244.375</v>
      </c>
      <c r="K37" s="27"/>
      <c r="L37" s="27"/>
      <c r="M37" s="27"/>
      <c r="N37" s="27">
        <f>N36*(B36+B36*0.025)</f>
        <v>3651.5625</v>
      </c>
      <c r="O37" s="27"/>
      <c r="P37" s="27"/>
      <c r="Q37" s="27"/>
      <c r="R37" s="27">
        <f>R36*(B36+B36*0.05)</f>
        <v>5985</v>
      </c>
      <c r="S37" s="27"/>
      <c r="T37" s="27"/>
      <c r="U37" s="27"/>
      <c r="V37" s="27">
        <f>V36*(B36+B36*0.1)</f>
        <v>9405</v>
      </c>
      <c r="W37" s="27"/>
      <c r="X37" s="27">
        <f>SUM(B37:W37)</f>
        <v>21285.9375</v>
      </c>
      <c r="Y37" s="30"/>
      <c r="Z37" s="30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</row>
    <row r="38" spans="1:66" x14ac:dyDescent="0.25">
      <c r="A38" s="27" t="s">
        <v>49</v>
      </c>
      <c r="B38" s="27"/>
      <c r="C38" s="27"/>
      <c r="D38" s="27"/>
      <c r="E38" s="27"/>
      <c r="F38" s="27"/>
      <c r="G38" s="39"/>
      <c r="H38" s="27">
        <f>H36*C36</f>
        <v>1650</v>
      </c>
      <c r="I38" s="27"/>
      <c r="J38" s="27"/>
      <c r="K38" s="27"/>
      <c r="L38" s="27">
        <f>L36*(C36+C36*0.025)</f>
        <v>2818.75</v>
      </c>
      <c r="M38" s="27"/>
      <c r="N38" s="27"/>
      <c r="O38" s="27">
        <f>O36*C36</f>
        <v>0</v>
      </c>
      <c r="P38" s="27">
        <f>P36*(C36+C36*0.05)</f>
        <v>4620</v>
      </c>
      <c r="Q38" s="27"/>
      <c r="R38" s="27"/>
      <c r="S38" s="27"/>
      <c r="T38" s="27">
        <f>T36*(C36+C36*0.075)</f>
        <v>7095</v>
      </c>
      <c r="U38" s="27"/>
      <c r="V38" s="27"/>
      <c r="W38" s="27">
        <f>W36*(C36+C36*0.1)</f>
        <v>0</v>
      </c>
      <c r="X38" s="27">
        <f>SUM(B38:W38)</f>
        <v>16183.75</v>
      </c>
      <c r="Y38" s="30"/>
      <c r="Z38" s="30">
        <f>W38</f>
        <v>0</v>
      </c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</row>
    <row r="39" spans="1:66" x14ac:dyDescent="0.25">
      <c r="A39" s="29" t="s">
        <v>43</v>
      </c>
      <c r="B39" s="29"/>
      <c r="C39" s="29"/>
      <c r="D39" s="29"/>
      <c r="E39" s="29"/>
      <c r="F39" s="29">
        <f>F37-F38</f>
        <v>0</v>
      </c>
      <c r="G39" s="40"/>
      <c r="H39" s="29">
        <f t="shared" ref="H39:R39" si="7">H37-H38</f>
        <v>-1650</v>
      </c>
      <c r="I39" s="29">
        <f t="shared" si="7"/>
        <v>0</v>
      </c>
      <c r="J39" s="29">
        <f t="shared" si="7"/>
        <v>2244.375</v>
      </c>
      <c r="K39" s="29">
        <f t="shared" si="7"/>
        <v>0</v>
      </c>
      <c r="L39" s="29">
        <f t="shared" si="7"/>
        <v>-2818.75</v>
      </c>
      <c r="M39" s="29">
        <f t="shared" si="7"/>
        <v>0</v>
      </c>
      <c r="N39" s="29">
        <f t="shared" si="7"/>
        <v>3651.5625</v>
      </c>
      <c r="O39" s="29">
        <f t="shared" si="7"/>
        <v>0</v>
      </c>
      <c r="P39" s="29">
        <f t="shared" si="7"/>
        <v>-4620</v>
      </c>
      <c r="Q39" s="29">
        <f t="shared" si="7"/>
        <v>0</v>
      </c>
      <c r="R39" s="29">
        <f t="shared" si="7"/>
        <v>5985</v>
      </c>
      <c r="S39" s="29"/>
      <c r="T39" s="29">
        <f>T37-T38</f>
        <v>-7095</v>
      </c>
      <c r="U39" s="29"/>
      <c r="V39" s="29">
        <f>V37-V38</f>
        <v>9405</v>
      </c>
      <c r="W39" s="29">
        <f>W37-W38</f>
        <v>0</v>
      </c>
      <c r="X39" s="29"/>
      <c r="Y39" s="30"/>
      <c r="Z39" s="30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</row>
    <row r="40" spans="1:66" ht="18" x14ac:dyDescent="0.25">
      <c r="A40" s="41" t="s">
        <v>54</v>
      </c>
      <c r="B40" s="29"/>
      <c r="C40" s="29"/>
      <c r="D40" s="29"/>
      <c r="E40" s="29"/>
      <c r="F40" s="29"/>
      <c r="G40" s="40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30"/>
      <c r="Z40" s="30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</row>
    <row r="41" spans="1:66" x14ac:dyDescent="0.25">
      <c r="A41" s="42" t="s">
        <v>55</v>
      </c>
      <c r="B41" s="43"/>
      <c r="C41" s="43"/>
      <c r="D41" s="43"/>
      <c r="E41" s="43"/>
      <c r="F41" s="43"/>
      <c r="G41" s="44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</row>
    <row r="42" spans="1:66" x14ac:dyDescent="0.25">
      <c r="A42" s="27" t="s">
        <v>41</v>
      </c>
      <c r="B42" s="43"/>
      <c r="C42" s="43"/>
      <c r="D42" s="43"/>
      <c r="E42" s="43"/>
      <c r="F42" s="43"/>
      <c r="G42" s="44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</row>
    <row r="43" spans="1:66" x14ac:dyDescent="0.25">
      <c r="A43" s="27" t="s">
        <v>49</v>
      </c>
      <c r="B43" s="43"/>
      <c r="C43" s="43"/>
      <c r="D43" s="43"/>
      <c r="E43" s="43"/>
      <c r="F43" s="43"/>
      <c r="G43" s="44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</row>
    <row r="44" spans="1:66" x14ac:dyDescent="0.25">
      <c r="A44" s="46" t="s">
        <v>56</v>
      </c>
      <c r="B44" s="47"/>
      <c r="C44" s="47"/>
      <c r="D44" s="47"/>
      <c r="E44" s="47"/>
      <c r="F44" s="47"/>
      <c r="G44" s="48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9"/>
      <c r="Z44" s="49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</row>
    <row r="45" spans="1:66" x14ac:dyDescent="0.25">
      <c r="A45" s="42" t="s">
        <v>57</v>
      </c>
      <c r="B45" s="43"/>
      <c r="C45" s="43"/>
      <c r="D45" s="43"/>
      <c r="E45" s="43"/>
      <c r="F45" s="43"/>
      <c r="G45" s="44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</row>
    <row r="46" spans="1:66" x14ac:dyDescent="0.25">
      <c r="A46" s="27" t="s">
        <v>41</v>
      </c>
      <c r="B46" s="43"/>
      <c r="C46" s="43"/>
      <c r="D46" s="43"/>
      <c r="E46" s="43"/>
      <c r="F46" s="43"/>
      <c r="G46" s="44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</row>
    <row r="47" spans="1:66" x14ac:dyDescent="0.25">
      <c r="A47" s="27" t="s">
        <v>49</v>
      </c>
      <c r="B47" s="43"/>
      <c r="C47" s="43"/>
      <c r="D47" s="43"/>
      <c r="E47" s="43"/>
      <c r="F47" s="43"/>
      <c r="G47" s="44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</row>
    <row r="48" spans="1:66" x14ac:dyDescent="0.25">
      <c r="A48" s="46" t="s">
        <v>56</v>
      </c>
      <c r="B48" s="47"/>
      <c r="C48" s="47"/>
      <c r="D48" s="47"/>
      <c r="E48" s="47"/>
      <c r="F48" s="47"/>
      <c r="G48" s="48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9"/>
      <c r="Z48" s="49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</row>
    <row r="49" spans="1:66" x14ac:dyDescent="0.25">
      <c r="A49" s="42" t="s">
        <v>58</v>
      </c>
      <c r="B49" s="43"/>
      <c r="C49" s="43"/>
      <c r="D49" s="43"/>
      <c r="E49" s="43"/>
      <c r="F49" s="43"/>
      <c r="G49" s="44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</row>
    <row r="50" spans="1:66" x14ac:dyDescent="0.25">
      <c r="A50" s="27" t="s">
        <v>41</v>
      </c>
      <c r="B50" s="43"/>
      <c r="C50" s="43"/>
      <c r="D50" s="43"/>
      <c r="E50" s="43"/>
      <c r="F50" s="43"/>
      <c r="G50" s="44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</row>
    <row r="51" spans="1:66" x14ac:dyDescent="0.25">
      <c r="A51" s="27" t="s">
        <v>49</v>
      </c>
      <c r="B51" s="43"/>
      <c r="C51" s="43"/>
      <c r="D51" s="43"/>
      <c r="E51" s="43"/>
      <c r="F51" s="43"/>
      <c r="G51" s="44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</row>
    <row r="52" spans="1:66" x14ac:dyDescent="0.25">
      <c r="A52" s="46" t="s">
        <v>56</v>
      </c>
      <c r="B52" s="47"/>
      <c r="C52" s="47"/>
      <c r="D52" s="47"/>
      <c r="E52" s="47"/>
      <c r="F52" s="47"/>
      <c r="G52" s="48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9"/>
      <c r="Z52" s="49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</row>
    <row r="53" spans="1:66" x14ac:dyDescent="0.25">
      <c r="A53" s="43" t="s">
        <v>59</v>
      </c>
      <c r="B53" s="43"/>
      <c r="C53" s="43"/>
      <c r="D53" s="43"/>
      <c r="E53" s="43"/>
      <c r="F53" s="43"/>
      <c r="G53" s="44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</row>
    <row r="54" spans="1:66" x14ac:dyDescent="0.25">
      <c r="A54" s="27" t="s">
        <v>41</v>
      </c>
      <c r="B54" s="43"/>
      <c r="C54" s="43"/>
      <c r="D54" s="43"/>
      <c r="E54" s="43"/>
      <c r="F54" s="43"/>
      <c r="G54" s="44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</row>
    <row r="55" spans="1:66" x14ac:dyDescent="0.25">
      <c r="A55" s="27" t="s">
        <v>49</v>
      </c>
      <c r="B55" s="43"/>
      <c r="C55" s="43"/>
      <c r="D55" s="43"/>
      <c r="E55" s="43"/>
      <c r="F55" s="43"/>
      <c r="G55" s="44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</row>
    <row r="56" spans="1:66" x14ac:dyDescent="0.25">
      <c r="A56" s="46" t="s">
        <v>56</v>
      </c>
      <c r="B56" s="29"/>
      <c r="C56" s="29"/>
      <c r="D56" s="29"/>
      <c r="E56" s="29"/>
      <c r="F56" s="29"/>
      <c r="G56" s="40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30"/>
      <c r="Z56" s="30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</row>
    <row r="57" spans="1:66" x14ac:dyDescent="0.25">
      <c r="A57" s="43" t="s">
        <v>60</v>
      </c>
      <c r="B57" s="43"/>
      <c r="C57" s="43"/>
      <c r="D57" s="43"/>
      <c r="E57" s="43"/>
      <c r="F57" s="43"/>
      <c r="G57" s="51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</row>
    <row r="58" spans="1:66" x14ac:dyDescent="0.25">
      <c r="A58" s="27" t="s">
        <v>41</v>
      </c>
      <c r="B58" s="43"/>
      <c r="C58" s="43"/>
      <c r="D58" s="43"/>
      <c r="E58" s="43"/>
      <c r="F58" s="43"/>
      <c r="G58" s="51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</row>
    <row r="59" spans="1:66" x14ac:dyDescent="0.25">
      <c r="A59" s="27" t="s">
        <v>49</v>
      </c>
      <c r="B59" s="43"/>
      <c r="C59" s="43"/>
      <c r="D59" s="43"/>
      <c r="E59" s="43"/>
      <c r="F59" s="43"/>
      <c r="G59" s="51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</row>
    <row r="60" spans="1:66" x14ac:dyDescent="0.25">
      <c r="A60" s="46" t="s">
        <v>56</v>
      </c>
      <c r="B60" s="29"/>
      <c r="C60" s="29"/>
      <c r="D60" s="29"/>
      <c r="E60" s="29"/>
      <c r="F60" s="29"/>
      <c r="G60" s="40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30"/>
      <c r="Z60" s="30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</row>
    <row r="61" spans="1:66" x14ac:dyDescent="0.25">
      <c r="A61" s="43" t="s">
        <v>61</v>
      </c>
      <c r="B61" s="43"/>
      <c r="C61" s="43"/>
      <c r="D61" s="43"/>
      <c r="E61" s="43"/>
      <c r="F61" s="43"/>
      <c r="G61" s="51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</row>
    <row r="62" spans="1:66" x14ac:dyDescent="0.25">
      <c r="A62" s="43" t="s">
        <v>41</v>
      </c>
      <c r="B62" s="43"/>
      <c r="C62" s="43"/>
      <c r="D62" s="43"/>
      <c r="E62" s="43"/>
      <c r="F62" s="43"/>
      <c r="G62" s="51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</row>
    <row r="63" spans="1:66" x14ac:dyDescent="0.25">
      <c r="A63" s="43" t="s">
        <v>49</v>
      </c>
      <c r="B63" s="43"/>
      <c r="C63" s="43"/>
      <c r="D63" s="43"/>
      <c r="E63" s="43"/>
      <c r="F63" s="43"/>
      <c r="G63" s="51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</row>
    <row r="64" spans="1:66" x14ac:dyDescent="0.25">
      <c r="A64" s="46" t="s">
        <v>56</v>
      </c>
      <c r="B64" s="29"/>
      <c r="C64" s="29"/>
      <c r="D64" s="29"/>
      <c r="E64" s="29"/>
      <c r="F64" s="29"/>
      <c r="G64" s="40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30"/>
      <c r="Z64" s="30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</row>
    <row r="65" spans="1:66" x14ac:dyDescent="0.25">
      <c r="A65" s="43" t="s">
        <v>62</v>
      </c>
      <c r="B65" s="43"/>
      <c r="C65" s="43"/>
      <c r="D65" s="43"/>
      <c r="E65" s="43"/>
      <c r="F65" s="43"/>
      <c r="G65" s="51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</row>
    <row r="66" spans="1:66" x14ac:dyDescent="0.25">
      <c r="A66" s="43" t="s">
        <v>41</v>
      </c>
      <c r="B66" s="43"/>
      <c r="C66" s="43"/>
      <c r="D66" s="43"/>
      <c r="E66" s="43"/>
      <c r="F66" s="43"/>
      <c r="G66" s="51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</row>
    <row r="67" spans="1:66" x14ac:dyDescent="0.25">
      <c r="A67" s="43" t="s">
        <v>49</v>
      </c>
      <c r="B67" s="43"/>
      <c r="C67" s="43"/>
      <c r="D67" s="43"/>
      <c r="E67" s="43"/>
      <c r="F67" s="43"/>
      <c r="G67" s="51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</row>
    <row r="68" spans="1:66" x14ac:dyDescent="0.25">
      <c r="A68" s="46" t="s">
        <v>56</v>
      </c>
      <c r="B68" s="29"/>
      <c r="C68" s="29"/>
      <c r="D68" s="29"/>
      <c r="E68" s="29"/>
      <c r="F68" s="29"/>
      <c r="G68" s="40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30"/>
      <c r="Z68" s="30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</row>
    <row r="69" spans="1:66" x14ac:dyDescent="0.25">
      <c r="A69" s="43" t="s">
        <v>63</v>
      </c>
      <c r="B69" s="43"/>
      <c r="C69" s="43"/>
      <c r="D69" s="43"/>
      <c r="E69" s="43"/>
      <c r="F69" s="43"/>
      <c r="G69" s="51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</row>
    <row r="70" spans="1:66" x14ac:dyDescent="0.25">
      <c r="A70" s="27" t="s">
        <v>41</v>
      </c>
      <c r="B70" s="43"/>
      <c r="C70" s="43"/>
      <c r="D70" s="43"/>
      <c r="E70" s="43"/>
      <c r="F70" s="43"/>
      <c r="G70" s="51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</row>
    <row r="71" spans="1:66" x14ac:dyDescent="0.25">
      <c r="A71" s="27" t="s">
        <v>49</v>
      </c>
      <c r="B71" s="43"/>
      <c r="C71" s="43"/>
      <c r="D71" s="43"/>
      <c r="E71" s="43"/>
      <c r="F71" s="43"/>
      <c r="G71" s="51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</row>
    <row r="72" spans="1:66" x14ac:dyDescent="0.25">
      <c r="A72" s="46" t="s">
        <v>56</v>
      </c>
      <c r="B72" s="29"/>
      <c r="C72" s="29"/>
      <c r="D72" s="29"/>
      <c r="E72" s="29"/>
      <c r="F72" s="29"/>
      <c r="G72" s="40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30"/>
      <c r="Z72" s="30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</row>
    <row r="73" spans="1:66" ht="18" x14ac:dyDescent="0.25">
      <c r="A73" s="53" t="s">
        <v>64</v>
      </c>
      <c r="B73" s="54"/>
      <c r="C73" s="54"/>
      <c r="D73" s="54">
        <f t="shared" ref="D73:X73" si="8">D39+D35+D31+D27+D22+D18+D14+D10</f>
        <v>-6845</v>
      </c>
      <c r="E73" s="54">
        <f t="shared" si="8"/>
        <v>-1643.75</v>
      </c>
      <c r="F73" s="54">
        <f t="shared" si="8"/>
        <v>-2393.75</v>
      </c>
      <c r="G73" s="54">
        <f t="shared" si="8"/>
        <v>29710.731250000001</v>
      </c>
      <c r="H73" s="54">
        <f t="shared" si="8"/>
        <v>-21221.25</v>
      </c>
      <c r="I73" s="54">
        <f t="shared" si="8"/>
        <v>-16556.25</v>
      </c>
      <c r="J73" s="54">
        <f t="shared" si="8"/>
        <v>33762.793749999997</v>
      </c>
      <c r="K73" s="54">
        <f t="shared" si="8"/>
        <v>38453.25</v>
      </c>
      <c r="L73" s="54">
        <f t="shared" si="8"/>
        <v>-32706.25</v>
      </c>
      <c r="M73" s="54">
        <f t="shared" si="8"/>
        <v>-22712.5</v>
      </c>
      <c r="N73" s="54">
        <f t="shared" si="8"/>
        <v>50301.0625</v>
      </c>
      <c r="O73" s="54">
        <f t="shared" si="8"/>
        <v>50634.921875</v>
      </c>
      <c r="P73" s="54">
        <f t="shared" si="8"/>
        <v>-66160</v>
      </c>
      <c r="Q73" s="54">
        <f t="shared" si="8"/>
        <v>-24568.75</v>
      </c>
      <c r="R73" s="54">
        <f t="shared" si="8"/>
        <v>69248.3125</v>
      </c>
      <c r="S73" s="54">
        <f t="shared" si="8"/>
        <v>64436.5</v>
      </c>
      <c r="T73" s="54">
        <f t="shared" si="8"/>
        <v>-60148.125</v>
      </c>
      <c r="U73" s="54">
        <f t="shared" si="8"/>
        <v>-29437.5</v>
      </c>
      <c r="V73" s="54">
        <f t="shared" si="8"/>
        <v>91637.578125</v>
      </c>
      <c r="W73" s="54">
        <f t="shared" si="8"/>
        <v>81091.306249999994</v>
      </c>
      <c r="X73" s="54">
        <f t="shared" si="8"/>
        <v>219781.14375000002</v>
      </c>
      <c r="Y73" s="54">
        <f>SUM(Y7:Y39)</f>
        <v>8738.65</v>
      </c>
      <c r="Z73" s="46">
        <f>+Z11+Z15+Z19+Z28+Z36</f>
        <v>1486.75</v>
      </c>
    </row>
    <row r="75" spans="1:66" ht="18" x14ac:dyDescent="0.25">
      <c r="A75" s="55"/>
      <c r="B75" s="56" t="s">
        <v>65</v>
      </c>
      <c r="C75" s="57"/>
      <c r="D75" s="57"/>
      <c r="E75" s="57"/>
      <c r="F75" s="58" t="s">
        <v>66</v>
      </c>
      <c r="G75" s="59"/>
      <c r="H75" s="59"/>
      <c r="I75" s="59"/>
      <c r="J75" s="59" t="s">
        <v>237</v>
      </c>
      <c r="K75" s="59"/>
      <c r="L75" s="60"/>
      <c r="M75" s="60"/>
      <c r="N75" s="60"/>
      <c r="O75" s="60"/>
      <c r="P75" s="60"/>
      <c r="Q75" s="60"/>
      <c r="R75" s="60"/>
      <c r="S75" s="60"/>
      <c r="T75" s="60"/>
      <c r="U75" s="60"/>
      <c r="W75" s="60"/>
      <c r="X75" s="61"/>
      <c r="Y75" s="61"/>
    </row>
    <row r="76" spans="1:66" ht="39" x14ac:dyDescent="0.25">
      <c r="A76" s="62" t="s">
        <v>67</v>
      </c>
      <c r="B76" s="63" t="s">
        <v>68</v>
      </c>
      <c r="C76" s="63" t="s">
        <v>50</v>
      </c>
      <c r="D76" s="64" t="s">
        <v>69</v>
      </c>
      <c r="E76" s="63" t="s">
        <v>47</v>
      </c>
      <c r="F76" s="65" t="s">
        <v>70</v>
      </c>
      <c r="G76" s="65" t="s">
        <v>50</v>
      </c>
      <c r="H76" s="65" t="s">
        <v>71</v>
      </c>
      <c r="I76" s="65" t="s">
        <v>72</v>
      </c>
      <c r="J76" s="55" t="s">
        <v>238</v>
      </c>
      <c r="K76" s="377" t="s">
        <v>239</v>
      </c>
      <c r="L76" s="377" t="s">
        <v>58</v>
      </c>
      <c r="M76" s="377" t="s">
        <v>59</v>
      </c>
      <c r="N76" s="377" t="s">
        <v>240</v>
      </c>
      <c r="O76" s="377" t="s">
        <v>61</v>
      </c>
      <c r="P76" s="377" t="s">
        <v>62</v>
      </c>
      <c r="Q76" s="377" t="s">
        <v>241</v>
      </c>
    </row>
    <row r="77" spans="1:66" x14ac:dyDescent="0.25">
      <c r="A77" s="66" t="s">
        <v>73</v>
      </c>
      <c r="B77" s="67">
        <f>Y7</f>
        <v>241.3</v>
      </c>
      <c r="C77" s="67">
        <f>Y11</f>
        <v>277.97500000000002</v>
      </c>
      <c r="D77" s="67">
        <f>Y15</f>
        <v>128</v>
      </c>
      <c r="E77" s="67">
        <f>Y19</f>
        <v>110.25</v>
      </c>
      <c r="F77" s="68">
        <f>Y24</f>
        <v>3515</v>
      </c>
      <c r="G77" s="69">
        <f>Y28</f>
        <v>3480</v>
      </c>
      <c r="H77" s="69">
        <f>Y32</f>
        <v>853.125</v>
      </c>
      <c r="I77" s="69">
        <f>Y36</f>
        <v>133</v>
      </c>
      <c r="J77" s="70"/>
    </row>
    <row r="78" spans="1:66" x14ac:dyDescent="0.25">
      <c r="A78" s="71" t="s">
        <v>74</v>
      </c>
      <c r="B78" s="72">
        <f>X8</f>
        <v>13318.525</v>
      </c>
      <c r="C78" s="72">
        <f>X12</f>
        <v>19534.653125000001</v>
      </c>
      <c r="D78" s="72">
        <f>X16</f>
        <v>10469.15625</v>
      </c>
      <c r="E78" s="72">
        <f>X20</f>
        <v>21113.75</v>
      </c>
      <c r="F78" s="69">
        <f>X25</f>
        <v>186021.875</v>
      </c>
      <c r="G78" s="69">
        <f>X29</f>
        <v>233205</v>
      </c>
      <c r="H78" s="69">
        <f>X33</f>
        <v>64986.309374999997</v>
      </c>
      <c r="I78" s="69">
        <f>X37</f>
        <v>21285.9375</v>
      </c>
      <c r="J78" s="70"/>
    </row>
    <row r="79" spans="1:66" x14ac:dyDescent="0.25">
      <c r="A79" s="71" t="s">
        <v>75</v>
      </c>
      <c r="B79" s="73" t="e">
        <f>(B77/J77)*100</f>
        <v>#DIV/0!</v>
      </c>
      <c r="C79" s="73" t="e">
        <f>(C77/J77)*100</f>
        <v>#DIV/0!</v>
      </c>
      <c r="D79" s="73" t="e">
        <f>(D77/J77)*100</f>
        <v>#DIV/0!</v>
      </c>
      <c r="E79" s="73" t="e">
        <f>(E77/J77)*100</f>
        <v>#DIV/0!</v>
      </c>
      <c r="F79" s="74" t="e">
        <f>(F77/J77)*100</f>
        <v>#DIV/0!</v>
      </c>
      <c r="G79" s="74" t="e">
        <f>(G77/J77)*100</f>
        <v>#DIV/0!</v>
      </c>
      <c r="H79" s="74" t="e">
        <f>(H77/J77)*100</f>
        <v>#DIV/0!</v>
      </c>
      <c r="I79" s="74" t="e">
        <f>(I77/J77)*100</f>
        <v>#DIV/0!</v>
      </c>
      <c r="J79" s="55"/>
    </row>
    <row r="80" spans="1:66" x14ac:dyDescent="0.25">
      <c r="A80" s="71" t="s">
        <v>76</v>
      </c>
      <c r="B80" s="73" t="e">
        <f>(B78/J78)*100</f>
        <v>#DIV/0!</v>
      </c>
      <c r="C80" s="73" t="e">
        <f>(C78/J78)*100</f>
        <v>#DIV/0!</v>
      </c>
      <c r="D80" s="73" t="e">
        <f>(D78/J78)*100</f>
        <v>#DIV/0!</v>
      </c>
      <c r="E80" s="73" t="e">
        <f>(E78/J78)*100</f>
        <v>#DIV/0!</v>
      </c>
      <c r="F80" s="74" t="e">
        <f>(F78/J78)*100</f>
        <v>#DIV/0!</v>
      </c>
      <c r="G80" s="74" t="e">
        <f>(G78/J78)*100</f>
        <v>#DIV/0!</v>
      </c>
      <c r="H80" s="74" t="e">
        <f>(H78/J78)*100</f>
        <v>#DIV/0!</v>
      </c>
      <c r="I80" s="74" t="e">
        <f>(I78/J78)*100</f>
        <v>#DIV/0!</v>
      </c>
      <c r="J80" s="55"/>
    </row>
    <row r="81" spans="1:66" x14ac:dyDescent="0.25">
      <c r="A81" s="71" t="s">
        <v>77</v>
      </c>
      <c r="B81" s="72">
        <f>X9</f>
        <v>8793.75</v>
      </c>
      <c r="C81" s="72">
        <f>X13</f>
        <v>10784.375</v>
      </c>
      <c r="D81" s="72">
        <f>X17</f>
        <v>7172.5</v>
      </c>
      <c r="E81" s="72">
        <f>X21</f>
        <v>15240</v>
      </c>
      <c r="F81" s="69">
        <f>X26</f>
        <v>97906.25</v>
      </c>
      <c r="G81" s="69">
        <f>X30</f>
        <v>137700</v>
      </c>
      <c r="H81" s="69">
        <f>X34</f>
        <v>51271.25</v>
      </c>
      <c r="I81" s="69">
        <f>X38</f>
        <v>16183.75</v>
      </c>
      <c r="J81" s="55"/>
    </row>
    <row r="82" spans="1:66" x14ac:dyDescent="0.25">
      <c r="A82" s="71" t="s">
        <v>78</v>
      </c>
      <c r="B82" s="75">
        <f>Z7</f>
        <v>58.9</v>
      </c>
      <c r="C82" s="75">
        <f>Z11</f>
        <v>73.125</v>
      </c>
      <c r="D82" s="75">
        <f>Z15</f>
        <v>34.125</v>
      </c>
      <c r="E82" s="75">
        <f>Z19</f>
        <v>47.5</v>
      </c>
      <c r="F82" s="76">
        <f>Z24</f>
        <v>950</v>
      </c>
      <c r="G82" s="76">
        <f>Z28</f>
        <v>1275</v>
      </c>
      <c r="H82" s="76">
        <f>Z32</f>
        <v>341.25</v>
      </c>
      <c r="I82" s="76">
        <f>Z36</f>
        <v>57</v>
      </c>
      <c r="J82" s="55"/>
    </row>
    <row r="83" spans="1:66" x14ac:dyDescent="0.25">
      <c r="A83" s="71" t="s">
        <v>79</v>
      </c>
      <c r="B83" s="72">
        <f>+B78-B81</f>
        <v>4524.7749999999996</v>
      </c>
      <c r="C83" s="72">
        <f t="shared" ref="C83:I83" si="9">+C78-C81</f>
        <v>8750.2781250000007</v>
      </c>
      <c r="D83" s="72">
        <f t="shared" si="9"/>
        <v>3296.65625</v>
      </c>
      <c r="E83" s="72">
        <f t="shared" si="9"/>
        <v>5873.75</v>
      </c>
      <c r="F83" s="69">
        <f t="shared" si="9"/>
        <v>88115.625</v>
      </c>
      <c r="G83" s="69">
        <f t="shared" si="9"/>
        <v>95505</v>
      </c>
      <c r="H83" s="69">
        <f t="shared" si="9"/>
        <v>13715.059374999997</v>
      </c>
      <c r="I83" s="69">
        <f t="shared" si="9"/>
        <v>5102.1875</v>
      </c>
      <c r="J83" s="70"/>
    </row>
    <row r="84" spans="1:66" x14ac:dyDescent="0.25">
      <c r="A84" s="71" t="s">
        <v>80</v>
      </c>
      <c r="B84" s="77">
        <f t="shared" ref="B84:I84" si="10">+B83/B81</f>
        <v>0.51454442075337592</v>
      </c>
      <c r="C84" s="77">
        <f t="shared" si="10"/>
        <v>0.81138481599536372</v>
      </c>
      <c r="D84" s="77">
        <f t="shared" si="10"/>
        <v>0.45962443360055766</v>
      </c>
      <c r="E84" s="77">
        <f t="shared" si="10"/>
        <v>0.38541666666666669</v>
      </c>
      <c r="F84" s="78">
        <f t="shared" si="10"/>
        <v>0.9</v>
      </c>
      <c r="G84" s="78">
        <f t="shared" si="10"/>
        <v>0.69357298474945539</v>
      </c>
      <c r="H84" s="78">
        <f t="shared" si="10"/>
        <v>0.26749999999999996</v>
      </c>
      <c r="I84" s="78">
        <f t="shared" si="10"/>
        <v>0.31526608480729129</v>
      </c>
      <c r="J84" s="55"/>
    </row>
    <row r="85" spans="1:66" x14ac:dyDescent="0.25">
      <c r="A85" s="71" t="s">
        <v>81</v>
      </c>
      <c r="B85" s="79">
        <f t="shared" ref="B85:I85" si="11">+B83/B77</f>
        <v>18.751657687525899</v>
      </c>
      <c r="C85" s="79">
        <f t="shared" si="11"/>
        <v>31.478651407500674</v>
      </c>
      <c r="D85" s="79">
        <f t="shared" si="11"/>
        <v>25.755126953125</v>
      </c>
      <c r="E85" s="64">
        <f t="shared" si="11"/>
        <v>53.276643990929706</v>
      </c>
      <c r="F85" s="80">
        <f t="shared" si="11"/>
        <v>25.068456614509245</v>
      </c>
      <c r="G85" s="80">
        <f t="shared" si="11"/>
        <v>27.443965517241381</v>
      </c>
      <c r="H85" s="80">
        <f t="shared" si="11"/>
        <v>16.07626007326007</v>
      </c>
      <c r="I85" s="80">
        <f t="shared" si="11"/>
        <v>38.362312030075188</v>
      </c>
      <c r="J85" s="55"/>
    </row>
    <row r="86" spans="1:66" x14ac:dyDescent="0.25">
      <c r="A86" s="81"/>
      <c r="B86" s="82"/>
      <c r="C86" s="82"/>
      <c r="D86" s="82"/>
      <c r="E86" s="81"/>
      <c r="F86" s="82"/>
      <c r="G86" s="82"/>
      <c r="H86" s="82"/>
      <c r="I86" s="82"/>
      <c r="J86" s="82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</row>
    <row r="87" spans="1:66" x14ac:dyDescent="0.25">
      <c r="A87" s="81"/>
      <c r="B87" s="82"/>
      <c r="C87" s="82"/>
      <c r="D87" s="82"/>
      <c r="E87" s="81"/>
      <c r="F87" s="82"/>
      <c r="G87" s="82"/>
      <c r="H87" s="82"/>
      <c r="I87" s="82"/>
      <c r="J87" s="82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</row>
    <row r="88" spans="1:66" x14ac:dyDescent="0.25">
      <c r="A88" s="81"/>
      <c r="B88" s="82"/>
      <c r="C88" s="82"/>
      <c r="D88" s="82"/>
      <c r="E88" s="81"/>
      <c r="F88" s="82"/>
      <c r="G88" s="82"/>
      <c r="H88" s="82"/>
      <c r="I88" s="82"/>
      <c r="J88" s="82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</row>
    <row r="89" spans="1:66" ht="18" x14ac:dyDescent="0.25">
      <c r="A89" s="380" t="s">
        <v>82</v>
      </c>
      <c r="B89" s="382" t="s">
        <v>65</v>
      </c>
      <c r="C89" s="383"/>
      <c r="D89" s="383"/>
      <c r="E89" s="384"/>
      <c r="F89" s="385" t="s">
        <v>66</v>
      </c>
      <c r="G89" s="385"/>
      <c r="H89" s="385"/>
      <c r="I89" s="38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</row>
    <row r="90" spans="1:66" ht="39" x14ac:dyDescent="0.25">
      <c r="A90" s="381"/>
      <c r="B90" s="63" t="s">
        <v>83</v>
      </c>
      <c r="C90" s="63" t="s">
        <v>50</v>
      </c>
      <c r="D90" s="83" t="s">
        <v>84</v>
      </c>
      <c r="E90" s="63" t="s">
        <v>47</v>
      </c>
      <c r="F90" s="65" t="s">
        <v>70</v>
      </c>
      <c r="G90" s="65" t="s">
        <v>50</v>
      </c>
      <c r="H90" s="65" t="s">
        <v>71</v>
      </c>
      <c r="I90" s="65" t="s">
        <v>72</v>
      </c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</row>
    <row r="91" spans="1:66" x14ac:dyDescent="0.25">
      <c r="A91" s="71" t="s">
        <v>85</v>
      </c>
      <c r="B91" s="75">
        <f>+G7</f>
        <v>35.15</v>
      </c>
      <c r="C91" s="75">
        <f>E11</f>
        <v>34</v>
      </c>
      <c r="D91" s="75">
        <f>+F15</f>
        <v>10.45</v>
      </c>
      <c r="E91" s="75">
        <f>+E19</f>
        <v>0.95</v>
      </c>
      <c r="F91" s="76">
        <f>+G24</f>
        <v>475</v>
      </c>
      <c r="G91" s="76">
        <f>+E28</f>
        <v>156.75</v>
      </c>
      <c r="H91" s="76">
        <f>+G32</f>
        <v>60.45</v>
      </c>
      <c r="I91" s="71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</row>
    <row r="92" spans="1:66" x14ac:dyDescent="0.25">
      <c r="A92" s="71" t="s">
        <v>86</v>
      </c>
      <c r="B92" s="75">
        <f>+K7</f>
        <v>42.75</v>
      </c>
      <c r="C92" s="75">
        <f>+J11</f>
        <v>44.1</v>
      </c>
      <c r="D92" s="75">
        <f>+J15</f>
        <v>24.375</v>
      </c>
      <c r="E92" s="75">
        <f>+J19</f>
        <v>9.5</v>
      </c>
      <c r="F92" s="76">
        <f>+K24</f>
        <v>570</v>
      </c>
      <c r="G92" s="76">
        <f>+J28</f>
        <v>490</v>
      </c>
      <c r="H92" s="76">
        <f>+K32</f>
        <v>97.5</v>
      </c>
      <c r="I92" s="76">
        <f>+J36</f>
        <v>14.25</v>
      </c>
    </row>
    <row r="93" spans="1:66" x14ac:dyDescent="0.25">
      <c r="A93" s="71" t="s">
        <v>87</v>
      </c>
      <c r="B93" s="75">
        <f>+O7</f>
        <v>47.5</v>
      </c>
      <c r="C93" s="75">
        <f>N11</f>
        <v>58.5</v>
      </c>
      <c r="D93" s="75">
        <f>+N15</f>
        <v>26.324999999999999</v>
      </c>
      <c r="E93" s="75">
        <f>+N19</f>
        <v>19</v>
      </c>
      <c r="F93" s="76">
        <f>+O24</f>
        <v>712.5</v>
      </c>
      <c r="G93" s="76">
        <f>+N28</f>
        <v>735</v>
      </c>
      <c r="H93" s="76">
        <f>+O32</f>
        <v>170.625</v>
      </c>
      <c r="I93" s="76">
        <f>+N36</f>
        <v>23.75</v>
      </c>
    </row>
    <row r="94" spans="1:66" x14ac:dyDescent="0.25">
      <c r="A94" s="71" t="s">
        <v>88</v>
      </c>
      <c r="B94" s="84">
        <f>+S7</f>
        <v>57</v>
      </c>
      <c r="C94" s="75">
        <f>+R11</f>
        <v>68.25</v>
      </c>
      <c r="D94" s="75">
        <f>+R15</f>
        <v>29.25</v>
      </c>
      <c r="E94" s="75">
        <f>+R19</f>
        <v>33.25</v>
      </c>
      <c r="F94" s="76">
        <f>+S24</f>
        <v>807.5</v>
      </c>
      <c r="G94" s="76">
        <f>+R28</f>
        <v>980</v>
      </c>
      <c r="H94" s="76">
        <f>+S32</f>
        <v>243.75</v>
      </c>
      <c r="I94" s="76">
        <f>+R36</f>
        <v>38</v>
      </c>
    </row>
    <row r="95" spans="1:66" x14ac:dyDescent="0.25">
      <c r="A95" s="71" t="s">
        <v>89</v>
      </c>
      <c r="B95" s="75">
        <f>+W7</f>
        <v>58.9</v>
      </c>
      <c r="C95" s="75">
        <f>+V11</f>
        <v>73.125</v>
      </c>
      <c r="D95" s="75">
        <f>+V15</f>
        <v>34.125</v>
      </c>
      <c r="E95" s="75">
        <f>+V19</f>
        <v>47.5</v>
      </c>
      <c r="F95" s="76">
        <f>+W24</f>
        <v>950</v>
      </c>
      <c r="G95" s="76">
        <f>+V28</f>
        <v>1275</v>
      </c>
      <c r="H95" s="76">
        <f>+W32</f>
        <v>341.25</v>
      </c>
      <c r="I95" s="76">
        <f>+V36</f>
        <v>57</v>
      </c>
    </row>
    <row r="96" spans="1:66" x14ac:dyDescent="0.25">
      <c r="A96" s="71" t="s">
        <v>90</v>
      </c>
      <c r="B96" s="75">
        <f t="shared" ref="B96:I96" si="12">SUM(B91:B95)</f>
        <v>241.3</v>
      </c>
      <c r="C96" s="75">
        <f t="shared" si="12"/>
        <v>277.97500000000002</v>
      </c>
      <c r="D96" s="75">
        <f t="shared" si="12"/>
        <v>124.52500000000001</v>
      </c>
      <c r="E96" s="75">
        <f t="shared" si="12"/>
        <v>110.2</v>
      </c>
      <c r="F96" s="76">
        <f t="shared" si="12"/>
        <v>3515</v>
      </c>
      <c r="G96" s="76">
        <f t="shared" si="12"/>
        <v>3636.75</v>
      </c>
      <c r="H96" s="76">
        <f t="shared" si="12"/>
        <v>913.57500000000005</v>
      </c>
      <c r="I96" s="76">
        <f t="shared" si="12"/>
        <v>133</v>
      </c>
    </row>
    <row r="97" spans="1:9" x14ac:dyDescent="0.25">
      <c r="A97" s="71"/>
      <c r="B97" s="64"/>
      <c r="C97" s="64"/>
      <c r="D97" s="64"/>
      <c r="E97" s="64"/>
      <c r="F97" s="71"/>
      <c r="G97" s="71"/>
      <c r="H97" s="71"/>
      <c r="I97" s="71"/>
    </row>
  </sheetData>
  <mergeCells count="8">
    <mergeCell ref="L2:O2"/>
    <mergeCell ref="P2:S2"/>
    <mergeCell ref="T2:W2"/>
    <mergeCell ref="A89:A90"/>
    <mergeCell ref="B89:E89"/>
    <mergeCell ref="F89:I89"/>
    <mergeCell ref="D2:G2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workbookViewId="0">
      <selection activeCell="H16" sqref="H16"/>
    </sheetView>
  </sheetViews>
  <sheetFormatPr defaultRowHeight="15" x14ac:dyDescent="0.25"/>
  <cols>
    <col min="1" max="1" width="29" customWidth="1"/>
    <col min="2" max="2" width="9.140625" customWidth="1"/>
    <col min="3" max="3" width="11.7109375" customWidth="1"/>
    <col min="4" max="4" width="9.85546875" customWidth="1"/>
    <col min="5" max="5" width="10.7109375" customWidth="1"/>
    <col min="6" max="6" width="12.140625" customWidth="1"/>
    <col min="7" max="7" width="9.42578125" customWidth="1"/>
    <col min="8" max="8" width="8.7109375" customWidth="1"/>
    <col min="9" max="9" width="8.85546875" customWidth="1"/>
    <col min="10" max="11" width="10.42578125" bestFit="1" customWidth="1"/>
    <col min="12" max="13" width="13" bestFit="1" customWidth="1"/>
    <col min="14" max="14" width="10.42578125" bestFit="1" customWidth="1"/>
    <col min="15" max="15" width="11.5703125" bestFit="1" customWidth="1"/>
    <col min="16" max="30" width="10.42578125" bestFit="1" customWidth="1"/>
    <col min="31" max="31" width="12.28515625" bestFit="1" customWidth="1"/>
  </cols>
  <sheetData>
    <row r="1" spans="1:31" ht="18" x14ac:dyDescent="0.25">
      <c r="A1" s="388" t="s">
        <v>91</v>
      </c>
      <c r="B1" s="388"/>
      <c r="C1" s="388"/>
      <c r="D1" s="388"/>
      <c r="E1" s="388"/>
      <c r="F1" s="387" t="s">
        <v>92</v>
      </c>
      <c r="G1" s="387"/>
      <c r="H1" s="387"/>
      <c r="I1" s="387"/>
      <c r="J1" s="85"/>
      <c r="K1" s="387" t="s">
        <v>93</v>
      </c>
      <c r="L1" s="387"/>
      <c r="M1" s="387"/>
      <c r="N1" s="387"/>
      <c r="O1" s="85"/>
      <c r="P1" s="387" t="s">
        <v>94</v>
      </c>
      <c r="Q1" s="387"/>
      <c r="R1" s="387"/>
      <c r="S1" s="387"/>
      <c r="T1" s="85"/>
      <c r="U1" s="387" t="s">
        <v>95</v>
      </c>
      <c r="V1" s="387"/>
      <c r="W1" s="387"/>
      <c r="X1" s="387"/>
      <c r="Y1" s="85"/>
      <c r="Z1" s="387" t="s">
        <v>96</v>
      </c>
      <c r="AA1" s="387"/>
      <c r="AB1" s="387"/>
      <c r="AC1" s="387"/>
      <c r="AD1" s="86"/>
      <c r="AE1" s="4"/>
    </row>
    <row r="2" spans="1:31" ht="30" x14ac:dyDescent="0.4">
      <c r="A2" s="87"/>
      <c r="B2" s="87"/>
      <c r="C2" s="87"/>
      <c r="D2" s="87"/>
      <c r="E2" s="87"/>
      <c r="F2" s="88" t="s">
        <v>7</v>
      </c>
      <c r="G2" s="88" t="s">
        <v>8</v>
      </c>
      <c r="H2" s="88" t="s">
        <v>9</v>
      </c>
      <c r="I2" s="88" t="s">
        <v>10</v>
      </c>
      <c r="J2" s="89" t="s">
        <v>90</v>
      </c>
      <c r="K2" s="90" t="s">
        <v>11</v>
      </c>
      <c r="L2" s="90" t="s">
        <v>12</v>
      </c>
      <c r="M2" s="90" t="s">
        <v>13</v>
      </c>
      <c r="N2" s="90" t="s">
        <v>14</v>
      </c>
      <c r="O2" s="89" t="s">
        <v>90</v>
      </c>
      <c r="P2" s="90" t="s">
        <v>15</v>
      </c>
      <c r="Q2" s="90" t="s">
        <v>16</v>
      </c>
      <c r="R2" s="90" t="s">
        <v>17</v>
      </c>
      <c r="S2" s="90" t="s">
        <v>18</v>
      </c>
      <c r="T2" s="89" t="s">
        <v>90</v>
      </c>
      <c r="U2" s="90" t="s">
        <v>19</v>
      </c>
      <c r="V2" s="90" t="s">
        <v>20</v>
      </c>
      <c r="W2" s="90" t="s">
        <v>21</v>
      </c>
      <c r="X2" s="90" t="s">
        <v>22</v>
      </c>
      <c r="Y2" s="89" t="s">
        <v>90</v>
      </c>
      <c r="Z2" s="90" t="s">
        <v>23</v>
      </c>
      <c r="AA2" s="90" t="s">
        <v>24</v>
      </c>
      <c r="AB2" s="90" t="s">
        <v>25</v>
      </c>
      <c r="AC2" s="90" t="s">
        <v>26</v>
      </c>
      <c r="AD2" s="91" t="s">
        <v>90</v>
      </c>
      <c r="AE2" s="92" t="s">
        <v>97</v>
      </c>
    </row>
    <row r="3" spans="1:31" ht="15.75" x14ac:dyDescent="0.25">
      <c r="A3" s="93" t="s">
        <v>98</v>
      </c>
      <c r="B3" s="85" t="s">
        <v>99</v>
      </c>
      <c r="C3" s="85" t="s">
        <v>100</v>
      </c>
      <c r="D3" s="85" t="s">
        <v>101</v>
      </c>
      <c r="E3" s="85" t="s">
        <v>90</v>
      </c>
      <c r="F3" s="94" t="s">
        <v>31</v>
      </c>
      <c r="G3" s="94" t="s">
        <v>32</v>
      </c>
      <c r="H3" s="94" t="s">
        <v>33</v>
      </c>
      <c r="I3" s="94" t="s">
        <v>34</v>
      </c>
      <c r="J3" s="95" t="s">
        <v>102</v>
      </c>
      <c r="K3" s="94" t="s">
        <v>31</v>
      </c>
      <c r="L3" s="94" t="s">
        <v>32</v>
      </c>
      <c r="M3" s="94" t="s">
        <v>33</v>
      </c>
      <c r="N3" s="94" t="s">
        <v>34</v>
      </c>
      <c r="O3" s="95" t="s">
        <v>103</v>
      </c>
      <c r="P3" s="94" t="s">
        <v>31</v>
      </c>
      <c r="Q3" s="94" t="s">
        <v>32</v>
      </c>
      <c r="R3" s="94" t="s">
        <v>33</v>
      </c>
      <c r="S3" s="94" t="s">
        <v>34</v>
      </c>
      <c r="T3" s="95" t="s">
        <v>104</v>
      </c>
      <c r="U3" s="94" t="s">
        <v>31</v>
      </c>
      <c r="V3" s="94" t="s">
        <v>32</v>
      </c>
      <c r="W3" s="94" t="s">
        <v>33</v>
      </c>
      <c r="X3" s="94" t="s">
        <v>34</v>
      </c>
      <c r="Y3" s="95" t="s">
        <v>105</v>
      </c>
      <c r="Z3" s="94" t="s">
        <v>31</v>
      </c>
      <c r="AA3" s="94" t="s">
        <v>32</v>
      </c>
      <c r="AB3" s="94" t="s">
        <v>33</v>
      </c>
      <c r="AC3" s="94" t="s">
        <v>34</v>
      </c>
      <c r="AD3" s="96" t="s">
        <v>106</v>
      </c>
      <c r="AE3" s="97" t="s">
        <v>90</v>
      </c>
    </row>
    <row r="4" spans="1:31" ht="16.5" thickBot="1" x14ac:dyDescent="0.3">
      <c r="A4" s="98" t="s">
        <v>107</v>
      </c>
      <c r="B4" s="98"/>
      <c r="C4" s="98"/>
      <c r="D4" s="98" t="s">
        <v>36</v>
      </c>
      <c r="E4" s="99"/>
      <c r="F4" s="7" t="s">
        <v>36</v>
      </c>
      <c r="G4" s="7" t="s">
        <v>36</v>
      </c>
      <c r="H4" s="7" t="s">
        <v>36</v>
      </c>
      <c r="I4" s="7" t="s">
        <v>36</v>
      </c>
      <c r="J4" s="7"/>
      <c r="K4" s="7" t="s">
        <v>36</v>
      </c>
      <c r="L4" s="7" t="s">
        <v>36</v>
      </c>
      <c r="M4" s="7" t="s">
        <v>36</v>
      </c>
      <c r="N4" s="7" t="s">
        <v>36</v>
      </c>
      <c r="O4" s="7"/>
      <c r="P4" s="7" t="s">
        <v>36</v>
      </c>
      <c r="Q4" s="7" t="s">
        <v>36</v>
      </c>
      <c r="R4" s="7" t="s">
        <v>36</v>
      </c>
      <c r="S4" s="7" t="s">
        <v>36</v>
      </c>
      <c r="T4" s="7"/>
      <c r="U4" s="7" t="s">
        <v>36</v>
      </c>
      <c r="V4" s="7" t="s">
        <v>36</v>
      </c>
      <c r="W4" s="7" t="s">
        <v>36</v>
      </c>
      <c r="X4" s="7" t="s">
        <v>36</v>
      </c>
      <c r="Y4" s="7"/>
      <c r="Z4" s="7" t="s">
        <v>36</v>
      </c>
      <c r="AA4" s="7" t="s">
        <v>36</v>
      </c>
      <c r="AB4" s="7" t="s">
        <v>36</v>
      </c>
      <c r="AC4" s="7" t="s">
        <v>36</v>
      </c>
      <c r="AD4" s="86"/>
      <c r="AE4" s="4"/>
    </row>
    <row r="5" spans="1:31" ht="15.75" thickBot="1" x14ac:dyDescent="0.3">
      <c r="A5" s="100"/>
      <c r="B5" s="101"/>
      <c r="C5" s="101"/>
      <c r="D5" s="102"/>
      <c r="E5" s="103"/>
      <c r="F5" s="104"/>
      <c r="G5" s="104"/>
      <c r="H5" s="104"/>
      <c r="I5" s="104"/>
      <c r="J5" s="105"/>
      <c r="K5" s="104"/>
      <c r="L5" s="104"/>
      <c r="M5" s="104"/>
      <c r="N5" s="104"/>
      <c r="O5" s="105"/>
      <c r="P5" s="104"/>
      <c r="Q5" s="104"/>
      <c r="R5" s="104"/>
      <c r="S5" s="104"/>
      <c r="T5" s="105"/>
      <c r="U5" s="104"/>
      <c r="V5" s="104"/>
      <c r="W5" s="104"/>
      <c r="X5" s="104"/>
      <c r="Y5" s="105">
        <f t="shared" ref="Y5:Y52" si="0">SUM(U5:X5)</f>
        <v>0</v>
      </c>
      <c r="Z5" s="104"/>
      <c r="AA5" s="104"/>
      <c r="AB5" s="104"/>
      <c r="AC5" s="104"/>
      <c r="AD5" s="106">
        <f t="shared" ref="AD5:AD52" si="1">SUM(Z5:AC5)</f>
        <v>0</v>
      </c>
      <c r="AE5" s="107">
        <f>SUM(F5:AC5)</f>
        <v>0</v>
      </c>
    </row>
    <row r="6" spans="1:31" ht="15.75" thickBot="1" x14ac:dyDescent="0.3">
      <c r="A6" s="108" t="s">
        <v>108</v>
      </c>
      <c r="B6" s="109" t="s">
        <v>109</v>
      </c>
      <c r="C6" s="110">
        <v>1</v>
      </c>
      <c r="D6" s="111">
        <f>6000</f>
        <v>6000</v>
      </c>
      <c r="E6" s="112">
        <f>D6*C6</f>
        <v>6000</v>
      </c>
      <c r="F6" s="113">
        <v>1000</v>
      </c>
      <c r="G6" s="113">
        <v>500</v>
      </c>
      <c r="H6" s="113"/>
      <c r="I6" s="113"/>
      <c r="J6" s="114">
        <f>SUM(F6:I6)</f>
        <v>1500</v>
      </c>
      <c r="K6" s="113"/>
      <c r="L6" s="113"/>
      <c r="M6" s="113"/>
      <c r="N6" s="113"/>
      <c r="O6" s="114">
        <f t="shared" ref="O6:O52" si="2">SUM(K6:N6)</f>
        <v>0</v>
      </c>
      <c r="P6" s="113"/>
      <c r="Q6" s="113"/>
      <c r="R6" s="113"/>
      <c r="S6" s="113"/>
      <c r="T6" s="114">
        <f t="shared" ref="T6:T52" si="3">SUM(P6:S6)</f>
        <v>0</v>
      </c>
      <c r="U6" s="113"/>
      <c r="V6" s="113"/>
      <c r="W6" s="113"/>
      <c r="X6" s="113"/>
      <c r="Y6" s="105">
        <f t="shared" si="0"/>
        <v>0</v>
      </c>
      <c r="Z6" s="113"/>
      <c r="AA6" s="113"/>
      <c r="AB6" s="113"/>
      <c r="AC6" s="113"/>
      <c r="AD6" s="106">
        <f t="shared" si="1"/>
        <v>0</v>
      </c>
      <c r="AE6" s="115">
        <f t="shared" ref="AE6:AE54" si="4">AD6+Y6+T6+O6+J6</f>
        <v>1500</v>
      </c>
    </row>
    <row r="7" spans="1:31" ht="15.75" thickBot="1" x14ac:dyDescent="0.3">
      <c r="A7" s="116"/>
      <c r="B7" s="109"/>
      <c r="C7" s="110"/>
      <c r="D7" s="111"/>
      <c r="E7" s="112"/>
      <c r="F7" s="113"/>
      <c r="G7" s="113"/>
      <c r="H7" s="113"/>
      <c r="I7" s="113"/>
      <c r="J7" s="114"/>
      <c r="K7" s="113"/>
      <c r="L7" s="113"/>
      <c r="M7" s="113"/>
      <c r="N7" s="113"/>
      <c r="O7" s="114">
        <f t="shared" si="2"/>
        <v>0</v>
      </c>
      <c r="P7" s="113"/>
      <c r="Q7" s="113"/>
      <c r="R7" s="113"/>
      <c r="S7" s="113"/>
      <c r="T7" s="114">
        <f t="shared" si="3"/>
        <v>0</v>
      </c>
      <c r="U7" s="113"/>
      <c r="V7" s="113"/>
      <c r="W7" s="113"/>
      <c r="X7" s="113"/>
      <c r="Y7" s="105">
        <f t="shared" si="0"/>
        <v>0</v>
      </c>
      <c r="Z7" s="113"/>
      <c r="AA7" s="113"/>
      <c r="AB7" s="113"/>
      <c r="AC7" s="113"/>
      <c r="AD7" s="106">
        <f t="shared" si="1"/>
        <v>0</v>
      </c>
      <c r="AE7" s="117">
        <f t="shared" si="4"/>
        <v>0</v>
      </c>
    </row>
    <row r="8" spans="1:31" ht="15.75" thickBot="1" x14ac:dyDescent="0.3">
      <c r="A8" s="108" t="s">
        <v>110</v>
      </c>
      <c r="B8" s="118"/>
      <c r="C8" s="119"/>
      <c r="D8" s="120"/>
      <c r="E8" s="112"/>
      <c r="F8" s="113"/>
      <c r="G8" s="113"/>
      <c r="H8" s="113"/>
      <c r="I8" s="113"/>
      <c r="J8" s="114">
        <f t="shared" ref="J8:J14" si="5">SUM(F8:I8)</f>
        <v>0</v>
      </c>
      <c r="K8" s="113"/>
      <c r="L8" s="113"/>
      <c r="M8" s="113"/>
      <c r="N8" s="113"/>
      <c r="O8" s="114">
        <f t="shared" si="2"/>
        <v>0</v>
      </c>
      <c r="P8" s="113"/>
      <c r="Q8" s="113"/>
      <c r="R8" s="113"/>
      <c r="S8" s="113"/>
      <c r="T8" s="114">
        <f t="shared" si="3"/>
        <v>0</v>
      </c>
      <c r="U8" s="113"/>
      <c r="V8" s="113"/>
      <c r="W8" s="113"/>
      <c r="X8" s="113"/>
      <c r="Y8" s="105">
        <f t="shared" si="0"/>
        <v>0</v>
      </c>
      <c r="Z8" s="113"/>
      <c r="AA8" s="113"/>
      <c r="AB8" s="113"/>
      <c r="AC8" s="113"/>
      <c r="AD8" s="106">
        <f t="shared" si="1"/>
        <v>0</v>
      </c>
      <c r="AE8" s="117">
        <f t="shared" si="4"/>
        <v>0</v>
      </c>
    </row>
    <row r="9" spans="1:31" ht="15.75" thickBot="1" x14ac:dyDescent="0.3">
      <c r="A9" s="121" t="s">
        <v>111</v>
      </c>
      <c r="B9" s="109"/>
      <c r="C9" s="110">
        <v>1</v>
      </c>
      <c r="D9" s="122">
        <v>3000</v>
      </c>
      <c r="E9" s="112">
        <f>C9*D9</f>
        <v>3000</v>
      </c>
      <c r="F9" s="113"/>
      <c r="G9" s="113"/>
      <c r="H9" s="113"/>
      <c r="I9" s="113"/>
      <c r="J9" s="114"/>
      <c r="K9" s="113"/>
      <c r="L9" s="113">
        <v>100</v>
      </c>
      <c r="M9" s="113"/>
      <c r="N9" s="113">
        <v>100</v>
      </c>
      <c r="O9" s="114">
        <f t="shared" si="2"/>
        <v>200</v>
      </c>
      <c r="P9" s="113">
        <v>100</v>
      </c>
      <c r="Q9" s="113"/>
      <c r="R9" s="113"/>
      <c r="S9" s="113"/>
      <c r="T9" s="114">
        <f t="shared" si="3"/>
        <v>100</v>
      </c>
      <c r="U9" s="113"/>
      <c r="V9" s="113"/>
      <c r="W9" s="113"/>
      <c r="X9" s="113"/>
      <c r="Y9" s="105">
        <f t="shared" si="0"/>
        <v>0</v>
      </c>
      <c r="Z9" s="113"/>
      <c r="AA9" s="113"/>
      <c r="AB9" s="113"/>
      <c r="AC9" s="113"/>
      <c r="AD9" s="106">
        <f t="shared" si="1"/>
        <v>0</v>
      </c>
      <c r="AE9" s="117">
        <f t="shared" si="4"/>
        <v>300</v>
      </c>
    </row>
    <row r="10" spans="1:31" ht="15.75" thickBot="1" x14ac:dyDescent="0.3">
      <c r="A10" s="123" t="s">
        <v>112</v>
      </c>
      <c r="B10" s="124" t="s">
        <v>113</v>
      </c>
      <c r="C10" s="124">
        <v>2000</v>
      </c>
      <c r="D10" s="125">
        <f>2000/1000</f>
        <v>2</v>
      </c>
      <c r="E10" s="126">
        <f>C10*D10</f>
        <v>4000</v>
      </c>
      <c r="F10" s="127"/>
      <c r="G10" s="127">
        <v>2000</v>
      </c>
      <c r="H10" s="127">
        <v>1000</v>
      </c>
      <c r="I10" s="127">
        <v>1000</v>
      </c>
      <c r="J10" s="128">
        <f t="shared" si="5"/>
        <v>4000</v>
      </c>
      <c r="K10" s="127"/>
      <c r="L10" s="127"/>
      <c r="M10" s="127"/>
      <c r="N10" s="127"/>
      <c r="O10" s="128">
        <f t="shared" si="2"/>
        <v>0</v>
      </c>
      <c r="P10" s="127"/>
      <c r="Q10" s="127"/>
      <c r="R10" s="127"/>
      <c r="S10" s="127"/>
      <c r="T10" s="128">
        <f t="shared" si="3"/>
        <v>0</v>
      </c>
      <c r="U10" s="127"/>
      <c r="V10" s="127"/>
      <c r="W10" s="127"/>
      <c r="X10" s="127"/>
      <c r="Y10" s="129">
        <f t="shared" si="0"/>
        <v>0</v>
      </c>
      <c r="Z10" s="127"/>
      <c r="AA10" s="127"/>
      <c r="AB10" s="127"/>
      <c r="AC10" s="127"/>
      <c r="AD10" s="130">
        <f t="shared" si="1"/>
        <v>0</v>
      </c>
      <c r="AE10" s="131">
        <f t="shared" si="4"/>
        <v>4000</v>
      </c>
    </row>
    <row r="11" spans="1:31" ht="15.75" thickBot="1" x14ac:dyDescent="0.3">
      <c r="A11" s="123" t="s">
        <v>114</v>
      </c>
      <c r="B11" s="124" t="s">
        <v>115</v>
      </c>
      <c r="C11" s="124"/>
      <c r="D11" s="125"/>
      <c r="E11" s="126"/>
      <c r="F11" s="127"/>
      <c r="G11" s="127"/>
      <c r="H11" s="127"/>
      <c r="I11" s="127"/>
      <c r="J11" s="128"/>
      <c r="K11" s="127"/>
      <c r="L11" s="127"/>
      <c r="M11" s="127"/>
      <c r="N11" s="127"/>
      <c r="O11" s="128"/>
      <c r="P11" s="127"/>
      <c r="Q11" s="127"/>
      <c r="R11" s="127"/>
      <c r="S11" s="127"/>
      <c r="T11" s="128"/>
      <c r="U11" s="127"/>
      <c r="V11" s="127"/>
      <c r="W11" s="127"/>
      <c r="X11" s="127"/>
      <c r="Y11" s="129"/>
      <c r="Z11" s="127"/>
      <c r="AA11" s="127"/>
      <c r="AB11" s="127"/>
      <c r="AC11" s="127"/>
      <c r="AD11" s="130"/>
      <c r="AE11" s="131"/>
    </row>
    <row r="12" spans="1:31" ht="15.75" thickBot="1" x14ac:dyDescent="0.3">
      <c r="A12" s="123" t="s">
        <v>116</v>
      </c>
      <c r="B12" s="124" t="s">
        <v>117</v>
      </c>
      <c r="C12" s="124">
        <v>700</v>
      </c>
      <c r="D12" s="125">
        <f>1400/1000</f>
        <v>1.4</v>
      </c>
      <c r="E12" s="126">
        <v>700</v>
      </c>
      <c r="F12" s="127"/>
      <c r="G12" s="127"/>
      <c r="H12" s="127">
        <v>700</v>
      </c>
      <c r="I12" s="127"/>
      <c r="J12" s="128">
        <f t="shared" si="5"/>
        <v>700</v>
      </c>
      <c r="K12" s="127"/>
      <c r="L12" s="127"/>
      <c r="M12" s="127"/>
      <c r="N12" s="127"/>
      <c r="O12" s="128">
        <f t="shared" si="2"/>
        <v>0</v>
      </c>
      <c r="P12" s="127"/>
      <c r="Q12" s="127"/>
      <c r="R12" s="127"/>
      <c r="S12" s="127"/>
      <c r="T12" s="128">
        <f t="shared" si="3"/>
        <v>0</v>
      </c>
      <c r="U12" s="127"/>
      <c r="V12" s="127"/>
      <c r="W12" s="127"/>
      <c r="X12" s="127"/>
      <c r="Y12" s="129">
        <f t="shared" si="0"/>
        <v>0</v>
      </c>
      <c r="Z12" s="127"/>
      <c r="AA12" s="127"/>
      <c r="AB12" s="127"/>
      <c r="AC12" s="127"/>
      <c r="AD12" s="130">
        <f t="shared" si="1"/>
        <v>0</v>
      </c>
      <c r="AE12" s="131">
        <f t="shared" si="4"/>
        <v>700</v>
      </c>
    </row>
    <row r="13" spans="1:31" ht="15.75" thickBot="1" x14ac:dyDescent="0.3">
      <c r="A13" s="123" t="s">
        <v>118</v>
      </c>
      <c r="B13" s="124"/>
      <c r="C13" s="124">
        <v>1</v>
      </c>
      <c r="D13" s="125">
        <f>150000/1000</f>
        <v>150</v>
      </c>
      <c r="E13" s="126">
        <f>C13*D13</f>
        <v>150</v>
      </c>
      <c r="F13" s="127"/>
      <c r="G13" s="127"/>
      <c r="H13" s="127">
        <v>150</v>
      </c>
      <c r="I13" s="127"/>
      <c r="J13" s="128">
        <f t="shared" si="5"/>
        <v>150</v>
      </c>
      <c r="K13" s="127"/>
      <c r="L13" s="127"/>
      <c r="M13" s="127"/>
      <c r="N13" s="127"/>
      <c r="O13" s="128">
        <f t="shared" si="2"/>
        <v>0</v>
      </c>
      <c r="P13" s="127"/>
      <c r="Q13" s="127"/>
      <c r="R13" s="127"/>
      <c r="S13" s="127"/>
      <c r="T13" s="128">
        <f t="shared" si="3"/>
        <v>0</v>
      </c>
      <c r="U13" s="127"/>
      <c r="V13" s="127"/>
      <c r="W13" s="127"/>
      <c r="X13" s="127"/>
      <c r="Y13" s="129">
        <f t="shared" si="0"/>
        <v>0</v>
      </c>
      <c r="Z13" s="127"/>
      <c r="AA13" s="127"/>
      <c r="AB13" s="127"/>
      <c r="AC13" s="127"/>
      <c r="AD13" s="130">
        <f t="shared" si="1"/>
        <v>0</v>
      </c>
      <c r="AE13" s="131">
        <f t="shared" si="4"/>
        <v>150</v>
      </c>
    </row>
    <row r="14" spans="1:31" x14ac:dyDescent="0.25">
      <c r="A14" s="121" t="s">
        <v>119</v>
      </c>
      <c r="B14" s="109"/>
      <c r="C14" s="110">
        <v>1</v>
      </c>
      <c r="D14" s="122">
        <f>500000/1000</f>
        <v>500</v>
      </c>
      <c r="E14" s="112">
        <f>C14*D14</f>
        <v>500</v>
      </c>
      <c r="F14" s="113"/>
      <c r="G14" s="113"/>
      <c r="H14" s="113"/>
      <c r="I14" s="113"/>
      <c r="J14" s="114">
        <f t="shared" si="5"/>
        <v>0</v>
      </c>
      <c r="K14" s="113">
        <v>500</v>
      </c>
      <c r="L14" s="113">
        <v>0</v>
      </c>
      <c r="M14" s="113">
        <v>0</v>
      </c>
      <c r="N14" s="113">
        <v>0</v>
      </c>
      <c r="O14" s="114">
        <f t="shared" si="2"/>
        <v>500</v>
      </c>
      <c r="P14" s="113"/>
      <c r="Q14" s="113"/>
      <c r="R14" s="113"/>
      <c r="S14" s="113"/>
      <c r="T14" s="114">
        <f t="shared" si="3"/>
        <v>0</v>
      </c>
      <c r="U14" s="113"/>
      <c r="V14" s="113"/>
      <c r="W14" s="113"/>
      <c r="X14" s="113"/>
      <c r="Y14" s="105">
        <f t="shared" si="0"/>
        <v>0</v>
      </c>
      <c r="Z14" s="113"/>
      <c r="AA14" s="113"/>
      <c r="AB14" s="113"/>
      <c r="AC14" s="113"/>
      <c r="AD14" s="106">
        <f t="shared" si="1"/>
        <v>0</v>
      </c>
      <c r="AE14" s="117">
        <f t="shared" si="4"/>
        <v>500</v>
      </c>
    </row>
    <row r="15" spans="1:31" ht="15.75" thickBot="1" x14ac:dyDescent="0.3">
      <c r="A15" s="132" t="s">
        <v>120</v>
      </c>
      <c r="B15" s="118"/>
      <c r="C15" s="119"/>
      <c r="D15" s="120"/>
      <c r="E15" s="133">
        <f>SUM(E9:E14)</f>
        <v>8350</v>
      </c>
      <c r="F15" s="113"/>
      <c r="G15" s="113"/>
      <c r="H15" s="113"/>
      <c r="I15" s="113"/>
      <c r="J15" s="134">
        <f>SUM(J8:J14)</f>
        <v>4850</v>
      </c>
      <c r="K15" s="134"/>
      <c r="L15" s="134"/>
      <c r="M15" s="134"/>
      <c r="N15" s="134"/>
      <c r="O15" s="134">
        <f t="shared" si="2"/>
        <v>0</v>
      </c>
      <c r="P15" s="134">
        <f>SUM(P8:P14)</f>
        <v>100</v>
      </c>
      <c r="Q15" s="134">
        <f>SUM(Q8:Q14)</f>
        <v>0</v>
      </c>
      <c r="R15" s="134">
        <f>SUM(R8:R14)</f>
        <v>0</v>
      </c>
      <c r="S15" s="134">
        <f>SUM(S8:S14)</f>
        <v>0</v>
      </c>
      <c r="T15" s="134">
        <f t="shared" si="3"/>
        <v>100</v>
      </c>
      <c r="U15" s="134">
        <f>SUM(U8:U14)</f>
        <v>0</v>
      </c>
      <c r="V15" s="134">
        <f>SUM(V8:V14)</f>
        <v>0</v>
      </c>
      <c r="W15" s="134">
        <f>SUM(W8:W14)</f>
        <v>0</v>
      </c>
      <c r="X15" s="134">
        <f>SUM(X8:X14)</f>
        <v>0</v>
      </c>
      <c r="Y15" s="134">
        <f t="shared" si="0"/>
        <v>0</v>
      </c>
      <c r="Z15" s="134">
        <f>SUM(Z8:Z14)</f>
        <v>0</v>
      </c>
      <c r="AA15" s="134">
        <f>SUM(AA8:AA14)</f>
        <v>0</v>
      </c>
      <c r="AB15" s="134">
        <f>SUM(AB8:AB14)</f>
        <v>0</v>
      </c>
      <c r="AC15" s="134">
        <f>SUM(AC8:AC14)</f>
        <v>0</v>
      </c>
      <c r="AD15" s="134">
        <f t="shared" si="1"/>
        <v>0</v>
      </c>
      <c r="AE15" s="134">
        <f t="shared" si="4"/>
        <v>4950</v>
      </c>
    </row>
    <row r="16" spans="1:31" ht="16.5" thickTop="1" thickBot="1" x14ac:dyDescent="0.3">
      <c r="A16" s="116"/>
      <c r="B16" s="109"/>
      <c r="C16" s="110"/>
      <c r="D16" s="111"/>
      <c r="E16" s="112"/>
      <c r="F16" s="113"/>
      <c r="G16" s="113"/>
      <c r="H16" s="113"/>
      <c r="I16" s="113"/>
      <c r="J16" s="135">
        <f t="shared" ref="J16:J48" si="6">SUM(F16:I16)</f>
        <v>0</v>
      </c>
      <c r="K16" s="113"/>
      <c r="L16" s="113"/>
      <c r="M16" s="113"/>
      <c r="N16" s="113"/>
      <c r="O16" s="114">
        <f t="shared" si="2"/>
        <v>0</v>
      </c>
      <c r="P16" s="113"/>
      <c r="Q16" s="113"/>
      <c r="R16" s="113"/>
      <c r="S16" s="113"/>
      <c r="T16" s="114">
        <f t="shared" si="3"/>
        <v>0</v>
      </c>
      <c r="U16" s="113"/>
      <c r="V16" s="113"/>
      <c r="W16" s="113"/>
      <c r="X16" s="113"/>
      <c r="Y16" s="105">
        <f t="shared" si="0"/>
        <v>0</v>
      </c>
      <c r="Z16" s="113"/>
      <c r="AA16" s="113"/>
      <c r="AB16" s="113"/>
      <c r="AC16" s="113"/>
      <c r="AD16" s="106">
        <f t="shared" si="1"/>
        <v>0</v>
      </c>
      <c r="AE16" s="117">
        <f t="shared" si="4"/>
        <v>0</v>
      </c>
    </row>
    <row r="17" spans="1:31" ht="15.75" thickBot="1" x14ac:dyDescent="0.3">
      <c r="A17" s="108" t="s">
        <v>121</v>
      </c>
      <c r="B17" s="118"/>
      <c r="C17" s="119"/>
      <c r="D17" s="120"/>
      <c r="E17" s="112"/>
      <c r="F17" s="113"/>
      <c r="G17" s="113"/>
      <c r="H17" s="113"/>
      <c r="I17" s="113"/>
      <c r="J17" s="114">
        <f t="shared" si="6"/>
        <v>0</v>
      </c>
      <c r="K17" s="113"/>
      <c r="L17" s="113"/>
      <c r="M17" s="113"/>
      <c r="N17" s="113"/>
      <c r="O17" s="114">
        <f t="shared" si="2"/>
        <v>0</v>
      </c>
      <c r="P17" s="113"/>
      <c r="Q17" s="113"/>
      <c r="R17" s="113"/>
      <c r="S17" s="113"/>
      <c r="T17" s="114">
        <f t="shared" si="3"/>
        <v>0</v>
      </c>
      <c r="U17" s="113"/>
      <c r="V17" s="113"/>
      <c r="W17" s="113"/>
      <c r="X17" s="113"/>
      <c r="Y17" s="105">
        <f t="shared" si="0"/>
        <v>0</v>
      </c>
      <c r="Z17" s="113"/>
      <c r="AA17" s="113"/>
      <c r="AB17" s="113"/>
      <c r="AC17" s="113"/>
      <c r="AD17" s="106">
        <f t="shared" si="1"/>
        <v>0</v>
      </c>
      <c r="AE17" s="117">
        <f t="shared" si="4"/>
        <v>0</v>
      </c>
    </row>
    <row r="18" spans="1:31" ht="15.75" thickBot="1" x14ac:dyDescent="0.3">
      <c r="A18" s="116" t="s">
        <v>122</v>
      </c>
      <c r="B18" s="109"/>
      <c r="C18" s="110">
        <v>1</v>
      </c>
      <c r="D18" s="111">
        <f>100000/1000</f>
        <v>100</v>
      </c>
      <c r="E18" s="112">
        <f t="shared" ref="E18:E30" si="7">C18*D18</f>
        <v>100</v>
      </c>
      <c r="F18" s="113"/>
      <c r="G18" s="113"/>
      <c r="H18" s="113"/>
      <c r="I18" s="113"/>
      <c r="J18" s="114">
        <f t="shared" si="6"/>
        <v>0</v>
      </c>
      <c r="K18" s="113">
        <v>100</v>
      </c>
      <c r="L18" s="113"/>
      <c r="M18" s="113"/>
      <c r="N18" s="113"/>
      <c r="O18" s="114">
        <f t="shared" si="2"/>
        <v>100</v>
      </c>
      <c r="P18" s="113"/>
      <c r="Q18" s="113"/>
      <c r="R18" s="113"/>
      <c r="S18" s="113"/>
      <c r="T18" s="114">
        <f t="shared" si="3"/>
        <v>0</v>
      </c>
      <c r="U18" s="113"/>
      <c r="V18" s="113"/>
      <c r="W18" s="113"/>
      <c r="X18" s="113"/>
      <c r="Y18" s="105">
        <f t="shared" si="0"/>
        <v>0</v>
      </c>
      <c r="Z18" s="113"/>
      <c r="AA18" s="113"/>
      <c r="AB18" s="113"/>
      <c r="AC18" s="113"/>
      <c r="AD18" s="106">
        <f t="shared" si="1"/>
        <v>0</v>
      </c>
      <c r="AE18" s="117">
        <f t="shared" si="4"/>
        <v>100</v>
      </c>
    </row>
    <row r="19" spans="1:31" ht="15.75" thickBot="1" x14ac:dyDescent="0.3">
      <c r="A19" s="116" t="s">
        <v>123</v>
      </c>
      <c r="B19" s="109" t="s">
        <v>124</v>
      </c>
      <c r="C19" s="110">
        <v>1</v>
      </c>
      <c r="D19" s="111">
        <f>1000000/1000</f>
        <v>1000</v>
      </c>
      <c r="E19" s="112">
        <f t="shared" si="7"/>
        <v>1000</v>
      </c>
      <c r="F19" s="113"/>
      <c r="G19" s="113"/>
      <c r="H19" s="113"/>
      <c r="I19" s="113"/>
      <c r="J19" s="114">
        <f t="shared" si="6"/>
        <v>0</v>
      </c>
      <c r="K19" s="113"/>
      <c r="L19" s="113"/>
      <c r="M19" s="113">
        <v>1000</v>
      </c>
      <c r="N19" s="113"/>
      <c r="O19" s="114">
        <f t="shared" si="2"/>
        <v>1000</v>
      </c>
      <c r="P19" s="113"/>
      <c r="Q19" s="113"/>
      <c r="R19" s="113"/>
      <c r="S19" s="113"/>
      <c r="T19" s="114">
        <f t="shared" si="3"/>
        <v>0</v>
      </c>
      <c r="U19" s="113"/>
      <c r="V19" s="113"/>
      <c r="W19" s="113"/>
      <c r="X19" s="113"/>
      <c r="Y19" s="105">
        <f t="shared" si="0"/>
        <v>0</v>
      </c>
      <c r="Z19" s="113"/>
      <c r="AA19" s="113"/>
      <c r="AB19" s="113"/>
      <c r="AC19" s="113"/>
      <c r="AD19" s="106">
        <f t="shared" si="1"/>
        <v>0</v>
      </c>
      <c r="AE19" s="117">
        <f t="shared" si="4"/>
        <v>1000</v>
      </c>
    </row>
    <row r="20" spans="1:31" ht="15.75" thickBot="1" x14ac:dyDescent="0.3">
      <c r="A20" s="116" t="s">
        <v>125</v>
      </c>
      <c r="B20" s="109" t="s">
        <v>126</v>
      </c>
      <c r="C20" s="110">
        <v>1</v>
      </c>
      <c r="D20" s="111">
        <f>15000/1000</f>
        <v>15</v>
      </c>
      <c r="E20" s="112">
        <f t="shared" si="7"/>
        <v>15</v>
      </c>
      <c r="F20" s="113"/>
      <c r="G20" s="113">
        <v>15</v>
      </c>
      <c r="H20" s="113"/>
      <c r="I20" s="113"/>
      <c r="J20" s="114">
        <f t="shared" si="6"/>
        <v>15</v>
      </c>
      <c r="K20" s="113"/>
      <c r="L20" s="113"/>
      <c r="M20" s="113"/>
      <c r="N20" s="113"/>
      <c r="O20" s="114">
        <f t="shared" si="2"/>
        <v>0</v>
      </c>
      <c r="P20" s="113"/>
      <c r="Q20" s="113"/>
      <c r="R20" s="113"/>
      <c r="S20" s="113"/>
      <c r="T20" s="114">
        <f t="shared" si="3"/>
        <v>0</v>
      </c>
      <c r="U20" s="113"/>
      <c r="V20" s="113"/>
      <c r="W20" s="113"/>
      <c r="X20" s="113"/>
      <c r="Y20" s="105">
        <f t="shared" si="0"/>
        <v>0</v>
      </c>
      <c r="Z20" s="113"/>
      <c r="AA20" s="113"/>
      <c r="AB20" s="113"/>
      <c r="AC20" s="113"/>
      <c r="AD20" s="106">
        <f t="shared" si="1"/>
        <v>0</v>
      </c>
      <c r="AE20" s="117">
        <f t="shared" si="4"/>
        <v>15</v>
      </c>
    </row>
    <row r="21" spans="1:31" ht="15.75" thickBot="1" x14ac:dyDescent="0.3">
      <c r="A21" s="116" t="s">
        <v>127</v>
      </c>
      <c r="B21" s="109" t="s">
        <v>126</v>
      </c>
      <c r="C21" s="110">
        <v>2</v>
      </c>
      <c r="D21" s="111">
        <f>15000/1000</f>
        <v>15</v>
      </c>
      <c r="E21" s="112">
        <f t="shared" si="7"/>
        <v>30</v>
      </c>
      <c r="F21" s="113"/>
      <c r="G21" s="113"/>
      <c r="H21" s="113"/>
      <c r="I21" s="113"/>
      <c r="J21" s="114">
        <f t="shared" si="6"/>
        <v>0</v>
      </c>
      <c r="K21" s="113">
        <v>30</v>
      </c>
      <c r="L21" s="113"/>
      <c r="M21" s="113"/>
      <c r="N21" s="113"/>
      <c r="O21" s="114">
        <f t="shared" si="2"/>
        <v>30</v>
      </c>
      <c r="P21" s="113"/>
      <c r="Q21" s="113"/>
      <c r="R21" s="113"/>
      <c r="S21" s="113"/>
      <c r="T21" s="114">
        <f t="shared" si="3"/>
        <v>0</v>
      </c>
      <c r="U21" s="113"/>
      <c r="V21" s="113"/>
      <c r="W21" s="113"/>
      <c r="X21" s="113"/>
      <c r="Y21" s="105">
        <f t="shared" si="0"/>
        <v>0</v>
      </c>
      <c r="Z21" s="113"/>
      <c r="AA21" s="113"/>
      <c r="AB21" s="113"/>
      <c r="AC21" s="113"/>
      <c r="AD21" s="106">
        <f t="shared" si="1"/>
        <v>0</v>
      </c>
      <c r="AE21" s="117">
        <f t="shared" si="4"/>
        <v>30</v>
      </c>
    </row>
    <row r="22" spans="1:31" ht="15.75" thickBot="1" x14ac:dyDescent="0.3">
      <c r="A22" s="116" t="s">
        <v>128</v>
      </c>
      <c r="B22" s="109" t="s">
        <v>129</v>
      </c>
      <c r="C22" s="110">
        <v>4</v>
      </c>
      <c r="D22" s="111">
        <v>250</v>
      </c>
      <c r="E22" s="112">
        <f t="shared" si="7"/>
        <v>1000</v>
      </c>
      <c r="F22" s="113"/>
      <c r="G22" s="113"/>
      <c r="H22" s="113"/>
      <c r="I22" s="113"/>
      <c r="J22" s="114"/>
      <c r="K22" s="113"/>
      <c r="L22" s="113"/>
      <c r="M22" s="113">
        <v>500</v>
      </c>
      <c r="N22" s="113"/>
      <c r="O22" s="114">
        <f t="shared" si="2"/>
        <v>500</v>
      </c>
      <c r="P22" s="113">
        <v>500</v>
      </c>
      <c r="Q22" s="113"/>
      <c r="R22" s="113"/>
      <c r="S22" s="113"/>
      <c r="T22" s="114"/>
      <c r="U22" s="113"/>
      <c r="V22" s="113"/>
      <c r="W22" s="113"/>
      <c r="X22" s="113"/>
      <c r="Y22" s="105"/>
      <c r="Z22" s="113"/>
      <c r="AA22" s="113"/>
      <c r="AB22" s="113"/>
      <c r="AC22" s="113"/>
      <c r="AD22" s="106"/>
      <c r="AE22" s="117"/>
    </row>
    <row r="23" spans="1:31" ht="15.75" thickBot="1" x14ac:dyDescent="0.3">
      <c r="A23" s="116" t="s">
        <v>130</v>
      </c>
      <c r="B23" s="109" t="s">
        <v>126</v>
      </c>
      <c r="C23" s="110">
        <v>1</v>
      </c>
      <c r="D23" s="111">
        <f>5000/1000</f>
        <v>5</v>
      </c>
      <c r="E23" s="112">
        <f t="shared" si="7"/>
        <v>5</v>
      </c>
      <c r="F23" s="113"/>
      <c r="G23" s="113"/>
      <c r="H23" s="113"/>
      <c r="I23" s="113"/>
      <c r="J23" s="114">
        <f t="shared" si="6"/>
        <v>0</v>
      </c>
      <c r="K23" s="113"/>
      <c r="L23" s="113">
        <v>5</v>
      </c>
      <c r="M23" s="113"/>
      <c r="N23" s="113"/>
      <c r="O23" s="114">
        <f t="shared" si="2"/>
        <v>5</v>
      </c>
      <c r="P23" s="113"/>
      <c r="Q23" s="113"/>
      <c r="R23" s="113"/>
      <c r="S23" s="113"/>
      <c r="T23" s="114">
        <f t="shared" si="3"/>
        <v>0</v>
      </c>
      <c r="U23" s="113"/>
      <c r="V23" s="113"/>
      <c r="W23" s="113"/>
      <c r="X23" s="113"/>
      <c r="Y23" s="105">
        <f t="shared" si="0"/>
        <v>0</v>
      </c>
      <c r="Z23" s="113"/>
      <c r="AA23" s="113"/>
      <c r="AB23" s="113"/>
      <c r="AC23" s="113"/>
      <c r="AD23" s="106">
        <f t="shared" si="1"/>
        <v>0</v>
      </c>
      <c r="AE23" s="117">
        <f t="shared" si="4"/>
        <v>5</v>
      </c>
    </row>
    <row r="24" spans="1:31" ht="15.75" thickBot="1" x14ac:dyDescent="0.3">
      <c r="A24" s="116" t="s">
        <v>131</v>
      </c>
      <c r="B24" s="109" t="s">
        <v>126</v>
      </c>
      <c r="C24" s="110">
        <v>2</v>
      </c>
      <c r="D24" s="111">
        <f>25000/1000</f>
        <v>25</v>
      </c>
      <c r="E24" s="112">
        <f t="shared" si="7"/>
        <v>50</v>
      </c>
      <c r="F24" s="113"/>
      <c r="G24" s="113"/>
      <c r="H24" s="113"/>
      <c r="I24" s="113"/>
      <c r="J24" s="114">
        <f t="shared" si="6"/>
        <v>0</v>
      </c>
      <c r="K24" s="113">
        <v>25</v>
      </c>
      <c r="L24" s="113"/>
      <c r="M24" s="113"/>
      <c r="N24" s="113"/>
      <c r="O24" s="114">
        <f t="shared" si="2"/>
        <v>25</v>
      </c>
      <c r="P24" s="113"/>
      <c r="Q24" s="113"/>
      <c r="R24" s="113"/>
      <c r="S24" s="113"/>
      <c r="T24" s="114">
        <f t="shared" si="3"/>
        <v>0</v>
      </c>
      <c r="U24" s="113"/>
      <c r="V24" s="113"/>
      <c r="W24" s="113"/>
      <c r="X24" s="113"/>
      <c r="Y24" s="105">
        <f t="shared" si="0"/>
        <v>0</v>
      </c>
      <c r="Z24" s="113"/>
      <c r="AA24" s="113"/>
      <c r="AB24" s="113"/>
      <c r="AC24" s="113"/>
      <c r="AD24" s="106">
        <f t="shared" si="1"/>
        <v>0</v>
      </c>
      <c r="AE24" s="117">
        <f t="shared" si="4"/>
        <v>25</v>
      </c>
    </row>
    <row r="25" spans="1:31" ht="15.75" thickBot="1" x14ac:dyDescent="0.3">
      <c r="A25" s="116" t="s">
        <v>132</v>
      </c>
      <c r="B25" s="109" t="s">
        <v>126</v>
      </c>
      <c r="C25" s="110">
        <v>1</v>
      </c>
      <c r="D25" s="111">
        <f>200000/1000</f>
        <v>200</v>
      </c>
      <c r="E25" s="112">
        <f t="shared" si="7"/>
        <v>200</v>
      </c>
      <c r="F25" s="113"/>
      <c r="G25" s="113"/>
      <c r="H25" s="113"/>
      <c r="I25" s="113"/>
      <c r="J25" s="114">
        <f t="shared" si="6"/>
        <v>0</v>
      </c>
      <c r="K25" s="113"/>
      <c r="L25" s="113">
        <v>200</v>
      </c>
      <c r="M25" s="113"/>
      <c r="N25" s="113"/>
      <c r="O25" s="114">
        <f t="shared" si="2"/>
        <v>200</v>
      </c>
      <c r="P25" s="113"/>
      <c r="Q25" s="113"/>
      <c r="R25" s="113"/>
      <c r="S25" s="113"/>
      <c r="T25" s="114">
        <f t="shared" si="3"/>
        <v>0</v>
      </c>
      <c r="U25" s="113"/>
      <c r="V25" s="113"/>
      <c r="W25" s="113"/>
      <c r="X25" s="113"/>
      <c r="Y25" s="105">
        <f t="shared" si="0"/>
        <v>0</v>
      </c>
      <c r="Z25" s="113"/>
      <c r="AA25" s="113"/>
      <c r="AB25" s="113"/>
      <c r="AC25" s="113"/>
      <c r="AD25" s="106">
        <f t="shared" si="1"/>
        <v>0</v>
      </c>
      <c r="AE25" s="117">
        <f t="shared" si="4"/>
        <v>200</v>
      </c>
    </row>
    <row r="26" spans="1:31" ht="15.75" thickBot="1" x14ac:dyDescent="0.3">
      <c r="A26" s="116"/>
      <c r="B26" s="109"/>
      <c r="C26" s="110"/>
      <c r="D26" s="111"/>
      <c r="E26" s="112"/>
      <c r="F26" s="113"/>
      <c r="G26" s="113"/>
      <c r="H26" s="113"/>
      <c r="I26" s="113"/>
      <c r="J26" s="114"/>
      <c r="K26" s="113"/>
      <c r="L26" s="113"/>
      <c r="M26" s="113"/>
      <c r="N26" s="113"/>
      <c r="O26" s="114"/>
      <c r="P26" s="113"/>
      <c r="Q26" s="113"/>
      <c r="R26" s="113"/>
      <c r="S26" s="113"/>
      <c r="T26" s="114"/>
      <c r="U26" s="113"/>
      <c r="V26" s="113"/>
      <c r="W26" s="113"/>
      <c r="X26" s="113"/>
      <c r="Y26" s="105"/>
      <c r="Z26" s="113"/>
      <c r="AA26" s="113"/>
      <c r="AB26" s="113"/>
      <c r="AC26" s="113"/>
      <c r="AD26" s="106"/>
      <c r="AE26" s="117"/>
    </row>
    <row r="27" spans="1:31" ht="15.75" thickBot="1" x14ac:dyDescent="0.3">
      <c r="A27" s="116" t="s">
        <v>133</v>
      </c>
      <c r="B27" s="109" t="s">
        <v>126</v>
      </c>
      <c r="C27" s="110">
        <v>2</v>
      </c>
      <c r="D27" s="111">
        <f>25000/1000</f>
        <v>25</v>
      </c>
      <c r="E27" s="112">
        <f t="shared" si="7"/>
        <v>50</v>
      </c>
      <c r="F27" s="113"/>
      <c r="G27" s="113"/>
      <c r="H27" s="113"/>
      <c r="I27" s="113"/>
      <c r="J27" s="114">
        <f t="shared" si="6"/>
        <v>0</v>
      </c>
      <c r="K27" s="113"/>
      <c r="L27" s="113">
        <v>50</v>
      </c>
      <c r="M27" s="113"/>
      <c r="N27" s="113"/>
      <c r="O27" s="114">
        <f t="shared" si="2"/>
        <v>50</v>
      </c>
      <c r="P27" s="113"/>
      <c r="Q27" s="113"/>
      <c r="R27" s="113"/>
      <c r="S27" s="113"/>
      <c r="T27" s="114">
        <f t="shared" si="3"/>
        <v>0</v>
      </c>
      <c r="U27" s="113"/>
      <c r="V27" s="113"/>
      <c r="W27" s="113"/>
      <c r="X27" s="113"/>
      <c r="Y27" s="105">
        <f t="shared" si="0"/>
        <v>0</v>
      </c>
      <c r="Z27" s="113"/>
      <c r="AA27" s="113"/>
      <c r="AB27" s="113"/>
      <c r="AC27" s="113"/>
      <c r="AD27" s="106">
        <f t="shared" si="1"/>
        <v>0</v>
      </c>
      <c r="AE27" s="117">
        <f t="shared" si="4"/>
        <v>50</v>
      </c>
    </row>
    <row r="28" spans="1:31" ht="15.75" thickBot="1" x14ac:dyDescent="0.3">
      <c r="A28" s="116" t="s">
        <v>134</v>
      </c>
      <c r="B28" s="109" t="s">
        <v>135</v>
      </c>
      <c r="C28" s="110">
        <v>2</v>
      </c>
      <c r="D28" s="111">
        <v>500</v>
      </c>
      <c r="E28" s="112">
        <f t="shared" si="7"/>
        <v>1000</v>
      </c>
      <c r="F28" s="113"/>
      <c r="G28" s="113"/>
      <c r="H28" s="113"/>
      <c r="I28" s="113"/>
      <c r="J28" s="114"/>
      <c r="K28" s="113"/>
      <c r="L28" s="113"/>
      <c r="M28" s="113">
        <v>500</v>
      </c>
      <c r="N28" s="113"/>
      <c r="O28" s="114">
        <f t="shared" si="2"/>
        <v>500</v>
      </c>
      <c r="P28" s="113"/>
      <c r="Q28" s="113"/>
      <c r="R28" s="113"/>
      <c r="S28" s="113"/>
      <c r="T28" s="114">
        <f t="shared" si="3"/>
        <v>0</v>
      </c>
      <c r="U28" s="113"/>
      <c r="V28" s="113"/>
      <c r="W28" s="113">
        <v>500</v>
      </c>
      <c r="X28" s="113"/>
      <c r="Y28" s="105">
        <f t="shared" si="0"/>
        <v>500</v>
      </c>
      <c r="Z28" s="113"/>
      <c r="AA28" s="113"/>
      <c r="AB28" s="113"/>
      <c r="AC28" s="113"/>
      <c r="AD28" s="106"/>
      <c r="AE28" s="117">
        <f t="shared" si="4"/>
        <v>1000</v>
      </c>
    </row>
    <row r="29" spans="1:31" ht="15.75" thickBot="1" x14ac:dyDescent="0.3">
      <c r="A29" s="116" t="s">
        <v>136</v>
      </c>
      <c r="B29" s="109" t="s">
        <v>126</v>
      </c>
      <c r="C29" s="110">
        <v>1</v>
      </c>
      <c r="D29" s="111">
        <f>20000/1000</f>
        <v>20</v>
      </c>
      <c r="E29" s="112">
        <f t="shared" si="7"/>
        <v>20</v>
      </c>
      <c r="F29" s="113"/>
      <c r="G29" s="113"/>
      <c r="H29" s="113"/>
      <c r="I29" s="113"/>
      <c r="J29" s="114">
        <f t="shared" si="6"/>
        <v>0</v>
      </c>
      <c r="K29" s="113"/>
      <c r="L29" s="113">
        <v>20</v>
      </c>
      <c r="M29" s="113"/>
      <c r="N29" s="113"/>
      <c r="O29" s="114">
        <f t="shared" si="2"/>
        <v>20</v>
      </c>
      <c r="P29" s="113"/>
      <c r="Q29" s="113"/>
      <c r="R29" s="113"/>
      <c r="S29" s="113"/>
      <c r="T29" s="114">
        <f t="shared" si="3"/>
        <v>0</v>
      </c>
      <c r="U29" s="113"/>
      <c r="V29" s="113"/>
      <c r="W29" s="113"/>
      <c r="X29" s="113"/>
      <c r="Y29" s="105">
        <f t="shared" si="0"/>
        <v>0</v>
      </c>
      <c r="Z29" s="113"/>
      <c r="AA29" s="113"/>
      <c r="AB29" s="113"/>
      <c r="AC29" s="113"/>
      <c r="AD29" s="106">
        <f t="shared" si="1"/>
        <v>0</v>
      </c>
      <c r="AE29" s="117">
        <f t="shared" si="4"/>
        <v>20</v>
      </c>
    </row>
    <row r="30" spans="1:31" x14ac:dyDescent="0.25">
      <c r="A30" s="116" t="s">
        <v>137</v>
      </c>
      <c r="B30" s="109" t="s">
        <v>126</v>
      </c>
      <c r="C30" s="110">
        <v>3</v>
      </c>
      <c r="D30" s="111">
        <f>100000/1000</f>
        <v>100</v>
      </c>
      <c r="E30" s="112">
        <f t="shared" si="7"/>
        <v>300</v>
      </c>
      <c r="F30" s="113"/>
      <c r="G30" s="113"/>
      <c r="H30" s="113"/>
      <c r="I30" s="113">
        <v>100</v>
      </c>
      <c r="J30" s="114">
        <f t="shared" si="6"/>
        <v>100</v>
      </c>
      <c r="K30" s="113"/>
      <c r="L30" s="113"/>
      <c r="M30" s="113">
        <v>200</v>
      </c>
      <c r="N30" s="113"/>
      <c r="O30" s="114">
        <f t="shared" si="2"/>
        <v>200</v>
      </c>
      <c r="P30" s="113"/>
      <c r="Q30" s="113"/>
      <c r="R30" s="113"/>
      <c r="S30" s="113"/>
      <c r="T30" s="114">
        <f t="shared" si="3"/>
        <v>0</v>
      </c>
      <c r="U30" s="113"/>
      <c r="V30" s="113"/>
      <c r="W30" s="113"/>
      <c r="X30" s="113"/>
      <c r="Y30" s="105">
        <f t="shared" si="0"/>
        <v>0</v>
      </c>
      <c r="Z30" s="113"/>
      <c r="AA30" s="113"/>
      <c r="AB30" s="113"/>
      <c r="AC30" s="113"/>
      <c r="AD30" s="106">
        <f t="shared" si="1"/>
        <v>0</v>
      </c>
      <c r="AE30" s="117">
        <f t="shared" si="4"/>
        <v>300</v>
      </c>
    </row>
    <row r="31" spans="1:31" ht="15.75" thickBot="1" x14ac:dyDescent="0.3">
      <c r="A31" s="136" t="s">
        <v>138</v>
      </c>
      <c r="B31" s="137"/>
      <c r="C31" s="137"/>
      <c r="D31" s="138"/>
      <c r="E31" s="139">
        <f>SUM(E18:E30)</f>
        <v>3770</v>
      </c>
      <c r="F31" s="134">
        <f>SUM(F18:F30)</f>
        <v>0</v>
      </c>
      <c r="G31" s="134">
        <f>SUM(G18:G30)</f>
        <v>15</v>
      </c>
      <c r="H31" s="134">
        <f>SUM(H18:H30)</f>
        <v>0</v>
      </c>
      <c r="I31" s="134">
        <f>SUM(I18:I30)</f>
        <v>100</v>
      </c>
      <c r="J31" s="134">
        <f t="shared" si="6"/>
        <v>115</v>
      </c>
      <c r="K31" s="134">
        <f>SUM(K18:K30)</f>
        <v>155</v>
      </c>
      <c r="L31" s="134">
        <f>SUM(L18:L30)</f>
        <v>275</v>
      </c>
      <c r="M31" s="134">
        <f>SUM(M18:M30)</f>
        <v>2200</v>
      </c>
      <c r="N31" s="134">
        <f>SUM(N18:N30)</f>
        <v>0</v>
      </c>
      <c r="O31" s="134">
        <f t="shared" si="2"/>
        <v>2630</v>
      </c>
      <c r="P31" s="134">
        <f>SUM(P18:P30)</f>
        <v>500</v>
      </c>
      <c r="Q31" s="134">
        <f>SUM(Q18:Q30)</f>
        <v>0</v>
      </c>
      <c r="R31" s="134">
        <f>SUM(R18:R30)</f>
        <v>0</v>
      </c>
      <c r="S31" s="134">
        <f>SUM(S18:S30)</f>
        <v>0</v>
      </c>
      <c r="T31" s="134">
        <f t="shared" si="3"/>
        <v>500</v>
      </c>
      <c r="U31" s="134">
        <f>SUM(U18:U30)</f>
        <v>0</v>
      </c>
      <c r="V31" s="134">
        <f>SUM(V18:V30)</f>
        <v>0</v>
      </c>
      <c r="W31" s="134">
        <f>SUM(W18:W30)</f>
        <v>500</v>
      </c>
      <c r="X31" s="134">
        <f>SUM(X18:X30)</f>
        <v>0</v>
      </c>
      <c r="Y31" s="134">
        <f t="shared" si="0"/>
        <v>500</v>
      </c>
      <c r="Z31" s="134">
        <f>SUM(Z18:Z30)</f>
        <v>0</v>
      </c>
      <c r="AA31" s="134">
        <f>SUM(AA18:AA30)</f>
        <v>0</v>
      </c>
      <c r="AB31" s="134">
        <f>SUM(AB18:AB30)</f>
        <v>0</v>
      </c>
      <c r="AC31" s="134">
        <f>SUM(AC18:AC30)</f>
        <v>0</v>
      </c>
      <c r="AD31" s="134">
        <f t="shared" si="1"/>
        <v>0</v>
      </c>
      <c r="AE31" s="134">
        <f t="shared" si="4"/>
        <v>3745</v>
      </c>
    </row>
    <row r="32" spans="1:31" ht="16.5" thickTop="1" thickBot="1" x14ac:dyDescent="0.3">
      <c r="A32" s="140" t="s">
        <v>139</v>
      </c>
      <c r="B32" s="141"/>
      <c r="C32" s="141"/>
      <c r="D32" s="142"/>
      <c r="E32" s="143"/>
      <c r="F32" s="144"/>
      <c r="G32" s="144"/>
      <c r="H32" s="144"/>
      <c r="I32" s="144"/>
      <c r="J32" s="144">
        <f t="shared" si="6"/>
        <v>0</v>
      </c>
      <c r="K32" s="144"/>
      <c r="L32" s="144"/>
      <c r="M32" s="144"/>
      <c r="N32" s="144"/>
      <c r="O32" s="135">
        <f t="shared" si="2"/>
        <v>0</v>
      </c>
      <c r="P32" s="144"/>
      <c r="Q32" s="144"/>
      <c r="R32" s="144"/>
      <c r="S32" s="144"/>
      <c r="T32" s="135">
        <f t="shared" si="3"/>
        <v>0</v>
      </c>
      <c r="U32" s="144"/>
      <c r="V32" s="144"/>
      <c r="W32" s="144"/>
      <c r="X32" s="144"/>
      <c r="Y32" s="135">
        <f t="shared" si="0"/>
        <v>0</v>
      </c>
      <c r="Z32" s="144"/>
      <c r="AA32" s="144"/>
      <c r="AB32" s="144"/>
      <c r="AC32" s="144"/>
      <c r="AD32" s="145">
        <f t="shared" si="1"/>
        <v>0</v>
      </c>
      <c r="AE32" s="146">
        <f t="shared" si="4"/>
        <v>0</v>
      </c>
    </row>
    <row r="33" spans="1:31" ht="15.75" thickBot="1" x14ac:dyDescent="0.3">
      <c r="A33" s="121" t="s">
        <v>140</v>
      </c>
      <c r="B33" s="109" t="s">
        <v>135</v>
      </c>
      <c r="C33" s="109">
        <v>3</v>
      </c>
      <c r="D33" s="147">
        <v>10</v>
      </c>
      <c r="E33" s="112">
        <f>D33*C33</f>
        <v>30</v>
      </c>
      <c r="F33" s="113"/>
      <c r="G33" s="113"/>
      <c r="H33" s="113"/>
      <c r="I33" s="113">
        <v>30</v>
      </c>
      <c r="J33" s="113">
        <f t="shared" si="6"/>
        <v>30</v>
      </c>
      <c r="K33" s="113"/>
      <c r="L33" s="113"/>
      <c r="M33" s="113"/>
      <c r="N33" s="113"/>
      <c r="O33" s="114">
        <f t="shared" si="2"/>
        <v>0</v>
      </c>
      <c r="P33" s="113"/>
      <c r="Q33" s="113"/>
      <c r="R33" s="113"/>
      <c r="S33" s="113"/>
      <c r="T33" s="114">
        <f t="shared" si="3"/>
        <v>0</v>
      </c>
      <c r="U33" s="113"/>
      <c r="V33" s="113"/>
      <c r="W33" s="113"/>
      <c r="X33" s="113"/>
      <c r="Y33" s="105">
        <f t="shared" si="0"/>
        <v>0</v>
      </c>
      <c r="Z33" s="113"/>
      <c r="AA33" s="113"/>
      <c r="AB33" s="113"/>
      <c r="AC33" s="113"/>
      <c r="AD33" s="106">
        <f t="shared" si="1"/>
        <v>0</v>
      </c>
      <c r="AE33" s="117">
        <f t="shared" si="4"/>
        <v>30</v>
      </c>
    </row>
    <row r="34" spans="1:31" ht="15.75" thickBot="1" x14ac:dyDescent="0.3">
      <c r="A34" s="121" t="s">
        <v>141</v>
      </c>
      <c r="B34" s="109" t="s">
        <v>135</v>
      </c>
      <c r="C34" s="109">
        <v>2</v>
      </c>
      <c r="D34" s="147">
        <v>7</v>
      </c>
      <c r="E34" s="112">
        <f>D34*C34</f>
        <v>14</v>
      </c>
      <c r="F34" s="113"/>
      <c r="G34" s="113"/>
      <c r="H34" s="113"/>
      <c r="I34" s="113">
        <v>14</v>
      </c>
      <c r="J34" s="113">
        <f t="shared" si="6"/>
        <v>14</v>
      </c>
      <c r="K34" s="113"/>
      <c r="L34" s="113"/>
      <c r="M34" s="113"/>
      <c r="N34" s="113"/>
      <c r="O34" s="114">
        <f t="shared" si="2"/>
        <v>0</v>
      </c>
      <c r="P34" s="113"/>
      <c r="Q34" s="113"/>
      <c r="R34" s="113"/>
      <c r="S34" s="113"/>
      <c r="T34" s="114">
        <f t="shared" si="3"/>
        <v>0</v>
      </c>
      <c r="U34" s="113"/>
      <c r="V34" s="113"/>
      <c r="W34" s="113"/>
      <c r="X34" s="113"/>
      <c r="Y34" s="105">
        <f t="shared" si="0"/>
        <v>0</v>
      </c>
      <c r="Z34" s="113"/>
      <c r="AA34" s="113"/>
      <c r="AB34" s="113"/>
      <c r="AC34" s="113"/>
      <c r="AD34" s="106">
        <f t="shared" si="1"/>
        <v>0</v>
      </c>
      <c r="AE34" s="117">
        <f t="shared" si="4"/>
        <v>14</v>
      </c>
    </row>
    <row r="35" spans="1:31" ht="15.75" thickBot="1" x14ac:dyDescent="0.3">
      <c r="A35" s="121" t="s">
        <v>142</v>
      </c>
      <c r="B35" s="109" t="s">
        <v>135</v>
      </c>
      <c r="C35" s="109">
        <v>2</v>
      </c>
      <c r="D35" s="147">
        <v>5</v>
      </c>
      <c r="E35" s="112">
        <f t="shared" ref="E35:E39" si="8">D35*C35</f>
        <v>10</v>
      </c>
      <c r="F35" s="113"/>
      <c r="G35" s="113"/>
      <c r="H35" s="113"/>
      <c r="I35" s="113">
        <v>10</v>
      </c>
      <c r="J35" s="113">
        <f t="shared" si="6"/>
        <v>10</v>
      </c>
      <c r="K35" s="113"/>
      <c r="L35" s="113"/>
      <c r="M35" s="113"/>
      <c r="N35" s="113"/>
      <c r="O35" s="114">
        <f t="shared" si="2"/>
        <v>0</v>
      </c>
      <c r="P35" s="113"/>
      <c r="Q35" s="113"/>
      <c r="R35" s="113"/>
      <c r="S35" s="113"/>
      <c r="T35" s="114">
        <f t="shared" si="3"/>
        <v>0</v>
      </c>
      <c r="U35" s="113"/>
      <c r="V35" s="113"/>
      <c r="W35" s="113"/>
      <c r="X35" s="113"/>
      <c r="Y35" s="105">
        <f t="shared" si="0"/>
        <v>0</v>
      </c>
      <c r="Z35" s="113"/>
      <c r="AA35" s="113"/>
      <c r="AB35" s="113"/>
      <c r="AC35" s="113"/>
      <c r="AD35" s="106">
        <f t="shared" si="1"/>
        <v>0</v>
      </c>
      <c r="AE35" s="117">
        <f t="shared" si="4"/>
        <v>10</v>
      </c>
    </row>
    <row r="36" spans="1:31" ht="15.75" thickBot="1" x14ac:dyDescent="0.3">
      <c r="A36" s="121" t="s">
        <v>143</v>
      </c>
      <c r="B36" s="109" t="s">
        <v>135</v>
      </c>
      <c r="C36" s="109">
        <v>1</v>
      </c>
      <c r="D36" s="147">
        <v>10</v>
      </c>
      <c r="E36" s="112">
        <f t="shared" si="8"/>
        <v>10</v>
      </c>
      <c r="F36" s="113"/>
      <c r="G36" s="113"/>
      <c r="H36" s="113"/>
      <c r="I36" s="113"/>
      <c r="J36" s="113">
        <f t="shared" si="6"/>
        <v>0</v>
      </c>
      <c r="K36" s="113">
        <v>10</v>
      </c>
      <c r="L36" s="113"/>
      <c r="M36" s="113"/>
      <c r="N36" s="113"/>
      <c r="O36" s="114">
        <f t="shared" si="2"/>
        <v>10</v>
      </c>
      <c r="P36" s="113"/>
      <c r="Q36" s="113"/>
      <c r="R36" s="113"/>
      <c r="S36" s="113"/>
      <c r="T36" s="114">
        <f t="shared" si="3"/>
        <v>0</v>
      </c>
      <c r="U36" s="113"/>
      <c r="V36" s="113"/>
      <c r="W36" s="113"/>
      <c r="X36" s="113"/>
      <c r="Y36" s="105">
        <f t="shared" si="0"/>
        <v>0</v>
      </c>
      <c r="Z36" s="113"/>
      <c r="AA36" s="113"/>
      <c r="AB36" s="113"/>
      <c r="AC36" s="113"/>
      <c r="AD36" s="106">
        <f t="shared" si="1"/>
        <v>0</v>
      </c>
      <c r="AE36" s="117">
        <f t="shared" si="4"/>
        <v>10</v>
      </c>
    </row>
    <row r="37" spans="1:31" ht="15.75" thickBot="1" x14ac:dyDescent="0.3">
      <c r="A37" s="121" t="s">
        <v>144</v>
      </c>
      <c r="B37" s="109" t="s">
        <v>135</v>
      </c>
      <c r="C37" s="109">
        <v>400</v>
      </c>
      <c r="D37" s="147">
        <v>5</v>
      </c>
      <c r="E37" s="112">
        <f t="shared" si="8"/>
        <v>2000</v>
      </c>
      <c r="F37" s="113"/>
      <c r="G37" s="113"/>
      <c r="H37" s="113"/>
      <c r="I37" s="113"/>
      <c r="J37" s="113">
        <f t="shared" si="6"/>
        <v>0</v>
      </c>
      <c r="K37" s="113"/>
      <c r="L37" s="113"/>
      <c r="M37" s="113"/>
      <c r="N37" s="113">
        <v>1000</v>
      </c>
      <c r="O37" s="114">
        <f t="shared" si="2"/>
        <v>1000</v>
      </c>
      <c r="P37" s="113"/>
      <c r="Q37" s="113"/>
      <c r="R37" s="113"/>
      <c r="S37" s="113"/>
      <c r="T37" s="114">
        <f t="shared" si="3"/>
        <v>0</v>
      </c>
      <c r="U37" s="113">
        <v>1000</v>
      </c>
      <c r="V37" s="113"/>
      <c r="W37" s="113"/>
      <c r="X37" s="113"/>
      <c r="Y37" s="105">
        <f t="shared" si="0"/>
        <v>1000</v>
      </c>
      <c r="Z37" s="113"/>
      <c r="AA37" s="113"/>
      <c r="AB37" s="113"/>
      <c r="AC37" s="113"/>
      <c r="AD37" s="106">
        <f t="shared" si="1"/>
        <v>0</v>
      </c>
      <c r="AE37" s="117">
        <f t="shared" si="4"/>
        <v>2000</v>
      </c>
    </row>
    <row r="38" spans="1:31" ht="15.75" thickBot="1" x14ac:dyDescent="0.3">
      <c r="A38" s="121" t="s">
        <v>145</v>
      </c>
      <c r="B38" s="109" t="s">
        <v>135</v>
      </c>
      <c r="C38" s="109">
        <v>1</v>
      </c>
      <c r="D38" s="147">
        <v>10</v>
      </c>
      <c r="E38" s="112">
        <f t="shared" si="8"/>
        <v>10</v>
      </c>
      <c r="F38" s="113"/>
      <c r="G38" s="113"/>
      <c r="H38" s="113"/>
      <c r="I38" s="113"/>
      <c r="J38" s="113">
        <f t="shared" si="6"/>
        <v>0</v>
      </c>
      <c r="K38" s="113">
        <v>10</v>
      </c>
      <c r="L38" s="113"/>
      <c r="M38" s="113"/>
      <c r="N38" s="113"/>
      <c r="O38" s="114">
        <f t="shared" si="2"/>
        <v>10</v>
      </c>
      <c r="P38" s="113"/>
      <c r="Q38" s="113"/>
      <c r="R38" s="113"/>
      <c r="S38" s="113"/>
      <c r="T38" s="114">
        <f t="shared" si="3"/>
        <v>0</v>
      </c>
      <c r="U38" s="113"/>
      <c r="V38" s="113"/>
      <c r="W38" s="113"/>
      <c r="X38" s="113"/>
      <c r="Y38" s="105">
        <f t="shared" si="0"/>
        <v>0</v>
      </c>
      <c r="Z38" s="113"/>
      <c r="AA38" s="113"/>
      <c r="AB38" s="113"/>
      <c r="AC38" s="113"/>
      <c r="AD38" s="106">
        <f t="shared" si="1"/>
        <v>0</v>
      </c>
      <c r="AE38" s="117">
        <f t="shared" si="4"/>
        <v>10</v>
      </c>
    </row>
    <row r="39" spans="1:31" x14ac:dyDescent="0.25">
      <c r="A39" s="121" t="s">
        <v>146</v>
      </c>
      <c r="B39" s="109" t="s">
        <v>135</v>
      </c>
      <c r="C39" s="109">
        <v>2</v>
      </c>
      <c r="D39" s="147">
        <v>5</v>
      </c>
      <c r="E39" s="112">
        <f t="shared" si="8"/>
        <v>10</v>
      </c>
      <c r="F39" s="113"/>
      <c r="G39" s="113"/>
      <c r="H39" s="113"/>
      <c r="I39" s="113"/>
      <c r="J39" s="113">
        <f t="shared" si="6"/>
        <v>0</v>
      </c>
      <c r="K39" s="113"/>
      <c r="L39" s="113">
        <v>10</v>
      </c>
      <c r="M39" s="113"/>
      <c r="N39" s="113"/>
      <c r="O39" s="114">
        <f t="shared" si="2"/>
        <v>10</v>
      </c>
      <c r="P39" s="113"/>
      <c r="Q39" s="113"/>
      <c r="R39" s="113"/>
      <c r="S39" s="113"/>
      <c r="T39" s="114">
        <f t="shared" si="3"/>
        <v>0</v>
      </c>
      <c r="U39" s="113"/>
      <c r="V39" s="113"/>
      <c r="W39" s="113"/>
      <c r="X39" s="113"/>
      <c r="Y39" s="105">
        <f t="shared" si="0"/>
        <v>0</v>
      </c>
      <c r="Z39" s="113"/>
      <c r="AA39" s="113"/>
      <c r="AB39" s="113"/>
      <c r="AC39" s="113"/>
      <c r="AD39" s="106">
        <f t="shared" si="1"/>
        <v>0</v>
      </c>
      <c r="AE39" s="117">
        <f t="shared" si="4"/>
        <v>10</v>
      </c>
    </row>
    <row r="40" spans="1:31" ht="15.75" thickBot="1" x14ac:dyDescent="0.3">
      <c r="A40" s="148" t="s">
        <v>147</v>
      </c>
      <c r="B40" s="118"/>
      <c r="C40" s="118"/>
      <c r="D40" s="149"/>
      <c r="E40" s="150">
        <f>SUM(E33:E39)</f>
        <v>2084</v>
      </c>
      <c r="F40" s="114">
        <f>SUM(F32:F39)</f>
        <v>0</v>
      </c>
      <c r="G40" s="114">
        <f>SUM(G32:G39)</f>
        <v>0</v>
      </c>
      <c r="H40" s="114">
        <f>SUM(H32:H39)</f>
        <v>0</v>
      </c>
      <c r="I40" s="114">
        <f>SUM(I32:I39)</f>
        <v>54</v>
      </c>
      <c r="J40" s="114">
        <f t="shared" si="6"/>
        <v>54</v>
      </c>
      <c r="K40" s="114">
        <f>SUM(K32:K39)</f>
        <v>20</v>
      </c>
      <c r="L40" s="114">
        <f>SUM(L32:L39)</f>
        <v>10</v>
      </c>
      <c r="M40" s="114">
        <f>SUM(M32:M39)</f>
        <v>0</v>
      </c>
      <c r="N40" s="114">
        <f>SUM(N32:N39)</f>
        <v>1000</v>
      </c>
      <c r="O40" s="114">
        <f t="shared" si="2"/>
        <v>1030</v>
      </c>
      <c r="P40" s="114">
        <f>SUM(P32:P39)</f>
        <v>0</v>
      </c>
      <c r="Q40" s="114">
        <f>SUM(Q32:Q39)</f>
        <v>0</v>
      </c>
      <c r="R40" s="114">
        <f>SUM(R32:R39)</f>
        <v>0</v>
      </c>
      <c r="S40" s="114">
        <f>SUM(S32:S39)</f>
        <v>0</v>
      </c>
      <c r="T40" s="114">
        <f t="shared" si="3"/>
        <v>0</v>
      </c>
      <c r="U40" s="114">
        <f>SUM(U32:U39)</f>
        <v>1000</v>
      </c>
      <c r="V40" s="114">
        <f>SUM(V32:V39)</f>
        <v>0</v>
      </c>
      <c r="W40" s="114">
        <f>SUM(W32:W39)</f>
        <v>0</v>
      </c>
      <c r="X40" s="114">
        <f>SUM(X32:X39)</f>
        <v>0</v>
      </c>
      <c r="Y40" s="114">
        <f t="shared" si="0"/>
        <v>1000</v>
      </c>
      <c r="Z40" s="114">
        <f>SUM(Z32:Z39)</f>
        <v>0</v>
      </c>
      <c r="AA40" s="114">
        <f>SUM(AA32:AA39)</f>
        <v>0</v>
      </c>
      <c r="AB40" s="114">
        <f>SUM(AB32:AB39)</f>
        <v>0</v>
      </c>
      <c r="AC40" s="114">
        <f>SUM(AC32:AC39)</f>
        <v>0</v>
      </c>
      <c r="AD40" s="114">
        <f t="shared" si="1"/>
        <v>0</v>
      </c>
      <c r="AE40" s="114">
        <f t="shared" si="4"/>
        <v>2084</v>
      </c>
    </row>
    <row r="41" spans="1:31" ht="15.75" thickBot="1" x14ac:dyDescent="0.3">
      <c r="A41" s="108" t="s">
        <v>148</v>
      </c>
      <c r="B41" s="118"/>
      <c r="C41" s="118"/>
      <c r="D41" s="149"/>
      <c r="E41" s="112"/>
      <c r="F41" s="113"/>
      <c r="G41" s="113"/>
      <c r="H41" s="113"/>
      <c r="I41" s="113"/>
      <c r="J41" s="113">
        <f t="shared" si="6"/>
        <v>0</v>
      </c>
      <c r="K41" s="113"/>
      <c r="L41" s="113"/>
      <c r="M41" s="113"/>
      <c r="N41" s="113"/>
      <c r="O41" s="114">
        <f t="shared" si="2"/>
        <v>0</v>
      </c>
      <c r="P41" s="113"/>
      <c r="Q41" s="113"/>
      <c r="R41" s="113"/>
      <c r="S41" s="113"/>
      <c r="T41" s="114">
        <f t="shared" si="3"/>
        <v>0</v>
      </c>
      <c r="U41" s="113"/>
      <c r="V41" s="113"/>
      <c r="W41" s="113"/>
      <c r="X41" s="113"/>
      <c r="Y41" s="105">
        <f t="shared" si="0"/>
        <v>0</v>
      </c>
      <c r="Z41" s="113"/>
      <c r="AA41" s="113"/>
      <c r="AB41" s="113"/>
      <c r="AC41" s="113"/>
      <c r="AD41" s="106">
        <f t="shared" si="1"/>
        <v>0</v>
      </c>
      <c r="AE41" s="117">
        <f t="shared" si="4"/>
        <v>0</v>
      </c>
    </row>
    <row r="42" spans="1:31" ht="15.75" thickBot="1" x14ac:dyDescent="0.3">
      <c r="A42" s="121" t="s">
        <v>149</v>
      </c>
      <c r="B42" s="109" t="s">
        <v>126</v>
      </c>
      <c r="C42" s="109">
        <v>1</v>
      </c>
      <c r="D42" s="147">
        <f>40000/1000</f>
        <v>40</v>
      </c>
      <c r="E42" s="112">
        <f t="shared" ref="E42:E48" si="9">C42*D42</f>
        <v>40</v>
      </c>
      <c r="F42" s="113"/>
      <c r="G42" s="113">
        <v>40</v>
      </c>
      <c r="H42" s="113"/>
      <c r="I42" s="113"/>
      <c r="J42" s="113">
        <f t="shared" si="6"/>
        <v>40</v>
      </c>
      <c r="K42" s="113"/>
      <c r="L42" s="113"/>
      <c r="M42" s="113"/>
      <c r="N42" s="113"/>
      <c r="O42" s="114">
        <f t="shared" si="2"/>
        <v>0</v>
      </c>
      <c r="P42" s="113"/>
      <c r="Q42" s="113"/>
      <c r="R42" s="113"/>
      <c r="S42" s="113"/>
      <c r="T42" s="114">
        <f t="shared" si="3"/>
        <v>0</v>
      </c>
      <c r="U42" s="113"/>
      <c r="V42" s="113"/>
      <c r="W42" s="113"/>
      <c r="X42" s="113"/>
      <c r="Y42" s="105">
        <f t="shared" si="0"/>
        <v>0</v>
      </c>
      <c r="Z42" s="113"/>
      <c r="AA42" s="113"/>
      <c r="AB42" s="113"/>
      <c r="AC42" s="113"/>
      <c r="AD42" s="106">
        <f t="shared" si="1"/>
        <v>0</v>
      </c>
      <c r="AE42" s="117">
        <f t="shared" si="4"/>
        <v>40</v>
      </c>
    </row>
    <row r="43" spans="1:31" ht="15.75" thickBot="1" x14ac:dyDescent="0.3">
      <c r="A43" s="121" t="s">
        <v>150</v>
      </c>
      <c r="B43" s="109" t="s">
        <v>124</v>
      </c>
      <c r="C43" s="109">
        <v>1</v>
      </c>
      <c r="D43" s="147">
        <v>75</v>
      </c>
      <c r="E43" s="112">
        <f t="shared" si="9"/>
        <v>75</v>
      </c>
      <c r="F43" s="113"/>
      <c r="G43" s="113"/>
      <c r="H43" s="113"/>
      <c r="I43" s="113"/>
      <c r="J43" s="113">
        <f t="shared" si="6"/>
        <v>0</v>
      </c>
      <c r="K43" s="113">
        <v>75</v>
      </c>
      <c r="L43" s="113"/>
      <c r="M43" s="113"/>
      <c r="N43" s="113"/>
      <c r="O43" s="114">
        <f t="shared" si="2"/>
        <v>75</v>
      </c>
      <c r="P43" s="113"/>
      <c r="Q43" s="113"/>
      <c r="R43" s="113"/>
      <c r="S43" s="113"/>
      <c r="T43" s="114">
        <f t="shared" si="3"/>
        <v>0</v>
      </c>
      <c r="U43" s="113"/>
      <c r="V43" s="113"/>
      <c r="W43" s="113"/>
      <c r="X43" s="113"/>
      <c r="Y43" s="105">
        <f t="shared" si="0"/>
        <v>0</v>
      </c>
      <c r="Z43" s="113"/>
      <c r="AA43" s="113"/>
      <c r="AB43" s="113"/>
      <c r="AC43" s="113"/>
      <c r="AD43" s="106">
        <f t="shared" si="1"/>
        <v>0</v>
      </c>
      <c r="AE43" s="117">
        <f t="shared" si="4"/>
        <v>75</v>
      </c>
    </row>
    <row r="44" spans="1:31" ht="15.75" thickBot="1" x14ac:dyDescent="0.3">
      <c r="A44" s="121" t="s">
        <v>151</v>
      </c>
      <c r="B44" s="109" t="s">
        <v>124</v>
      </c>
      <c r="C44" s="109">
        <v>1</v>
      </c>
      <c r="D44" s="147">
        <f>60000/1000</f>
        <v>60</v>
      </c>
      <c r="E44" s="112">
        <f t="shared" si="9"/>
        <v>60</v>
      </c>
      <c r="F44" s="113"/>
      <c r="G44" s="113">
        <v>60</v>
      </c>
      <c r="H44" s="113"/>
      <c r="I44" s="113"/>
      <c r="J44" s="113">
        <f t="shared" si="6"/>
        <v>60</v>
      </c>
      <c r="K44" s="113"/>
      <c r="L44" s="113"/>
      <c r="M44" s="113"/>
      <c r="N44" s="113"/>
      <c r="O44" s="114">
        <f t="shared" si="2"/>
        <v>0</v>
      </c>
      <c r="P44" s="113"/>
      <c r="Q44" s="113"/>
      <c r="R44" s="113"/>
      <c r="S44" s="113"/>
      <c r="T44" s="114">
        <f t="shared" si="3"/>
        <v>0</v>
      </c>
      <c r="U44" s="113"/>
      <c r="V44" s="113"/>
      <c r="W44" s="113"/>
      <c r="X44" s="113"/>
      <c r="Y44" s="105">
        <f t="shared" si="0"/>
        <v>0</v>
      </c>
      <c r="Z44" s="113"/>
      <c r="AA44" s="113"/>
      <c r="AB44" s="113"/>
      <c r="AC44" s="113"/>
      <c r="AD44" s="106">
        <f t="shared" si="1"/>
        <v>0</v>
      </c>
      <c r="AE44" s="117">
        <f t="shared" si="4"/>
        <v>60</v>
      </c>
    </row>
    <row r="45" spans="1:31" ht="15.75" thickBot="1" x14ac:dyDescent="0.3">
      <c r="A45" s="121" t="s">
        <v>152</v>
      </c>
      <c r="B45" s="109" t="s">
        <v>126</v>
      </c>
      <c r="C45" s="109">
        <v>1</v>
      </c>
      <c r="D45" s="147">
        <v>45</v>
      </c>
      <c r="E45" s="112">
        <f t="shared" si="9"/>
        <v>45</v>
      </c>
      <c r="F45" s="113"/>
      <c r="G45" s="113"/>
      <c r="H45" s="113"/>
      <c r="I45" s="113"/>
      <c r="J45" s="113">
        <f t="shared" si="6"/>
        <v>0</v>
      </c>
      <c r="K45" s="113">
        <v>45</v>
      </c>
      <c r="L45" s="113"/>
      <c r="M45" s="113"/>
      <c r="N45" s="113"/>
      <c r="O45" s="114">
        <f t="shared" si="2"/>
        <v>45</v>
      </c>
      <c r="P45" s="113"/>
      <c r="Q45" s="113"/>
      <c r="R45" s="113"/>
      <c r="S45" s="113"/>
      <c r="T45" s="114">
        <f t="shared" si="3"/>
        <v>0</v>
      </c>
      <c r="U45" s="113"/>
      <c r="V45" s="113"/>
      <c r="W45" s="113"/>
      <c r="X45" s="113"/>
      <c r="Y45" s="105">
        <f t="shared" si="0"/>
        <v>0</v>
      </c>
      <c r="Z45" s="113"/>
      <c r="AA45" s="113"/>
      <c r="AB45" s="113"/>
      <c r="AC45" s="113"/>
      <c r="AD45" s="106">
        <f t="shared" si="1"/>
        <v>0</v>
      </c>
      <c r="AE45" s="117">
        <f t="shared" si="4"/>
        <v>45</v>
      </c>
    </row>
    <row r="46" spans="1:31" ht="15.75" thickBot="1" x14ac:dyDescent="0.3">
      <c r="A46" s="121" t="s">
        <v>153</v>
      </c>
      <c r="B46" s="109" t="s">
        <v>126</v>
      </c>
      <c r="C46" s="109">
        <v>1</v>
      </c>
      <c r="D46" s="147">
        <v>45</v>
      </c>
      <c r="E46" s="112">
        <f t="shared" si="9"/>
        <v>45</v>
      </c>
      <c r="F46" s="113"/>
      <c r="G46" s="113"/>
      <c r="H46" s="113"/>
      <c r="I46" s="113"/>
      <c r="J46" s="113">
        <f t="shared" si="6"/>
        <v>0</v>
      </c>
      <c r="K46" s="113">
        <v>45</v>
      </c>
      <c r="L46" s="113"/>
      <c r="M46" s="113"/>
      <c r="N46" s="113"/>
      <c r="O46" s="114">
        <f t="shared" si="2"/>
        <v>45</v>
      </c>
      <c r="P46" s="113"/>
      <c r="Q46" s="113"/>
      <c r="R46" s="113"/>
      <c r="S46" s="113"/>
      <c r="T46" s="114">
        <f t="shared" si="3"/>
        <v>0</v>
      </c>
      <c r="U46" s="113"/>
      <c r="V46" s="113"/>
      <c r="W46" s="113"/>
      <c r="X46" s="113"/>
      <c r="Y46" s="105">
        <f t="shared" si="0"/>
        <v>0</v>
      </c>
      <c r="Z46" s="113"/>
      <c r="AA46" s="113"/>
      <c r="AB46" s="113"/>
      <c r="AC46" s="113"/>
      <c r="AD46" s="106">
        <f t="shared" si="1"/>
        <v>0</v>
      </c>
      <c r="AE46" s="117">
        <f t="shared" si="4"/>
        <v>45</v>
      </c>
    </row>
    <row r="47" spans="1:31" ht="15.75" thickBot="1" x14ac:dyDescent="0.3">
      <c r="A47" s="121" t="s">
        <v>154</v>
      </c>
      <c r="B47" s="109" t="s">
        <v>126</v>
      </c>
      <c r="C47" s="109">
        <v>5</v>
      </c>
      <c r="D47" s="147">
        <f>750/1000</f>
        <v>0.75</v>
      </c>
      <c r="E47" s="112">
        <f t="shared" si="9"/>
        <v>3.75</v>
      </c>
      <c r="F47" s="113"/>
      <c r="G47" s="113"/>
      <c r="H47" s="113"/>
      <c r="I47" s="113">
        <v>4</v>
      </c>
      <c r="J47" s="113">
        <f t="shared" si="6"/>
        <v>4</v>
      </c>
      <c r="K47" s="113"/>
      <c r="L47" s="113"/>
      <c r="M47" s="113"/>
      <c r="N47" s="113"/>
      <c r="O47" s="114">
        <f t="shared" si="2"/>
        <v>0</v>
      </c>
      <c r="P47" s="113"/>
      <c r="Q47" s="113"/>
      <c r="R47" s="113"/>
      <c r="S47" s="113"/>
      <c r="T47" s="114">
        <f t="shared" si="3"/>
        <v>0</v>
      </c>
      <c r="U47" s="113"/>
      <c r="V47" s="113"/>
      <c r="W47" s="113"/>
      <c r="X47" s="113"/>
      <c r="Y47" s="105">
        <f t="shared" si="0"/>
        <v>0</v>
      </c>
      <c r="Z47" s="113"/>
      <c r="AA47" s="113"/>
      <c r="AB47" s="113"/>
      <c r="AC47" s="113"/>
      <c r="AD47" s="106">
        <f t="shared" si="1"/>
        <v>0</v>
      </c>
      <c r="AE47" s="117">
        <f t="shared" si="4"/>
        <v>4</v>
      </c>
    </row>
    <row r="48" spans="1:31" ht="15.75" thickBot="1" x14ac:dyDescent="0.3">
      <c r="A48" s="121" t="s">
        <v>155</v>
      </c>
      <c r="B48" s="109" t="s">
        <v>126</v>
      </c>
      <c r="C48" s="109">
        <v>6</v>
      </c>
      <c r="D48" s="147">
        <v>3</v>
      </c>
      <c r="E48" s="112">
        <f t="shared" si="9"/>
        <v>18</v>
      </c>
      <c r="F48" s="113"/>
      <c r="G48" s="113"/>
      <c r="H48" s="113"/>
      <c r="I48" s="113">
        <v>12</v>
      </c>
      <c r="J48" s="113">
        <f t="shared" si="6"/>
        <v>12</v>
      </c>
      <c r="K48" s="113">
        <v>6</v>
      </c>
      <c r="L48" s="113"/>
      <c r="M48" s="113"/>
      <c r="N48" s="113"/>
      <c r="O48" s="114">
        <f t="shared" si="2"/>
        <v>6</v>
      </c>
      <c r="P48" s="113"/>
      <c r="Q48" s="113"/>
      <c r="R48" s="113"/>
      <c r="S48" s="113"/>
      <c r="T48" s="114">
        <f t="shared" si="3"/>
        <v>0</v>
      </c>
      <c r="U48" s="113"/>
      <c r="V48" s="113"/>
      <c r="W48" s="113"/>
      <c r="X48" s="113"/>
      <c r="Y48" s="105">
        <f t="shared" si="0"/>
        <v>0</v>
      </c>
      <c r="Z48" s="113"/>
      <c r="AA48" s="113"/>
      <c r="AB48" s="113"/>
      <c r="AC48" s="113"/>
      <c r="AD48" s="106">
        <f t="shared" si="1"/>
        <v>0</v>
      </c>
      <c r="AE48" s="117">
        <f t="shared" si="4"/>
        <v>18</v>
      </c>
    </row>
    <row r="49" spans="1:31" ht="15.75" thickBot="1" x14ac:dyDescent="0.3">
      <c r="A49" s="132" t="s">
        <v>156</v>
      </c>
      <c r="B49" s="109"/>
      <c r="C49" s="109"/>
      <c r="D49" s="151"/>
      <c r="E49" s="133">
        <f>SUM(E42:E48)</f>
        <v>286.75</v>
      </c>
      <c r="F49" s="113"/>
      <c r="G49" s="113"/>
      <c r="H49" s="113"/>
      <c r="I49" s="113"/>
      <c r="J49" s="114">
        <f>SUM(J41:J48)</f>
        <v>116</v>
      </c>
      <c r="K49" s="113"/>
      <c r="L49" s="113"/>
      <c r="M49" s="113"/>
      <c r="N49" s="113"/>
      <c r="O49" s="114">
        <f t="shared" si="2"/>
        <v>0</v>
      </c>
      <c r="P49" s="113"/>
      <c r="Q49" s="113"/>
      <c r="R49" s="113"/>
      <c r="S49" s="113"/>
      <c r="T49" s="114">
        <f t="shared" si="3"/>
        <v>0</v>
      </c>
      <c r="U49" s="113"/>
      <c r="V49" s="113"/>
      <c r="W49" s="113"/>
      <c r="X49" s="113"/>
      <c r="Y49" s="105">
        <f t="shared" si="0"/>
        <v>0</v>
      </c>
      <c r="Z49" s="113"/>
      <c r="AA49" s="113"/>
      <c r="AB49" s="113"/>
      <c r="AC49" s="113"/>
      <c r="AD49" s="106">
        <f t="shared" si="1"/>
        <v>0</v>
      </c>
      <c r="AE49" s="115">
        <f t="shared" si="4"/>
        <v>116</v>
      </c>
    </row>
    <row r="50" spans="1:31" ht="15.75" thickBot="1" x14ac:dyDescent="0.3">
      <c r="A50" s="108" t="s">
        <v>157</v>
      </c>
      <c r="B50" s="118"/>
      <c r="C50" s="118"/>
      <c r="D50" s="149"/>
      <c r="E50" s="152"/>
      <c r="F50" s="113"/>
      <c r="G50" s="113"/>
      <c r="H50" s="113"/>
      <c r="I50" s="113"/>
      <c r="J50" s="114">
        <f>SUM(F50:I50)</f>
        <v>0</v>
      </c>
      <c r="K50" s="113"/>
      <c r="L50" s="113"/>
      <c r="M50" s="113"/>
      <c r="N50" s="113"/>
      <c r="O50" s="114">
        <f t="shared" si="2"/>
        <v>0</v>
      </c>
      <c r="P50" s="113"/>
      <c r="Q50" s="113"/>
      <c r="R50" s="113"/>
      <c r="S50" s="113"/>
      <c r="T50" s="114">
        <f t="shared" si="3"/>
        <v>0</v>
      </c>
      <c r="U50" s="113"/>
      <c r="V50" s="113"/>
      <c r="W50" s="113"/>
      <c r="X50" s="113"/>
      <c r="Y50" s="105">
        <f t="shared" si="0"/>
        <v>0</v>
      </c>
      <c r="Z50" s="113"/>
      <c r="AA50" s="113"/>
      <c r="AB50" s="113"/>
      <c r="AC50" s="113"/>
      <c r="AD50" s="106">
        <f t="shared" si="1"/>
        <v>0</v>
      </c>
      <c r="AE50" s="115">
        <f t="shared" si="4"/>
        <v>0</v>
      </c>
    </row>
    <row r="51" spans="1:31" ht="15.75" thickBot="1" x14ac:dyDescent="0.3">
      <c r="A51" s="121" t="s">
        <v>158</v>
      </c>
      <c r="B51" s="109" t="s">
        <v>126</v>
      </c>
      <c r="C51" s="109">
        <v>2</v>
      </c>
      <c r="D51" s="147">
        <v>225</v>
      </c>
      <c r="E51" s="112">
        <f>C51*D51</f>
        <v>450</v>
      </c>
      <c r="F51" s="113"/>
      <c r="G51" s="113"/>
      <c r="H51" s="113"/>
      <c r="I51" s="113">
        <v>225</v>
      </c>
      <c r="J51" s="114">
        <f>SUM(F51:I51)</f>
        <v>225</v>
      </c>
      <c r="K51" s="113"/>
      <c r="L51" s="113">
        <v>225</v>
      </c>
      <c r="M51" s="113"/>
      <c r="N51" s="113"/>
      <c r="O51" s="114">
        <f t="shared" si="2"/>
        <v>225</v>
      </c>
      <c r="P51" s="113"/>
      <c r="Q51" s="113"/>
      <c r="R51" s="113"/>
      <c r="S51" s="113"/>
      <c r="T51" s="114">
        <f t="shared" si="3"/>
        <v>0</v>
      </c>
      <c r="U51" s="113"/>
      <c r="V51" s="113"/>
      <c r="W51" s="113"/>
      <c r="X51" s="113"/>
      <c r="Y51" s="105">
        <f t="shared" si="0"/>
        <v>0</v>
      </c>
      <c r="Z51" s="113"/>
      <c r="AA51" s="113"/>
      <c r="AB51" s="113"/>
      <c r="AC51" s="113"/>
      <c r="AD51" s="106">
        <f t="shared" si="1"/>
        <v>0</v>
      </c>
      <c r="AE51" s="115">
        <f t="shared" si="4"/>
        <v>450</v>
      </c>
    </row>
    <row r="52" spans="1:31" x14ac:dyDescent="0.25">
      <c r="A52" s="121" t="s">
        <v>159</v>
      </c>
      <c r="B52" s="109" t="s">
        <v>126</v>
      </c>
      <c r="C52" s="109">
        <v>1</v>
      </c>
      <c r="D52" s="147">
        <f>2000000/1000</f>
        <v>2000</v>
      </c>
      <c r="E52" s="112">
        <f>C52*D52</f>
        <v>2000</v>
      </c>
      <c r="F52" s="113"/>
      <c r="G52" s="113"/>
      <c r="H52" s="113"/>
      <c r="I52" s="113"/>
      <c r="J52" s="114">
        <f>SUM(F52:I52)</f>
        <v>0</v>
      </c>
      <c r="K52" s="113"/>
      <c r="L52" s="113">
        <v>2000</v>
      </c>
      <c r="M52" s="113"/>
      <c r="N52" s="113"/>
      <c r="O52" s="114">
        <f t="shared" si="2"/>
        <v>2000</v>
      </c>
      <c r="P52" s="113"/>
      <c r="Q52" s="113"/>
      <c r="R52" s="113"/>
      <c r="S52" s="113"/>
      <c r="T52" s="114">
        <f t="shared" si="3"/>
        <v>0</v>
      </c>
      <c r="U52" s="113"/>
      <c r="V52" s="113"/>
      <c r="W52" s="113"/>
      <c r="X52" s="113"/>
      <c r="Y52" s="105">
        <f t="shared" si="0"/>
        <v>0</v>
      </c>
      <c r="Z52" s="113"/>
      <c r="AA52" s="113"/>
      <c r="AB52" s="113"/>
      <c r="AC52" s="113"/>
      <c r="AD52" s="106">
        <f t="shared" si="1"/>
        <v>0</v>
      </c>
      <c r="AE52" s="115">
        <f t="shared" si="4"/>
        <v>2000</v>
      </c>
    </row>
    <row r="53" spans="1:31" ht="15.75" thickBot="1" x14ac:dyDescent="0.3">
      <c r="A53" s="153" t="s">
        <v>160</v>
      </c>
      <c r="B53" s="154"/>
      <c r="C53" s="154"/>
      <c r="D53" s="155"/>
      <c r="E53" s="156">
        <f>SUM(E51:E52)</f>
        <v>2450</v>
      </c>
      <c r="F53" s="157"/>
      <c r="G53" s="157"/>
      <c r="H53" s="157"/>
      <c r="I53" s="157"/>
      <c r="J53" s="114">
        <f t="shared" ref="J53:AD53" si="10">SUM(J50:J52)</f>
        <v>225</v>
      </c>
      <c r="K53" s="114">
        <f t="shared" si="10"/>
        <v>0</v>
      </c>
      <c r="L53" s="114">
        <f t="shared" si="10"/>
        <v>2225</v>
      </c>
      <c r="M53" s="114">
        <f t="shared" si="10"/>
        <v>0</v>
      </c>
      <c r="N53" s="114">
        <f t="shared" si="10"/>
        <v>0</v>
      </c>
      <c r="O53" s="114">
        <f t="shared" si="10"/>
        <v>2225</v>
      </c>
      <c r="P53" s="114">
        <f t="shared" si="10"/>
        <v>0</v>
      </c>
      <c r="Q53" s="114">
        <f t="shared" si="10"/>
        <v>0</v>
      </c>
      <c r="R53" s="114">
        <f t="shared" si="10"/>
        <v>0</v>
      </c>
      <c r="S53" s="114">
        <f t="shared" si="10"/>
        <v>0</v>
      </c>
      <c r="T53" s="114">
        <f t="shared" si="10"/>
        <v>0</v>
      </c>
      <c r="U53" s="114">
        <f t="shared" si="10"/>
        <v>0</v>
      </c>
      <c r="V53" s="114">
        <f t="shared" si="10"/>
        <v>0</v>
      </c>
      <c r="W53" s="114">
        <f t="shared" si="10"/>
        <v>0</v>
      </c>
      <c r="X53" s="114">
        <f t="shared" si="10"/>
        <v>0</v>
      </c>
      <c r="Y53" s="114">
        <f t="shared" si="10"/>
        <v>0</v>
      </c>
      <c r="Z53" s="114">
        <f t="shared" si="10"/>
        <v>0</v>
      </c>
      <c r="AA53" s="114">
        <f t="shared" si="10"/>
        <v>0</v>
      </c>
      <c r="AB53" s="114">
        <f t="shared" si="10"/>
        <v>0</v>
      </c>
      <c r="AC53" s="114">
        <f t="shared" si="10"/>
        <v>0</v>
      </c>
      <c r="AD53" s="114">
        <f t="shared" si="10"/>
        <v>0</v>
      </c>
      <c r="AE53" s="114">
        <f t="shared" si="4"/>
        <v>2450</v>
      </c>
    </row>
    <row r="54" spans="1:31" ht="15.75" thickBot="1" x14ac:dyDescent="0.3">
      <c r="A54" s="158" t="s">
        <v>161</v>
      </c>
      <c r="B54" s="159"/>
      <c r="C54" s="159"/>
      <c r="D54" s="160"/>
      <c r="E54" s="161">
        <f>+E53+E49+E40+E31+E15+E6</f>
        <v>22940.75</v>
      </c>
      <c r="F54" s="162"/>
      <c r="G54" s="162"/>
      <c r="H54" s="162"/>
      <c r="I54" s="162"/>
      <c r="J54" s="163">
        <f>J53+J49+J40+J31+J15+J6</f>
        <v>6860</v>
      </c>
      <c r="K54" s="162"/>
      <c r="L54" s="162"/>
      <c r="M54" s="162"/>
      <c r="N54" s="162"/>
      <c r="O54" s="115">
        <f>O53+O31+O15+O6</f>
        <v>4855</v>
      </c>
      <c r="P54" s="162"/>
      <c r="Q54" s="162"/>
      <c r="R54" s="162"/>
      <c r="S54" s="162"/>
      <c r="T54" s="115">
        <f>T53+T31+T15+T6</f>
        <v>600</v>
      </c>
      <c r="U54" s="162"/>
      <c r="V54" s="162"/>
      <c r="W54" s="162"/>
      <c r="X54" s="162"/>
      <c r="Y54" s="115">
        <f>Y53+Y31+Y15+Y6</f>
        <v>500</v>
      </c>
      <c r="Z54" s="162"/>
      <c r="AA54" s="162"/>
      <c r="AB54" s="162"/>
      <c r="AC54" s="162"/>
      <c r="AD54" s="115">
        <f>AD53+AD31+AD15+AD6</f>
        <v>0</v>
      </c>
      <c r="AE54" s="115">
        <f t="shared" si="4"/>
        <v>12815</v>
      </c>
    </row>
    <row r="55" spans="1:31" x14ac:dyDescent="0.25">
      <c r="A55" s="164"/>
      <c r="B55" s="165"/>
      <c r="C55" s="165"/>
      <c r="D55" s="166"/>
      <c r="E55" s="167"/>
      <c r="F55" s="168"/>
      <c r="G55" s="168"/>
      <c r="H55" s="168"/>
      <c r="I55" s="168"/>
      <c r="J55" s="169"/>
      <c r="K55" s="168"/>
      <c r="L55" s="168"/>
      <c r="M55" s="168"/>
      <c r="N55" s="168"/>
      <c r="O55" s="169"/>
      <c r="P55" s="168"/>
      <c r="Q55" s="168"/>
      <c r="R55" s="168"/>
      <c r="S55" s="168"/>
      <c r="T55" s="169"/>
      <c r="U55" s="168"/>
      <c r="V55" s="168"/>
      <c r="W55" s="168"/>
      <c r="X55" s="168"/>
      <c r="Y55" s="169"/>
      <c r="Z55" s="168"/>
      <c r="AA55" s="168"/>
      <c r="AB55" s="168"/>
      <c r="AC55" s="168"/>
      <c r="AD55" s="169"/>
      <c r="AE55" s="169"/>
    </row>
    <row r="56" spans="1:31" x14ac:dyDescent="0.25">
      <c r="A56" s="170"/>
      <c r="B56" s="170"/>
      <c r="C56" s="171"/>
      <c r="D56" s="170"/>
      <c r="E56" s="170"/>
      <c r="J56" s="172"/>
      <c r="O56" s="172"/>
      <c r="T56" s="172"/>
      <c r="Y56" s="172"/>
      <c r="AD56" s="172"/>
      <c r="AE56" s="172"/>
    </row>
    <row r="57" spans="1:31" ht="18" x14ac:dyDescent="0.25">
      <c r="A57" s="173" t="s">
        <v>162</v>
      </c>
      <c r="B57" s="170"/>
      <c r="C57" s="171"/>
      <c r="D57" s="170"/>
      <c r="E57" s="170"/>
      <c r="J57" s="172"/>
      <c r="O57" s="172"/>
      <c r="T57" s="172"/>
      <c r="Y57" s="172"/>
      <c r="AD57" s="172"/>
      <c r="AE57" s="172"/>
    </row>
    <row r="58" spans="1:31" x14ac:dyDescent="0.25">
      <c r="A58" s="174" t="s">
        <v>163</v>
      </c>
      <c r="B58" s="174" t="s">
        <v>164</v>
      </c>
      <c r="C58" s="174" t="s">
        <v>103</v>
      </c>
      <c r="D58" s="174" t="s">
        <v>104</v>
      </c>
      <c r="E58" s="174" t="s">
        <v>165</v>
      </c>
      <c r="F58" s="174" t="s">
        <v>90</v>
      </c>
      <c r="J58" s="172"/>
      <c r="O58" s="172"/>
      <c r="T58" s="172"/>
      <c r="Y58" s="172"/>
      <c r="AD58" s="172"/>
      <c r="AE58" s="172"/>
    </row>
    <row r="59" spans="1:31" ht="30" x14ac:dyDescent="0.25">
      <c r="A59" s="175" t="s">
        <v>166</v>
      </c>
      <c r="B59" s="176">
        <f>J6</f>
        <v>1500</v>
      </c>
      <c r="C59" s="177"/>
      <c r="D59" s="175"/>
      <c r="E59" s="175"/>
      <c r="F59" s="176">
        <f t="shared" ref="F59:F69" si="11">SUM(B59:E59)</f>
        <v>1500</v>
      </c>
      <c r="J59" s="172"/>
      <c r="L59" s="178"/>
      <c r="O59" s="172"/>
      <c r="T59" s="172"/>
      <c r="Y59" s="172"/>
      <c r="AD59" s="172"/>
      <c r="AE59" s="172"/>
    </row>
    <row r="60" spans="1:31" x14ac:dyDescent="0.25">
      <c r="A60" s="175" t="s">
        <v>167</v>
      </c>
      <c r="B60" s="176">
        <f>J15</f>
        <v>4850</v>
      </c>
      <c r="C60" s="179">
        <f>O15</f>
        <v>0</v>
      </c>
      <c r="D60" s="175"/>
      <c r="E60" s="175"/>
      <c r="F60" s="176">
        <f t="shared" si="11"/>
        <v>4850</v>
      </c>
      <c r="J60" s="172"/>
      <c r="L60" s="178"/>
      <c r="O60" s="172"/>
      <c r="T60" s="172"/>
      <c r="Y60" s="172"/>
      <c r="AD60" s="172"/>
      <c r="AE60" s="172"/>
    </row>
    <row r="61" spans="1:31" x14ac:dyDescent="0.25">
      <c r="A61" s="175" t="s">
        <v>168</v>
      </c>
      <c r="B61" s="176">
        <f>J31</f>
        <v>115</v>
      </c>
      <c r="C61" s="179">
        <f>O31</f>
        <v>2630</v>
      </c>
      <c r="D61" s="175"/>
      <c r="E61" s="175"/>
      <c r="F61" s="176">
        <f t="shared" si="11"/>
        <v>2745</v>
      </c>
      <c r="J61" s="172"/>
      <c r="L61" s="178"/>
      <c r="O61" s="172"/>
      <c r="T61" s="172"/>
      <c r="Y61" s="172"/>
      <c r="AD61" s="172"/>
      <c r="AE61" s="172"/>
    </row>
    <row r="62" spans="1:31" x14ac:dyDescent="0.25">
      <c r="A62" s="175"/>
      <c r="B62" s="176">
        <f>J40</f>
        <v>54</v>
      </c>
      <c r="C62" s="177"/>
      <c r="D62" s="175"/>
      <c r="E62" s="175"/>
      <c r="F62" s="176">
        <f t="shared" si="11"/>
        <v>54</v>
      </c>
      <c r="J62" s="172"/>
      <c r="L62" s="178"/>
      <c r="O62" s="172"/>
      <c r="T62" s="172"/>
      <c r="Y62" s="172"/>
      <c r="AD62" s="172"/>
      <c r="AE62" s="172"/>
    </row>
    <row r="63" spans="1:31" x14ac:dyDescent="0.25">
      <c r="A63" s="175" t="s">
        <v>169</v>
      </c>
      <c r="B63" s="176">
        <f>J49</f>
        <v>116</v>
      </c>
      <c r="C63" s="177"/>
      <c r="D63" s="175"/>
      <c r="E63" s="175"/>
      <c r="F63" s="176">
        <f t="shared" si="11"/>
        <v>116</v>
      </c>
      <c r="J63" s="172"/>
      <c r="L63" s="178"/>
      <c r="O63" s="172"/>
      <c r="T63" s="172"/>
      <c r="Y63" s="172"/>
      <c r="AD63" s="172"/>
      <c r="AE63" s="172"/>
    </row>
    <row r="64" spans="1:31" x14ac:dyDescent="0.25">
      <c r="A64" s="175" t="s">
        <v>170</v>
      </c>
      <c r="B64" s="176">
        <f>J53</f>
        <v>225</v>
      </c>
      <c r="C64" s="177"/>
      <c r="D64" s="175"/>
      <c r="E64" s="175"/>
      <c r="F64" s="176">
        <f t="shared" si="11"/>
        <v>225</v>
      </c>
      <c r="J64" s="172"/>
      <c r="L64" s="178"/>
      <c r="O64" s="172"/>
      <c r="T64" s="172"/>
      <c r="Y64" s="172"/>
      <c r="AD64" s="172"/>
      <c r="AE64" s="172"/>
    </row>
    <row r="65" spans="1:31" x14ac:dyDescent="0.25">
      <c r="A65" s="175" t="s">
        <v>171</v>
      </c>
      <c r="B65" s="175"/>
      <c r="C65" s="179">
        <f>O53</f>
        <v>2225</v>
      </c>
      <c r="D65" s="175"/>
      <c r="E65" s="175"/>
      <c r="F65" s="176">
        <f t="shared" si="11"/>
        <v>2225</v>
      </c>
      <c r="J65" s="172"/>
      <c r="L65" s="178"/>
      <c r="O65" s="172"/>
      <c r="T65" s="172"/>
      <c r="Y65" s="172"/>
      <c r="AD65" s="172"/>
      <c r="AE65" s="172"/>
    </row>
    <row r="66" spans="1:31" x14ac:dyDescent="0.25">
      <c r="A66" s="180" t="s">
        <v>172</v>
      </c>
      <c r="B66" s="181"/>
      <c r="C66" s="182">
        <f>'[1]Income Statement'!K28</f>
        <v>43027.5</v>
      </c>
      <c r="D66" s="181">
        <f>'[1]Income Statement'!P28</f>
        <v>64825</v>
      </c>
      <c r="E66" s="181">
        <f>'[1]Income Statement'!U28</f>
        <v>104478.75</v>
      </c>
      <c r="F66" s="176">
        <f t="shared" si="11"/>
        <v>212331.25</v>
      </c>
      <c r="J66" s="172"/>
      <c r="L66" s="178"/>
      <c r="O66" s="172"/>
      <c r="T66" s="172"/>
      <c r="Y66" s="172"/>
      <c r="AD66" s="172"/>
      <c r="AE66" s="172"/>
    </row>
    <row r="67" spans="1:31" ht="30" x14ac:dyDescent="0.25">
      <c r="A67" s="180" t="s">
        <v>173</v>
      </c>
      <c r="B67" s="183">
        <f>'[1]Income Statement'!F63</f>
        <v>1069.9725000000001</v>
      </c>
      <c r="C67" s="184">
        <f>'[1]Income Statement'!K63</f>
        <v>4606.3378000000002</v>
      </c>
      <c r="D67" s="183">
        <f>'[1]Income Statement'!P63</f>
        <v>4443.8693583125005</v>
      </c>
      <c r="E67" s="183">
        <f>'[1]Income Statement'!U63</f>
        <v>4433.6889215906249</v>
      </c>
      <c r="F67" s="176">
        <f t="shared" si="11"/>
        <v>14553.868579903125</v>
      </c>
      <c r="J67" s="172"/>
      <c r="L67" s="178"/>
      <c r="O67" s="172"/>
      <c r="T67" s="172"/>
      <c r="Y67" s="172"/>
      <c r="AD67" s="172"/>
      <c r="AE67" s="172"/>
    </row>
    <row r="68" spans="1:31" x14ac:dyDescent="0.25">
      <c r="A68" s="180" t="s">
        <v>174</v>
      </c>
      <c r="B68" s="183">
        <f>'[1]Income Statement'!F39</f>
        <v>2755</v>
      </c>
      <c r="C68" s="184">
        <f>'[1]Income Statement'!K39</f>
        <v>3074</v>
      </c>
      <c r="D68" s="183">
        <f>'[1]Income Statement'!P39</f>
        <v>3326.1000000000004</v>
      </c>
      <c r="E68" s="183">
        <f>'[1]Income Statement'!U39</f>
        <v>3638.0450000000005</v>
      </c>
      <c r="F68" s="176">
        <f t="shared" si="11"/>
        <v>12793.145</v>
      </c>
      <c r="J68" s="172"/>
      <c r="L68" s="178"/>
      <c r="O68" s="172"/>
      <c r="T68" s="172"/>
      <c r="Y68" s="172"/>
      <c r="AD68" s="172"/>
      <c r="AE68" s="172"/>
    </row>
    <row r="69" spans="1:31" x14ac:dyDescent="0.25">
      <c r="A69" s="180" t="s">
        <v>175</v>
      </c>
      <c r="B69" s="183">
        <f>'[1]Income Statement'!F72</f>
        <v>3156.645</v>
      </c>
      <c r="C69" s="184">
        <f>'[1]Income Statement'!K72</f>
        <v>5445.0550000000003</v>
      </c>
      <c r="D69" s="183">
        <f>'[1]Income Statement'!P72</f>
        <v>7857.4624999999996</v>
      </c>
      <c r="E69" s="183">
        <f>'[1]Income Statement'!U72</f>
        <v>12200.973125</v>
      </c>
      <c r="F69" s="176">
        <f t="shared" si="11"/>
        <v>28660.135624999999</v>
      </c>
      <c r="J69" s="172"/>
      <c r="L69" s="178"/>
      <c r="O69" s="172"/>
      <c r="T69" s="172"/>
      <c r="Y69" s="172"/>
      <c r="AD69" s="172"/>
      <c r="AE69" s="172"/>
    </row>
    <row r="70" spans="1:31" x14ac:dyDescent="0.25">
      <c r="A70" s="185" t="s">
        <v>90</v>
      </c>
      <c r="B70" s="186">
        <f>SUM(B59:B69)</f>
        <v>13841.6175</v>
      </c>
      <c r="C70" s="186">
        <f>SUM(C59:C69)</f>
        <v>61007.892800000001</v>
      </c>
      <c r="D70" s="186">
        <f>SUM(D59:D69)</f>
        <v>80452.431858312499</v>
      </c>
      <c r="E70" s="186">
        <f>SUM(E59:E69)</f>
        <v>124751.45704659063</v>
      </c>
      <c r="F70" s="186">
        <f>SUM(F59:F69)</f>
        <v>280053.39920490311</v>
      </c>
      <c r="J70" s="172"/>
      <c r="L70" s="178"/>
      <c r="O70" s="172"/>
      <c r="T70" s="172"/>
      <c r="Y70" s="172"/>
      <c r="AD70" s="172"/>
      <c r="AE70" s="172"/>
    </row>
    <row r="71" spans="1:31" x14ac:dyDescent="0.25">
      <c r="A71" s="170"/>
      <c r="B71" s="170"/>
      <c r="C71" s="171"/>
      <c r="D71" s="170"/>
      <c r="E71" s="170"/>
      <c r="J71" s="172"/>
      <c r="L71" s="178"/>
      <c r="O71" s="172"/>
      <c r="T71" s="172"/>
      <c r="Y71" s="172"/>
      <c r="AD71" s="172"/>
      <c r="AE71" s="172"/>
    </row>
    <row r="72" spans="1:31" x14ac:dyDescent="0.25">
      <c r="A72" s="170"/>
      <c r="B72" s="170"/>
      <c r="C72" s="171"/>
      <c r="D72" s="170"/>
      <c r="E72" s="170"/>
      <c r="J72" s="172"/>
      <c r="L72" s="178"/>
      <c r="O72" s="172"/>
      <c r="T72" s="172"/>
      <c r="Y72" s="172"/>
      <c r="AD72" s="172"/>
      <c r="AE72" s="172"/>
    </row>
    <row r="73" spans="1:31" x14ac:dyDescent="0.25">
      <c r="A73" s="170"/>
      <c r="B73" s="170"/>
      <c r="C73" s="171"/>
      <c r="D73" s="170"/>
      <c r="E73" s="170"/>
      <c r="J73" s="172"/>
      <c r="L73" s="178"/>
      <c r="O73" s="172"/>
      <c r="T73" s="172"/>
      <c r="Y73" s="172"/>
      <c r="AD73" s="172"/>
      <c r="AE73" s="172"/>
    </row>
    <row r="74" spans="1:31" x14ac:dyDescent="0.25">
      <c r="A74" s="170"/>
      <c r="B74" s="170"/>
      <c r="C74" s="171"/>
      <c r="D74" s="170"/>
      <c r="E74" s="170"/>
      <c r="J74" s="172"/>
      <c r="O74" s="172"/>
      <c r="T74" s="172"/>
      <c r="Y74" s="172"/>
      <c r="AD74" s="172"/>
      <c r="AE74" s="172"/>
    </row>
    <row r="75" spans="1:31" x14ac:dyDescent="0.25">
      <c r="A75" s="170"/>
      <c r="B75" s="170"/>
      <c r="C75" s="171"/>
      <c r="D75" s="170"/>
      <c r="E75" s="170"/>
      <c r="J75" s="172"/>
      <c r="O75" s="172"/>
      <c r="T75" s="172"/>
      <c r="Y75" s="172"/>
      <c r="AD75" s="172"/>
      <c r="AE75" s="172"/>
    </row>
    <row r="76" spans="1:31" x14ac:dyDescent="0.25">
      <c r="A76" s="170"/>
      <c r="B76" s="170"/>
      <c r="C76" s="171"/>
      <c r="D76" s="170"/>
      <c r="E76" s="170"/>
      <c r="J76" s="172"/>
      <c r="O76" s="172"/>
      <c r="T76" s="172"/>
      <c r="Y76" s="172"/>
      <c r="AD76" s="172"/>
      <c r="AE76" s="172"/>
    </row>
    <row r="77" spans="1:31" x14ac:dyDescent="0.25">
      <c r="A77" s="170"/>
      <c r="B77" s="170"/>
      <c r="C77" s="171"/>
      <c r="D77" s="170"/>
      <c r="E77" s="170"/>
      <c r="J77" s="172"/>
      <c r="O77" s="172"/>
      <c r="T77" s="172"/>
      <c r="Y77" s="172"/>
      <c r="AD77" s="172"/>
      <c r="AE77" s="172"/>
    </row>
    <row r="78" spans="1:31" x14ac:dyDescent="0.25">
      <c r="A78" s="170"/>
      <c r="B78" s="170"/>
      <c r="C78" s="171"/>
      <c r="D78" s="170"/>
      <c r="E78" s="170"/>
      <c r="J78" s="172"/>
      <c r="O78" s="172"/>
      <c r="T78" s="172"/>
      <c r="Y78" s="172"/>
      <c r="AD78" s="172"/>
      <c r="AE78" s="172"/>
    </row>
    <row r="79" spans="1:31" x14ac:dyDescent="0.25">
      <c r="A79" s="170"/>
      <c r="B79" s="170"/>
      <c r="C79" s="171"/>
      <c r="D79" s="170"/>
      <c r="E79" s="170"/>
      <c r="J79" s="172"/>
      <c r="O79" s="172"/>
      <c r="T79" s="172"/>
      <c r="Y79" s="172"/>
      <c r="AD79" s="172"/>
      <c r="AE79" s="172"/>
    </row>
    <row r="80" spans="1:31" x14ac:dyDescent="0.25">
      <c r="A80" s="170"/>
      <c r="B80" s="170"/>
      <c r="C80" s="171"/>
      <c r="D80" s="170"/>
      <c r="E80" s="170"/>
      <c r="J80" s="172"/>
      <c r="O80" s="172"/>
      <c r="T80" s="172"/>
      <c r="Y80" s="172"/>
      <c r="AD80" s="172"/>
      <c r="AE80" s="172"/>
    </row>
    <row r="81" spans="1:31" x14ac:dyDescent="0.25">
      <c r="A81" s="170"/>
      <c r="B81" s="170"/>
      <c r="C81" s="171"/>
      <c r="D81" s="170"/>
      <c r="E81" s="170"/>
      <c r="J81" s="172"/>
      <c r="O81" s="172"/>
      <c r="T81" s="172"/>
      <c r="Y81" s="172"/>
      <c r="AD81" s="172"/>
      <c r="AE81" s="172"/>
    </row>
    <row r="82" spans="1:31" x14ac:dyDescent="0.25">
      <c r="A82" s="170"/>
      <c r="B82" s="170"/>
      <c r="C82" s="171"/>
      <c r="D82" s="170"/>
      <c r="E82" s="170"/>
      <c r="J82" s="172"/>
      <c r="O82" s="172"/>
      <c r="T82" s="172"/>
      <c r="Y82" s="172"/>
      <c r="AD82" s="172"/>
      <c r="AE82" s="172"/>
    </row>
    <row r="83" spans="1:31" x14ac:dyDescent="0.25">
      <c r="A83" s="170"/>
      <c r="B83" s="170"/>
      <c r="C83" s="171"/>
      <c r="D83" s="170"/>
      <c r="E83" s="170"/>
      <c r="J83" s="172"/>
      <c r="O83" s="172"/>
      <c r="T83" s="172"/>
      <c r="Y83" s="172"/>
      <c r="AD83" s="172"/>
      <c r="AE83" s="172"/>
    </row>
    <row r="84" spans="1:31" x14ac:dyDescent="0.25">
      <c r="A84" s="170"/>
      <c r="B84" s="170"/>
      <c r="C84" s="171"/>
      <c r="D84" s="170"/>
      <c r="E84" s="170"/>
      <c r="J84" s="172"/>
      <c r="O84" s="172"/>
      <c r="T84" s="172"/>
      <c r="Y84" s="172"/>
      <c r="AD84" s="172"/>
      <c r="AE84" s="172"/>
    </row>
    <row r="85" spans="1:31" x14ac:dyDescent="0.25">
      <c r="A85" s="170"/>
      <c r="B85" s="170"/>
      <c r="C85" s="171"/>
      <c r="D85" s="170"/>
      <c r="E85" s="170"/>
      <c r="J85" s="172"/>
      <c r="O85" s="172"/>
      <c r="T85" s="172"/>
      <c r="Y85" s="172"/>
      <c r="AD85" s="172"/>
      <c r="AE85" s="172"/>
    </row>
    <row r="86" spans="1:31" x14ac:dyDescent="0.25">
      <c r="A86" s="170"/>
      <c r="B86" s="170"/>
      <c r="C86" s="171"/>
      <c r="D86" s="170"/>
      <c r="E86" s="170"/>
      <c r="J86" s="172"/>
      <c r="O86" s="172"/>
      <c r="T86" s="172"/>
      <c r="Y86" s="172"/>
      <c r="AD86" s="172"/>
      <c r="AE86" s="172"/>
    </row>
    <row r="87" spans="1:31" x14ac:dyDescent="0.25">
      <c r="A87" s="170"/>
      <c r="B87" s="170"/>
      <c r="C87" s="171"/>
      <c r="D87" s="170"/>
      <c r="E87" s="170"/>
      <c r="J87" s="172"/>
      <c r="O87" s="172"/>
      <c r="T87" s="172"/>
      <c r="Y87" s="172"/>
      <c r="AD87" s="172"/>
      <c r="AE87" s="172"/>
    </row>
    <row r="88" spans="1:31" x14ac:dyDescent="0.25">
      <c r="A88" s="170"/>
      <c r="B88" s="170"/>
      <c r="C88" s="171"/>
      <c r="D88" s="170"/>
      <c r="E88" s="170"/>
      <c r="J88" s="172"/>
      <c r="O88" s="172"/>
      <c r="T88" s="172"/>
      <c r="Y88" s="172"/>
      <c r="AD88" s="172"/>
      <c r="AE88" s="172"/>
    </row>
    <row r="89" spans="1:31" x14ac:dyDescent="0.25">
      <c r="A89" s="170"/>
      <c r="B89" s="170"/>
      <c r="C89" s="171"/>
      <c r="D89" s="170"/>
      <c r="E89" s="170"/>
      <c r="J89" s="172"/>
      <c r="O89" s="172"/>
      <c r="T89" s="172"/>
      <c r="Y89" s="172"/>
      <c r="AD89" s="172"/>
      <c r="AE89" s="172"/>
    </row>
    <row r="90" spans="1:31" x14ac:dyDescent="0.25">
      <c r="A90" s="170"/>
      <c r="B90" s="170"/>
      <c r="C90" s="171"/>
      <c r="D90" s="170"/>
      <c r="E90" s="170"/>
      <c r="J90" s="172"/>
      <c r="O90" s="172"/>
      <c r="T90" s="172"/>
      <c r="Y90" s="172"/>
      <c r="AD90" s="172"/>
      <c r="AE90" s="172"/>
    </row>
    <row r="91" spans="1:31" x14ac:dyDescent="0.25">
      <c r="A91" s="170"/>
      <c r="B91" s="170"/>
      <c r="C91" s="171"/>
      <c r="D91" s="170"/>
      <c r="E91" s="170"/>
      <c r="J91" s="172"/>
      <c r="O91" s="172"/>
      <c r="T91" s="172"/>
      <c r="Y91" s="172"/>
      <c r="AD91" s="172"/>
      <c r="AE91" s="172"/>
    </row>
    <row r="92" spans="1:31" x14ac:dyDescent="0.25">
      <c r="A92" s="170"/>
      <c r="B92" s="170"/>
      <c r="C92" s="171"/>
      <c r="D92" s="170"/>
      <c r="E92" s="170"/>
      <c r="J92" s="172"/>
      <c r="O92" s="172"/>
      <c r="T92" s="172"/>
      <c r="Y92" s="172"/>
      <c r="AD92" s="172"/>
      <c r="AE92" s="172"/>
    </row>
    <row r="93" spans="1:31" x14ac:dyDescent="0.25">
      <c r="A93" s="170"/>
      <c r="B93" s="170"/>
      <c r="C93" s="171"/>
      <c r="D93" s="170"/>
      <c r="E93" s="170"/>
      <c r="J93" s="172"/>
      <c r="O93" s="172"/>
      <c r="T93" s="172"/>
      <c r="Y93" s="172"/>
      <c r="AD93" s="172"/>
      <c r="AE93" s="172"/>
    </row>
    <row r="94" spans="1:31" x14ac:dyDescent="0.25">
      <c r="A94" s="170"/>
      <c r="B94" s="170"/>
      <c r="C94" s="171"/>
      <c r="D94" s="170"/>
      <c r="E94" s="170"/>
      <c r="J94" s="172"/>
      <c r="O94" s="172"/>
      <c r="T94" s="172"/>
      <c r="Y94" s="172"/>
      <c r="AD94" s="172"/>
      <c r="AE94" s="172"/>
    </row>
    <row r="95" spans="1:31" x14ac:dyDescent="0.25">
      <c r="A95" s="170"/>
      <c r="B95" s="170"/>
      <c r="C95" s="171"/>
      <c r="D95" s="170"/>
      <c r="E95" s="170"/>
      <c r="J95" s="172"/>
      <c r="O95" s="172"/>
      <c r="T95" s="172"/>
      <c r="Y95" s="172"/>
      <c r="AD95" s="172"/>
      <c r="AE95" s="172"/>
    </row>
    <row r="96" spans="1:31" x14ac:dyDescent="0.25">
      <c r="A96" s="170"/>
      <c r="B96" s="170"/>
      <c r="C96" s="171"/>
      <c r="D96" s="170"/>
      <c r="E96" s="170"/>
      <c r="J96" s="172"/>
      <c r="O96" s="172"/>
      <c r="T96" s="172"/>
      <c r="Y96" s="172"/>
      <c r="AD96" s="172"/>
      <c r="AE96" s="172"/>
    </row>
    <row r="97" spans="1:31" x14ac:dyDescent="0.25">
      <c r="A97" s="170"/>
      <c r="B97" s="170"/>
      <c r="C97" s="171"/>
      <c r="D97" s="170"/>
      <c r="E97" s="170"/>
      <c r="J97" s="172"/>
      <c r="O97" s="172"/>
      <c r="T97" s="172"/>
      <c r="Y97" s="172"/>
      <c r="AD97" s="172"/>
      <c r="AE97" s="172"/>
    </row>
    <row r="98" spans="1:31" x14ac:dyDescent="0.25">
      <c r="A98" s="170"/>
      <c r="B98" s="170"/>
      <c r="C98" s="171"/>
      <c r="D98" s="170"/>
      <c r="E98" s="170"/>
      <c r="J98" s="172"/>
      <c r="O98" s="172"/>
      <c r="T98" s="172"/>
      <c r="Y98" s="172"/>
      <c r="AD98" s="172"/>
      <c r="AE98" s="172"/>
    </row>
    <row r="99" spans="1:31" x14ac:dyDescent="0.25">
      <c r="A99" s="170"/>
      <c r="B99" s="170"/>
      <c r="C99" s="171"/>
      <c r="D99" s="170"/>
      <c r="E99" s="170"/>
      <c r="J99" s="172"/>
      <c r="O99" s="172"/>
      <c r="T99" s="172"/>
      <c r="Y99" s="172"/>
      <c r="AD99" s="172"/>
      <c r="AE99" s="172"/>
    </row>
    <row r="100" spans="1:31" x14ac:dyDescent="0.25">
      <c r="A100" s="170"/>
      <c r="B100" s="170"/>
      <c r="C100" s="171"/>
      <c r="D100" s="170"/>
      <c r="E100" s="170"/>
      <c r="J100" s="172"/>
      <c r="O100" s="172"/>
      <c r="T100" s="172"/>
      <c r="Y100" s="172"/>
      <c r="AD100" s="172"/>
      <c r="AE100" s="172"/>
    </row>
    <row r="101" spans="1:31" x14ac:dyDescent="0.25">
      <c r="A101" s="170"/>
      <c r="B101" s="170"/>
      <c r="C101" s="171"/>
      <c r="D101" s="170"/>
      <c r="E101" s="170"/>
      <c r="J101" s="172"/>
      <c r="O101" s="172"/>
      <c r="T101" s="172"/>
      <c r="Y101" s="172"/>
      <c r="AD101" s="172"/>
      <c r="AE101" s="172"/>
    </row>
    <row r="102" spans="1:31" x14ac:dyDescent="0.25">
      <c r="A102" s="170"/>
      <c r="B102" s="170"/>
      <c r="C102" s="171"/>
      <c r="D102" s="170"/>
      <c r="E102" s="170"/>
      <c r="J102" s="172"/>
      <c r="O102" s="172"/>
      <c r="T102" s="172"/>
      <c r="Y102" s="172"/>
      <c r="AD102" s="172"/>
      <c r="AE102" s="172"/>
    </row>
    <row r="103" spans="1:31" x14ac:dyDescent="0.25">
      <c r="A103" s="170"/>
      <c r="B103" s="170"/>
      <c r="C103" s="171"/>
      <c r="D103" s="170"/>
      <c r="E103" s="170"/>
      <c r="J103" s="172"/>
      <c r="O103" s="172"/>
      <c r="T103" s="172"/>
      <c r="Y103" s="172"/>
      <c r="AD103" s="172"/>
      <c r="AE103" s="172"/>
    </row>
    <row r="104" spans="1:31" x14ac:dyDescent="0.25">
      <c r="A104" s="170"/>
      <c r="B104" s="170"/>
      <c r="C104" s="171"/>
      <c r="D104" s="170"/>
      <c r="E104" s="170"/>
      <c r="J104" s="172"/>
      <c r="O104" s="172"/>
      <c r="T104" s="172"/>
      <c r="Y104" s="172"/>
      <c r="AD104" s="172"/>
      <c r="AE104" s="172"/>
    </row>
    <row r="105" spans="1:31" x14ac:dyDescent="0.25">
      <c r="A105" s="170"/>
      <c r="B105" s="170"/>
      <c r="C105" s="171"/>
      <c r="D105" s="170"/>
      <c r="E105" s="170"/>
      <c r="J105" s="172"/>
      <c r="O105" s="172"/>
      <c r="T105" s="172"/>
      <c r="Y105" s="172"/>
      <c r="AD105" s="172"/>
      <c r="AE105" s="172"/>
    </row>
    <row r="106" spans="1:31" x14ac:dyDescent="0.25">
      <c r="A106" s="170"/>
      <c r="B106" s="170"/>
      <c r="C106" s="171"/>
      <c r="D106" s="170"/>
      <c r="E106" s="170"/>
      <c r="J106" s="172"/>
      <c r="O106" s="172"/>
      <c r="T106" s="172"/>
      <c r="Y106" s="172"/>
      <c r="AD106" s="172"/>
      <c r="AE106" s="172"/>
    </row>
    <row r="107" spans="1:31" x14ac:dyDescent="0.25">
      <c r="A107" s="170"/>
      <c r="B107" s="170"/>
      <c r="C107" s="171"/>
      <c r="D107" s="170"/>
      <c r="E107" s="170"/>
      <c r="J107" s="172"/>
      <c r="O107" s="172"/>
      <c r="T107" s="172"/>
      <c r="Y107" s="172"/>
      <c r="AD107" s="172"/>
      <c r="AE107" s="172"/>
    </row>
    <row r="108" spans="1:31" x14ac:dyDescent="0.25">
      <c r="A108" s="170"/>
      <c r="B108" s="170"/>
      <c r="C108" s="171"/>
      <c r="D108" s="170"/>
      <c r="E108" s="170"/>
      <c r="J108" s="172"/>
      <c r="O108" s="172"/>
      <c r="T108" s="172"/>
      <c r="Y108" s="172"/>
      <c r="AD108" s="172"/>
      <c r="AE108" s="172"/>
    </row>
    <row r="109" spans="1:31" x14ac:dyDescent="0.25">
      <c r="A109" s="170"/>
      <c r="B109" s="170"/>
      <c r="C109" s="171"/>
      <c r="D109" s="170"/>
      <c r="E109" s="170"/>
      <c r="J109" s="172"/>
      <c r="O109" s="172"/>
      <c r="T109" s="172"/>
      <c r="Y109" s="172"/>
      <c r="AD109" s="172"/>
      <c r="AE109" s="172"/>
    </row>
    <row r="110" spans="1:31" x14ac:dyDescent="0.25">
      <c r="A110" s="170"/>
      <c r="B110" s="170"/>
      <c r="C110" s="171"/>
      <c r="D110" s="170"/>
      <c r="E110" s="170"/>
      <c r="J110" s="172"/>
      <c r="O110" s="172"/>
      <c r="T110" s="172"/>
      <c r="Y110" s="172"/>
      <c r="AD110" s="172"/>
      <c r="AE110" s="172"/>
    </row>
    <row r="111" spans="1:31" x14ac:dyDescent="0.25">
      <c r="A111" s="170"/>
      <c r="B111" s="170"/>
      <c r="C111" s="171"/>
      <c r="D111" s="170"/>
      <c r="E111" s="170"/>
      <c r="J111" s="172"/>
      <c r="O111" s="172"/>
      <c r="T111" s="172"/>
      <c r="Y111" s="172"/>
      <c r="AD111" s="172"/>
      <c r="AE111" s="172"/>
    </row>
    <row r="112" spans="1:31" x14ac:dyDescent="0.25">
      <c r="A112" s="170"/>
      <c r="B112" s="170"/>
      <c r="C112" s="171"/>
      <c r="D112" s="170"/>
      <c r="E112" s="170"/>
      <c r="J112" s="172"/>
      <c r="O112" s="172"/>
      <c r="T112" s="172"/>
      <c r="Y112" s="172"/>
      <c r="AD112" s="172"/>
      <c r="AE112" s="172"/>
    </row>
    <row r="113" spans="1:31" x14ac:dyDescent="0.25">
      <c r="A113" s="170"/>
      <c r="B113" s="170"/>
      <c r="C113" s="171"/>
      <c r="D113" s="170"/>
      <c r="E113" s="170"/>
      <c r="J113" s="172"/>
      <c r="O113" s="172"/>
      <c r="T113" s="172"/>
      <c r="Y113" s="172"/>
      <c r="AD113" s="172"/>
      <c r="AE113" s="172"/>
    </row>
    <row r="114" spans="1:31" x14ac:dyDescent="0.25">
      <c r="A114" s="170"/>
      <c r="B114" s="170"/>
      <c r="C114" s="171"/>
      <c r="D114" s="170"/>
      <c r="E114" s="170"/>
      <c r="J114" s="172"/>
      <c r="O114" s="172"/>
      <c r="T114" s="172"/>
      <c r="Y114" s="172"/>
      <c r="AD114" s="172"/>
      <c r="AE114" s="172"/>
    </row>
    <row r="115" spans="1:31" x14ac:dyDescent="0.25">
      <c r="A115" s="170"/>
      <c r="B115" s="170"/>
      <c r="C115" s="171"/>
      <c r="D115" s="170"/>
      <c r="E115" s="170"/>
      <c r="J115" s="172"/>
      <c r="O115" s="172"/>
      <c r="T115" s="172"/>
      <c r="Y115" s="172"/>
      <c r="AD115" s="172"/>
      <c r="AE115" s="172"/>
    </row>
    <row r="116" spans="1:31" x14ac:dyDescent="0.25">
      <c r="A116" s="170"/>
      <c r="B116" s="170"/>
      <c r="C116" s="171"/>
      <c r="D116" s="170"/>
      <c r="E116" s="170"/>
      <c r="J116" s="172"/>
      <c r="O116" s="172"/>
      <c r="T116" s="172"/>
      <c r="Y116" s="172"/>
      <c r="AD116" s="172"/>
      <c r="AE116" s="172"/>
    </row>
    <row r="117" spans="1:31" x14ac:dyDescent="0.25">
      <c r="A117" s="170"/>
      <c r="B117" s="170"/>
      <c r="C117" s="171"/>
      <c r="D117" s="170"/>
      <c r="E117" s="170"/>
      <c r="J117" s="172"/>
      <c r="O117" s="172"/>
      <c r="T117" s="172"/>
      <c r="Y117" s="172"/>
      <c r="AD117" s="172"/>
      <c r="AE117" s="172"/>
    </row>
    <row r="118" spans="1:31" x14ac:dyDescent="0.25">
      <c r="A118" s="170"/>
      <c r="B118" s="170"/>
      <c r="C118" s="171"/>
      <c r="D118" s="170"/>
      <c r="E118" s="170"/>
      <c r="J118" s="172"/>
      <c r="O118" s="172"/>
      <c r="T118" s="172"/>
      <c r="Y118" s="172"/>
      <c r="AD118" s="172"/>
      <c r="AE118" s="172"/>
    </row>
    <row r="119" spans="1:31" x14ac:dyDescent="0.25">
      <c r="A119" s="170"/>
      <c r="B119" s="170"/>
      <c r="C119" s="171"/>
      <c r="D119" s="170"/>
      <c r="E119" s="170"/>
      <c r="J119" s="172"/>
      <c r="O119" s="172"/>
      <c r="T119" s="172"/>
      <c r="Y119" s="172"/>
      <c r="AD119" s="172"/>
      <c r="AE119" s="172"/>
    </row>
    <row r="120" spans="1:31" x14ac:dyDescent="0.25">
      <c r="A120" s="170"/>
      <c r="B120" s="170"/>
      <c r="C120" s="171"/>
      <c r="D120" s="170"/>
      <c r="E120" s="170"/>
      <c r="J120" s="172"/>
      <c r="O120" s="172"/>
      <c r="T120" s="172"/>
      <c r="Y120" s="172"/>
      <c r="AD120" s="172"/>
      <c r="AE120" s="172"/>
    </row>
  </sheetData>
  <mergeCells count="6">
    <mergeCell ref="Z1:AC1"/>
    <mergeCell ref="A1:E1"/>
    <mergeCell ref="F1:I1"/>
    <mergeCell ref="K1:N1"/>
    <mergeCell ref="P1:S1"/>
    <mergeCell ref="U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6"/>
  <sheetViews>
    <sheetView workbookViewId="0">
      <selection activeCell="B17" sqref="B17"/>
    </sheetView>
  </sheetViews>
  <sheetFormatPr defaultRowHeight="15" x14ac:dyDescent="0.25"/>
  <cols>
    <col min="1" max="1" width="43" customWidth="1"/>
    <col min="2" max="2" width="9.85546875" customWidth="1"/>
    <col min="3" max="3" width="7.7109375" customWidth="1"/>
    <col min="4" max="4" width="8.42578125" customWidth="1"/>
    <col min="5" max="5" width="11" customWidth="1"/>
    <col min="6" max="6" width="13.28515625" customWidth="1"/>
    <col min="7" max="9" width="11" customWidth="1"/>
    <col min="10" max="10" width="9.140625" customWidth="1"/>
    <col min="11" max="11" width="15.28515625" bestFit="1" customWidth="1"/>
    <col min="12" max="25" width="11" customWidth="1"/>
    <col min="26" max="26" width="10.7109375" customWidth="1"/>
  </cols>
  <sheetData>
    <row r="1" spans="1:26" x14ac:dyDescent="0.25">
      <c r="B1" s="389" t="s">
        <v>92</v>
      </c>
      <c r="C1" s="390"/>
      <c r="D1" s="390"/>
      <c r="E1" s="390"/>
      <c r="F1" s="187"/>
      <c r="G1" s="391" t="s">
        <v>176</v>
      </c>
      <c r="H1" s="392"/>
      <c r="I1" s="392"/>
      <c r="J1" s="392"/>
      <c r="K1" s="188"/>
      <c r="L1" s="393" t="s">
        <v>94</v>
      </c>
      <c r="M1" s="394"/>
      <c r="N1" s="394"/>
      <c r="O1" s="394"/>
      <c r="P1" s="189"/>
      <c r="Q1" s="395" t="s">
        <v>95</v>
      </c>
      <c r="R1" s="390"/>
      <c r="S1" s="390"/>
      <c r="T1" s="390"/>
      <c r="U1" s="187"/>
      <c r="V1" s="395" t="s">
        <v>96</v>
      </c>
      <c r="W1" s="390"/>
      <c r="X1" s="390"/>
      <c r="Y1" s="390"/>
      <c r="Z1" s="187"/>
    </row>
    <row r="2" spans="1:26" ht="15.75" thickBot="1" x14ac:dyDescent="0.3">
      <c r="A2" s="172"/>
      <c r="B2" s="190" t="s">
        <v>7</v>
      </c>
      <c r="C2" s="191" t="s">
        <v>8</v>
      </c>
      <c r="D2" s="191" t="s">
        <v>9</v>
      </c>
      <c r="E2" s="191" t="s">
        <v>10</v>
      </c>
      <c r="F2" s="191"/>
      <c r="G2" s="192" t="s">
        <v>11</v>
      </c>
      <c r="H2" s="193" t="s">
        <v>12</v>
      </c>
      <c r="I2" s="193" t="s">
        <v>13</v>
      </c>
      <c r="J2" s="193" t="s">
        <v>14</v>
      </c>
      <c r="K2" s="194"/>
      <c r="L2" s="195" t="s">
        <v>15</v>
      </c>
      <c r="M2" s="191" t="s">
        <v>16</v>
      </c>
      <c r="N2" s="191" t="s">
        <v>17</v>
      </c>
      <c r="O2" s="191" t="s">
        <v>18</v>
      </c>
      <c r="P2" s="196"/>
      <c r="Q2" s="191" t="s">
        <v>19</v>
      </c>
      <c r="R2" s="191" t="s">
        <v>20</v>
      </c>
      <c r="S2" s="191" t="s">
        <v>21</v>
      </c>
      <c r="T2" s="191" t="s">
        <v>22</v>
      </c>
      <c r="U2" s="191"/>
      <c r="V2" s="195" t="s">
        <v>23</v>
      </c>
      <c r="W2" s="191" t="s">
        <v>24</v>
      </c>
      <c r="X2" s="191" t="s">
        <v>25</v>
      </c>
      <c r="Y2" s="191" t="s">
        <v>26</v>
      </c>
      <c r="Z2" s="191"/>
    </row>
    <row r="3" spans="1:26" x14ac:dyDescent="0.25">
      <c r="A3" s="197"/>
      <c r="B3" s="198" t="s">
        <v>177</v>
      </c>
      <c r="C3" s="199"/>
      <c r="D3" s="199"/>
      <c r="E3" s="199"/>
      <c r="F3" s="199" t="s">
        <v>90</v>
      </c>
      <c r="G3" s="200" t="s">
        <v>178</v>
      </c>
      <c r="H3" s="201"/>
      <c r="I3" s="201"/>
      <c r="J3" s="201"/>
      <c r="K3" s="202" t="s">
        <v>90</v>
      </c>
      <c r="L3" s="203" t="s">
        <v>179</v>
      </c>
      <c r="M3" s="199"/>
      <c r="N3" s="199"/>
      <c r="O3" s="199"/>
      <c r="P3" s="199" t="s">
        <v>90</v>
      </c>
      <c r="Q3" s="200" t="s">
        <v>180</v>
      </c>
      <c r="R3" s="201"/>
      <c r="S3" s="201"/>
      <c r="T3" s="201"/>
      <c r="U3" s="202" t="s">
        <v>90</v>
      </c>
      <c r="V3" s="200" t="s">
        <v>181</v>
      </c>
      <c r="W3" s="201"/>
      <c r="X3" s="201"/>
      <c r="Y3" s="201"/>
      <c r="Z3" s="204" t="s">
        <v>90</v>
      </c>
    </row>
    <row r="4" spans="1:26" x14ac:dyDescent="0.25">
      <c r="A4" s="205"/>
      <c r="B4" s="206" t="s">
        <v>31</v>
      </c>
      <c r="C4" s="207" t="s">
        <v>32</v>
      </c>
      <c r="D4" s="207" t="s">
        <v>33</v>
      </c>
      <c r="E4" s="207" t="s">
        <v>34</v>
      </c>
      <c r="F4" s="208" t="s">
        <v>164</v>
      </c>
      <c r="G4" s="209" t="s">
        <v>31</v>
      </c>
      <c r="H4" s="210" t="s">
        <v>32</v>
      </c>
      <c r="I4" s="210" t="s">
        <v>33</v>
      </c>
      <c r="J4" s="210" t="s">
        <v>34</v>
      </c>
      <c r="K4" s="211" t="s">
        <v>103</v>
      </c>
      <c r="L4" s="212" t="s">
        <v>31</v>
      </c>
      <c r="M4" s="207" t="s">
        <v>32</v>
      </c>
      <c r="N4" s="207" t="s">
        <v>33</v>
      </c>
      <c r="O4" s="207" t="s">
        <v>34</v>
      </c>
      <c r="P4" s="208" t="s">
        <v>104</v>
      </c>
      <c r="Q4" s="209" t="s">
        <v>31</v>
      </c>
      <c r="R4" s="210" t="s">
        <v>32</v>
      </c>
      <c r="S4" s="210" t="s">
        <v>33</v>
      </c>
      <c r="T4" s="210" t="s">
        <v>34</v>
      </c>
      <c r="U4" s="211" t="s">
        <v>165</v>
      </c>
      <c r="V4" s="209" t="s">
        <v>31</v>
      </c>
      <c r="W4" s="210" t="s">
        <v>32</v>
      </c>
      <c r="X4" s="210" t="s">
        <v>33</v>
      </c>
      <c r="Y4" s="210" t="s">
        <v>34</v>
      </c>
      <c r="Z4" s="213" t="s">
        <v>106</v>
      </c>
    </row>
    <row r="5" spans="1:26" ht="18" x14ac:dyDescent="0.25">
      <c r="A5" s="214" t="s">
        <v>182</v>
      </c>
      <c r="B5" s="215" t="s">
        <v>36</v>
      </c>
      <c r="C5" s="216" t="s">
        <v>36</v>
      </c>
      <c r="D5" s="216" t="s">
        <v>36</v>
      </c>
      <c r="E5" s="216" t="s">
        <v>36</v>
      </c>
      <c r="F5" s="216"/>
      <c r="G5" s="217" t="s">
        <v>36</v>
      </c>
      <c r="H5" s="218" t="s">
        <v>36</v>
      </c>
      <c r="I5" s="218" t="s">
        <v>36</v>
      </c>
      <c r="J5" s="218" t="s">
        <v>36</v>
      </c>
      <c r="K5" s="219"/>
      <c r="L5" s="220" t="s">
        <v>36</v>
      </c>
      <c r="M5" s="221" t="s">
        <v>36</v>
      </c>
      <c r="N5" s="221" t="s">
        <v>36</v>
      </c>
      <c r="O5" s="221" t="s">
        <v>36</v>
      </c>
      <c r="P5" s="221"/>
      <c r="Q5" s="217" t="s">
        <v>36</v>
      </c>
      <c r="R5" s="218" t="s">
        <v>36</v>
      </c>
      <c r="S5" s="218" t="s">
        <v>36</v>
      </c>
      <c r="T5" s="218" t="s">
        <v>36</v>
      </c>
      <c r="U5" s="219"/>
      <c r="V5" s="217" t="s">
        <v>36</v>
      </c>
      <c r="W5" s="218" t="s">
        <v>36</v>
      </c>
      <c r="X5" s="218" t="s">
        <v>36</v>
      </c>
      <c r="Y5" s="218" t="s">
        <v>36</v>
      </c>
      <c r="Z5" s="222"/>
    </row>
    <row r="6" spans="1:26" x14ac:dyDescent="0.25">
      <c r="A6" s="223" t="s">
        <v>65</v>
      </c>
      <c r="B6" s="224"/>
      <c r="C6" s="225"/>
      <c r="D6" s="225"/>
      <c r="E6" s="225"/>
      <c r="F6" s="225"/>
      <c r="G6" s="226"/>
      <c r="H6" s="227"/>
      <c r="I6" s="227"/>
      <c r="J6" s="227"/>
      <c r="K6" s="228"/>
      <c r="L6" s="229"/>
      <c r="M6" s="225"/>
      <c r="N6" s="225"/>
      <c r="O6" s="225"/>
      <c r="P6" s="225"/>
      <c r="Q6" s="226"/>
      <c r="R6" s="227"/>
      <c r="S6" s="227"/>
      <c r="T6" s="227"/>
      <c r="U6" s="228"/>
      <c r="V6" s="226"/>
      <c r="W6" s="227"/>
      <c r="X6" s="227"/>
      <c r="Y6" s="227"/>
      <c r="Z6" s="230"/>
    </row>
    <row r="7" spans="1:26" x14ac:dyDescent="0.25">
      <c r="A7" s="231" t="s">
        <v>40</v>
      </c>
      <c r="B7" s="232">
        <f>'[1]Profit loss layout'!D8</f>
        <v>0</v>
      </c>
      <c r="C7" s="232">
        <f>'[1]Profit loss layout'!E8</f>
        <v>0</v>
      </c>
      <c r="D7" s="232">
        <f>'[1]Profit loss layout'!F8</f>
        <v>0</v>
      </c>
      <c r="E7" s="232">
        <f>'[1]Profit loss layout'!G8</f>
        <v>1933.25</v>
      </c>
      <c r="F7" s="233">
        <f>SUM(B7:E7)</f>
        <v>1933.25</v>
      </c>
      <c r="G7" s="234">
        <f>'[1]Profit loss layout'!H8</f>
        <v>0</v>
      </c>
      <c r="H7" s="234">
        <f>'[1]Profit loss layout'!I8</f>
        <v>0</v>
      </c>
      <c r="I7" s="234">
        <f>'[1]Profit loss layout'!J8</f>
        <v>0</v>
      </c>
      <c r="J7" s="234">
        <f>'[1]Profit loss layout'!K8</f>
        <v>2586.375</v>
      </c>
      <c r="K7" s="233">
        <f>SUM(G7:J7)</f>
        <v>2586.375</v>
      </c>
      <c r="L7" s="235">
        <f>'[1]Profit loss layout'!L8</f>
        <v>0</v>
      </c>
      <c r="M7" s="235">
        <f>'[1]Profit loss layout'!M8</f>
        <v>0</v>
      </c>
      <c r="N7" s="235">
        <f>'[1]Profit loss layout'!N8</f>
        <v>0</v>
      </c>
      <c r="O7" s="235">
        <f>'[1]Profit loss layout'!O8</f>
        <v>1306.25</v>
      </c>
      <c r="P7" s="235">
        <f>'[1]Profit loss layout'!P8</f>
        <v>0</v>
      </c>
      <c r="Q7" s="234">
        <f>'[1]Profit loss layout'!P8</f>
        <v>0</v>
      </c>
      <c r="R7" s="234">
        <f>'[1]Profit loss layout'!Q8</f>
        <v>0</v>
      </c>
      <c r="S7" s="234">
        <f>'[1]Profit loss layout'!R8</f>
        <v>0</v>
      </c>
      <c r="T7" s="234">
        <f>'[1]Profit loss layout'!S8</f>
        <v>3605.25</v>
      </c>
      <c r="U7" s="233">
        <f>SUM(Q7:T7)</f>
        <v>3605.25</v>
      </c>
      <c r="V7" s="234">
        <f>'[1]Profit loss layout'!T8</f>
        <v>0</v>
      </c>
      <c r="W7" s="234">
        <f>'[1]Profit loss layout'!U8</f>
        <v>0</v>
      </c>
      <c r="X7" s="234">
        <f>'[1]Profit loss layout'!V8</f>
        <v>0</v>
      </c>
      <c r="Y7" s="234">
        <f>'[1]Profit loss layout'!W8</f>
        <v>3887.4</v>
      </c>
      <c r="Z7" s="236">
        <f>SUM(V7:Y7)</f>
        <v>3887.4</v>
      </c>
    </row>
    <row r="8" spans="1:26" x14ac:dyDescent="0.25">
      <c r="A8" s="231" t="s">
        <v>44</v>
      </c>
      <c r="B8" s="232">
        <f>'[1]Profit loss layout'!D12</f>
        <v>0</v>
      </c>
      <c r="C8" s="232">
        <f>'[1]Profit loss layout'!E12</f>
        <v>2210</v>
      </c>
      <c r="D8" s="232">
        <f>'[1]Profit loss layout'!F12</f>
        <v>0</v>
      </c>
      <c r="E8" s="232">
        <f>'[1]Profit loss layout'!H12</f>
        <v>0</v>
      </c>
      <c r="F8" s="233">
        <f>SUM(B8:E8)</f>
        <v>2210</v>
      </c>
      <c r="G8" s="234">
        <f>'[1]Profit loss layout'!I12</f>
        <v>0</v>
      </c>
      <c r="H8" s="234">
        <f>'[1]Profit loss layout'!J12</f>
        <v>3009.8250000000003</v>
      </c>
      <c r="I8" s="234">
        <f>'[1]Profit loss layout'!K12</f>
        <v>0</v>
      </c>
      <c r="J8" s="234">
        <f>'[1]Profit loss layout'!L12</f>
        <v>0</v>
      </c>
      <c r="K8" s="233">
        <f>SUM(G8:J8)</f>
        <v>3009.8250000000003</v>
      </c>
      <c r="L8" s="235">
        <f>'[1]Profit loss layout'!M12</f>
        <v>0</v>
      </c>
      <c r="M8" s="235">
        <f>'[1]Profit loss layout'!N12</f>
        <v>4087.6875</v>
      </c>
      <c r="N8" s="235">
        <f>'[1]Profit loss layout'!O12</f>
        <v>0</v>
      </c>
      <c r="O8" s="235">
        <f>'[1]Profit loss layout'!P12</f>
        <v>0</v>
      </c>
      <c r="P8" s="237">
        <f>SUM(L8:O8)</f>
        <v>4087.6875</v>
      </c>
      <c r="Q8" s="234">
        <f>'[1]Profit loss layout'!Q12</f>
        <v>0</v>
      </c>
      <c r="R8" s="234">
        <f>'[1]Profit loss layout'!R12</f>
        <v>4879.875</v>
      </c>
      <c r="S8" s="234">
        <f>'[1]Profit loss layout'!S12</f>
        <v>0</v>
      </c>
      <c r="T8" s="234">
        <f>'[1]Profit loss layout'!T12</f>
        <v>0</v>
      </c>
      <c r="U8" s="233">
        <f>SUM(Q8:T8)</f>
        <v>4879.875</v>
      </c>
      <c r="V8" s="234">
        <f>'[1]Profit loss layout'!T12</f>
        <v>0</v>
      </c>
      <c r="W8" s="234">
        <f>'[1]Profit loss layout'!U12</f>
        <v>0</v>
      </c>
      <c r="X8" s="234">
        <f>'[1]Profit loss layout'!V12</f>
        <v>5347.265625</v>
      </c>
      <c r="Y8" s="234">
        <f>'[1]Profit loss layout'!W12</f>
        <v>0</v>
      </c>
      <c r="Z8" s="236">
        <f>SUM(V8:Y8)</f>
        <v>5347.265625</v>
      </c>
    </row>
    <row r="9" spans="1:26" x14ac:dyDescent="0.25">
      <c r="A9" s="231" t="s">
        <v>183</v>
      </c>
      <c r="B9" s="232">
        <f>'[1]Profit loss layout'!C9</f>
        <v>0</v>
      </c>
      <c r="C9" s="232">
        <f>'[1]Profit loss layout'!E16</f>
        <v>0</v>
      </c>
      <c r="D9" s="232">
        <f>'[1]Profit loss layout'!D17</f>
        <v>550</v>
      </c>
      <c r="E9" s="232">
        <f>'[1]Profit loss layout'!G16</f>
        <v>0</v>
      </c>
      <c r="F9" s="233">
        <f>SUM(B9:E9)</f>
        <v>550</v>
      </c>
      <c r="G9" s="234">
        <f>'[1]Profit loss layout'!H16</f>
        <v>0</v>
      </c>
      <c r="H9" s="234">
        <f>'[1]Profit loss layout'!I16</f>
        <v>0</v>
      </c>
      <c r="I9" s="234">
        <f>'[1]Profit loss layout'!J16</f>
        <v>1919.53125</v>
      </c>
      <c r="J9" s="234">
        <f>'[1]Profit loss layout'!K16</f>
        <v>0</v>
      </c>
      <c r="K9" s="233">
        <f>SUM(G9:J9)</f>
        <v>1919.53125</v>
      </c>
      <c r="L9" s="235">
        <f>'[1]Profit loss layout'!L16</f>
        <v>0</v>
      </c>
      <c r="M9" s="235">
        <f>'[1]Profit loss layout'!M16</f>
        <v>0</v>
      </c>
      <c r="N9" s="235">
        <f>'[1]Profit loss layout'!N16</f>
        <v>2171.8125</v>
      </c>
      <c r="O9" s="235">
        <f>'[1]Profit loss layout'!O16</f>
        <v>0</v>
      </c>
      <c r="P9" s="237">
        <f>SUM(L9:O9)</f>
        <v>2171.8125</v>
      </c>
      <c r="Q9" s="234">
        <f>'[1]Profit loss layout'!P16</f>
        <v>0</v>
      </c>
      <c r="R9" s="234">
        <f>'[1]Profit loss layout'!Q16</f>
        <v>0</v>
      </c>
      <c r="S9" s="234">
        <f>'[1]Profit loss layout'!R16</f>
        <v>2522.8125</v>
      </c>
      <c r="T9" s="234">
        <f>'[1]Profit loss layout'!S16</f>
        <v>0</v>
      </c>
      <c r="U9" s="233">
        <f>SUM(Q9:T9)</f>
        <v>2522.8125</v>
      </c>
      <c r="V9" s="234">
        <f>'[1]Profit loss layout'!T16</f>
        <v>0</v>
      </c>
      <c r="W9" s="234">
        <f>'[1]Profit loss layout'!U16</f>
        <v>0</v>
      </c>
      <c r="X9" s="234">
        <f>'[1]Profit loss layout'!V16</f>
        <v>3071.25</v>
      </c>
      <c r="Y9" s="234">
        <f>'[1]Profit loss layout'!W16</f>
        <v>0</v>
      </c>
      <c r="Z9" s="236">
        <f>SUM(V9:Y9)</f>
        <v>3071.25</v>
      </c>
    </row>
    <row r="10" spans="1:26" x14ac:dyDescent="0.25">
      <c r="A10" s="231" t="s">
        <v>47</v>
      </c>
      <c r="B10" s="232">
        <f>'[1]Profit loss layout'!D19</f>
        <v>1</v>
      </c>
      <c r="C10" s="232">
        <f>'[1]Profit loss layout'!E19</f>
        <v>0.95</v>
      </c>
      <c r="D10" s="232">
        <f>'[1]Profit loss layout'!F20</f>
        <v>0</v>
      </c>
      <c r="E10" s="232">
        <f>'[1]Profit loss layout'!H20</f>
        <v>0</v>
      </c>
      <c r="F10" s="233">
        <f>SUM(B10:E10)</f>
        <v>1.95</v>
      </c>
      <c r="G10" s="234">
        <f>'[1]Profit loss layout'!I20</f>
        <v>0</v>
      </c>
      <c r="H10" s="234">
        <f>'[1]Profit loss layout'!J20</f>
        <v>1704.0625</v>
      </c>
      <c r="I10" s="234">
        <f>'[1]Profit loss layout'!K20</f>
        <v>0</v>
      </c>
      <c r="J10" s="234">
        <f>'[1]Profit loss layout'!L20</f>
        <v>0</v>
      </c>
      <c r="K10" s="234">
        <f>'[1]Profit loss layout'!M20</f>
        <v>0</v>
      </c>
      <c r="L10" s="235">
        <f>'[1]Profit loss layout'!M20</f>
        <v>0</v>
      </c>
      <c r="M10" s="235">
        <f>'[1]Profit loss layout'!N20</f>
        <v>3491.25</v>
      </c>
      <c r="N10" s="235">
        <f>'[1]Profit loss layout'!O20</f>
        <v>0</v>
      </c>
      <c r="O10" s="235">
        <f>'[1]Profit loss layout'!P20</f>
        <v>0</v>
      </c>
      <c r="P10" s="237">
        <f>SUM(L10:O10)</f>
        <v>3491.25</v>
      </c>
      <c r="Q10" s="234">
        <f>'[1]Profit loss layout'!Q20</f>
        <v>0</v>
      </c>
      <c r="R10" s="234">
        <f>'[1]Profit loss layout'!R20</f>
        <v>6400.625</v>
      </c>
      <c r="S10" s="234">
        <f>'[1]Profit loss layout'!S20</f>
        <v>0</v>
      </c>
      <c r="T10" s="234">
        <f>'[1]Profit loss layout'!T20</f>
        <v>0</v>
      </c>
      <c r="U10" s="233">
        <f>SUM(Q10:T10)</f>
        <v>6400.625</v>
      </c>
      <c r="V10" s="234">
        <f>'[1]Profit loss layout'!T20</f>
        <v>0</v>
      </c>
      <c r="W10" s="234">
        <f>'[1]Profit loss layout'!U20</f>
        <v>0</v>
      </c>
      <c r="X10" s="234">
        <f>'[1]Profit loss layout'!V20</f>
        <v>9351.5625</v>
      </c>
      <c r="Y10" s="234">
        <f>'[1]Profit loss layout'!W20</f>
        <v>0</v>
      </c>
      <c r="Z10" s="236">
        <f>SUM(V10:Y10)</f>
        <v>9351.5625</v>
      </c>
    </row>
    <row r="11" spans="1:26" x14ac:dyDescent="0.25">
      <c r="A11" s="238" t="s">
        <v>184</v>
      </c>
      <c r="B11" s="239"/>
      <c r="C11" s="239"/>
      <c r="D11" s="239"/>
      <c r="E11" s="239"/>
      <c r="F11" s="240"/>
      <c r="G11" s="241"/>
      <c r="H11" s="239"/>
      <c r="I11" s="239"/>
      <c r="J11" s="239"/>
      <c r="K11" s="240"/>
      <c r="L11" s="242"/>
      <c r="M11" s="243"/>
      <c r="N11" s="243"/>
      <c r="O11" s="243"/>
      <c r="P11" s="244"/>
      <c r="Q11" s="241"/>
      <c r="R11" s="239"/>
      <c r="S11" s="239"/>
      <c r="T11" s="239"/>
      <c r="U11" s="240"/>
      <c r="V11" s="241"/>
      <c r="W11" s="239"/>
      <c r="X11" s="239"/>
      <c r="Y11" s="239"/>
      <c r="Z11" s="245"/>
    </row>
    <row r="12" spans="1:26" x14ac:dyDescent="0.25">
      <c r="A12" s="231" t="s">
        <v>40</v>
      </c>
      <c r="B12" s="232">
        <f>'[1]Profit loss layout'!D25</f>
        <v>0</v>
      </c>
      <c r="C12" s="232">
        <f>'[1]Profit loss layout'!E25</f>
        <v>0</v>
      </c>
      <c r="D12" s="232">
        <f>'[1]Profit loss layout'!F25</f>
        <v>0</v>
      </c>
      <c r="E12" s="232">
        <f>'[1]Profit loss layout'!G25</f>
        <v>23750</v>
      </c>
      <c r="F12" s="233">
        <f>SUM(B12:E12)</f>
        <v>23750</v>
      </c>
      <c r="G12" s="234">
        <f>'[1]Profit loss layout'!H25</f>
        <v>0</v>
      </c>
      <c r="H12" s="234">
        <f>'[1]Profit loss layout'!I25</f>
        <v>0</v>
      </c>
      <c r="I12" s="234">
        <f>'[1]Profit loss layout'!J25</f>
        <v>0</v>
      </c>
      <c r="J12" s="234">
        <f>'[1]Profit loss layout'!K25</f>
        <v>29212.5</v>
      </c>
      <c r="K12" s="233">
        <f>SUM(G12:J12)</f>
        <v>29212.5</v>
      </c>
      <c r="L12" s="235">
        <f>'[1]Profit loss layout'!L25</f>
        <v>0</v>
      </c>
      <c r="M12" s="235">
        <f>'[1]Profit loss layout'!M25</f>
        <v>0</v>
      </c>
      <c r="N12" s="235">
        <f>'[1]Profit loss layout'!N25</f>
        <v>0</v>
      </c>
      <c r="O12" s="235">
        <f>'[1]Profit loss layout'!O25</f>
        <v>37406.25</v>
      </c>
      <c r="P12" s="237">
        <f>SUM(L12:O12)</f>
        <v>37406.25</v>
      </c>
      <c r="Q12" s="234">
        <f>'[1]Profit loss layout'!P25</f>
        <v>0</v>
      </c>
      <c r="R12" s="234">
        <f>'[1]Profit loss layout'!Q25</f>
        <v>0</v>
      </c>
      <c r="S12" s="234">
        <f>'[1]Profit loss layout'!R25</f>
        <v>0</v>
      </c>
      <c r="T12" s="234">
        <f>'[1]Profit loss layout'!S25</f>
        <v>43403.125</v>
      </c>
      <c r="U12" s="233">
        <f>SUM(Q12:T12)</f>
        <v>43403.125</v>
      </c>
      <c r="V12" s="234">
        <f>'[1]Profit loss layout'!T25</f>
        <v>0</v>
      </c>
      <c r="W12" s="234">
        <f>'[1]Profit loss layout'!U25</f>
        <v>0</v>
      </c>
      <c r="X12" s="234">
        <f>'[1]Profit loss layout'!V25</f>
        <v>0</v>
      </c>
      <c r="Y12" s="234">
        <f>'[1]Profit loss layout'!W25</f>
        <v>52250</v>
      </c>
      <c r="Z12" s="236">
        <f>SUM(V12:Y12)</f>
        <v>52250</v>
      </c>
    </row>
    <row r="13" spans="1:26" x14ac:dyDescent="0.25">
      <c r="A13" s="231" t="s">
        <v>44</v>
      </c>
      <c r="B13" s="232">
        <f>'[1]Profit loss layout'!D29</f>
        <v>0</v>
      </c>
      <c r="C13" s="232">
        <f>'[1]Profit loss layout'!E29</f>
        <v>9405</v>
      </c>
      <c r="D13" s="232">
        <f>'[1]Profit loss layout'!F29</f>
        <v>0</v>
      </c>
      <c r="E13" s="232">
        <f>'[1]Profit loss layout'!G29</f>
        <v>0</v>
      </c>
      <c r="F13" s="233">
        <f>SUM(B13:E13)</f>
        <v>9405</v>
      </c>
      <c r="G13" s="234">
        <f>'[1]Profit loss layout'!I29</f>
        <v>0</v>
      </c>
      <c r="H13" s="234">
        <f>'[1]Profit loss layout'!J29</f>
        <v>30135</v>
      </c>
      <c r="I13" s="234">
        <f>'[1]Profit loss layout'!K29</f>
        <v>0</v>
      </c>
      <c r="J13" s="234">
        <f>'[1]Profit loss layout'!L29</f>
        <v>0</v>
      </c>
      <c r="K13" s="233">
        <f>SUM(G13:J13)</f>
        <v>30135</v>
      </c>
      <c r="L13" s="235">
        <f>'[1]Profit loss layout'!M29</f>
        <v>0</v>
      </c>
      <c r="M13" s="235">
        <f>'[1]Profit loss layout'!N29</f>
        <v>46305</v>
      </c>
      <c r="N13" s="235">
        <f>'[1]Profit loss layout'!O29</f>
        <v>0</v>
      </c>
      <c r="O13" s="235">
        <f>'[1]Profit loss layout'!P29</f>
        <v>0</v>
      </c>
      <c r="P13" s="237">
        <f>SUM(L13:O13)</f>
        <v>46305</v>
      </c>
      <c r="Q13" s="234">
        <f>'[1]Profit loss layout'!Q29</f>
        <v>0</v>
      </c>
      <c r="R13" s="234">
        <f>'[1]Profit loss layout'!R29</f>
        <v>63210</v>
      </c>
      <c r="S13" s="234">
        <f>'[1]Profit loss layout'!S29</f>
        <v>0</v>
      </c>
      <c r="T13" s="234">
        <f>'[1]Profit loss layout'!T29</f>
        <v>0</v>
      </c>
      <c r="U13" s="233">
        <f>SUM(Q13:T13)</f>
        <v>63210</v>
      </c>
      <c r="V13" s="234">
        <f>'[1]Profit loss layout'!T29</f>
        <v>0</v>
      </c>
      <c r="W13" s="234">
        <f>'[1]Profit loss layout'!U29</f>
        <v>0</v>
      </c>
      <c r="X13" s="234">
        <f>'[1]Profit loss layout'!V29</f>
        <v>84150</v>
      </c>
      <c r="Y13" s="234">
        <f>'[1]Profit loss layout'!W29</f>
        <v>0</v>
      </c>
      <c r="Z13" s="236">
        <f>SUM(V13:Y13)</f>
        <v>84150</v>
      </c>
    </row>
    <row r="14" spans="1:26" x14ac:dyDescent="0.25">
      <c r="A14" s="231" t="s">
        <v>185</v>
      </c>
      <c r="B14" s="232">
        <f>'[1]Profit loss layout'!D33</f>
        <v>0</v>
      </c>
      <c r="C14" s="232">
        <f>'[1]Profit loss layout'!E33</f>
        <v>0</v>
      </c>
      <c r="D14" s="232">
        <f>'[1]Profit loss layout'!F33</f>
        <v>0</v>
      </c>
      <c r="E14" s="232">
        <f>'[1]Profit loss layout'!G33</f>
        <v>4027.4812500000003</v>
      </c>
      <c r="F14" s="233">
        <f>SUM(B14:E14)</f>
        <v>4027.4812500000003</v>
      </c>
      <c r="G14" s="234">
        <f>'[1]Profit loss layout'!H33</f>
        <v>0</v>
      </c>
      <c r="H14" s="234">
        <f>'[1]Profit loss layout'!I33</f>
        <v>0</v>
      </c>
      <c r="I14" s="234">
        <f>'[1]Profit loss layout'!J33</f>
        <v>0</v>
      </c>
      <c r="J14" s="234">
        <f>'[1]Profit loss layout'!K33</f>
        <v>6654.375</v>
      </c>
      <c r="K14" s="233">
        <f>SUM(G14:J14)</f>
        <v>6654.375</v>
      </c>
      <c r="L14" s="235">
        <f>'[1]Profit loss layout'!L33</f>
        <v>0</v>
      </c>
      <c r="M14" s="235">
        <f>'[1]Profit loss layout'!M33</f>
        <v>0</v>
      </c>
      <c r="N14" s="235">
        <f>'[1]Profit loss layout'!N33</f>
        <v>0</v>
      </c>
      <c r="O14" s="235">
        <f>'[1]Profit loss layout'!O33</f>
        <v>11922.421875</v>
      </c>
      <c r="P14" s="237">
        <f>SUM(L14:O14)</f>
        <v>11922.421875</v>
      </c>
      <c r="Q14" s="234">
        <f>'[1]Profit loss layout'!P33</f>
        <v>0</v>
      </c>
      <c r="R14" s="234">
        <f>'[1]Profit loss layout'!Q33</f>
        <v>0</v>
      </c>
      <c r="S14" s="234">
        <f>'[1]Profit loss layout'!R33</f>
        <v>0</v>
      </c>
      <c r="T14" s="234">
        <f>'[1]Profit loss layout'!S33</f>
        <v>17428.125</v>
      </c>
      <c r="U14" s="233">
        <f>SUM(Q14:T14)</f>
        <v>17428.125</v>
      </c>
      <c r="V14" s="234">
        <f>'[1]Profit loss layout'!T33</f>
        <v>0</v>
      </c>
      <c r="W14" s="234">
        <f>'[1]Profit loss layout'!U33</f>
        <v>0</v>
      </c>
      <c r="X14" s="234">
        <f>'[1]Profit loss layout'!V33</f>
        <v>0</v>
      </c>
      <c r="Y14" s="234">
        <f>'[1]Profit loss layout'!W33</f>
        <v>24953.90625</v>
      </c>
      <c r="Z14" s="236">
        <f>SUM(V14:Y14)</f>
        <v>24953.90625</v>
      </c>
    </row>
    <row r="15" spans="1:26" x14ac:dyDescent="0.25">
      <c r="A15" s="231" t="s">
        <v>47</v>
      </c>
      <c r="B15" s="232">
        <f>'[1]Profit loss layout'!D37</f>
        <v>0</v>
      </c>
      <c r="C15" s="232">
        <f>'[1]Profit loss layout'!E37</f>
        <v>0</v>
      </c>
      <c r="D15" s="232">
        <f>'[1]Profit loss layout'!F37</f>
        <v>0</v>
      </c>
      <c r="E15" s="232">
        <f>'[1]Profit loss layout'!G37</f>
        <v>0</v>
      </c>
      <c r="F15" s="233">
        <f>SUM(B15:E15)</f>
        <v>0</v>
      </c>
      <c r="G15" s="234">
        <f>'[1]Profit loss layout'!I37</f>
        <v>0</v>
      </c>
      <c r="H15" s="234">
        <f>'[1]Profit loss layout'!J37</f>
        <v>2244.375</v>
      </c>
      <c r="I15" s="234">
        <f>'[1]Profit loss layout'!K37</f>
        <v>0</v>
      </c>
      <c r="J15" s="234">
        <f>'[1]Profit loss layout'!L37</f>
        <v>0</v>
      </c>
      <c r="K15" s="233">
        <f>SUM(G15:J15)</f>
        <v>2244.375</v>
      </c>
      <c r="L15" s="235">
        <f>'[1]Profit loss layout'!M37</f>
        <v>0</v>
      </c>
      <c r="M15" s="235">
        <f>'[1]Profit loss layout'!N37</f>
        <v>3651.5625</v>
      </c>
      <c r="N15" s="235">
        <f>'[1]Profit loss layout'!O37</f>
        <v>0</v>
      </c>
      <c r="O15" s="235">
        <f>'[1]Profit loss layout'!P37</f>
        <v>0</v>
      </c>
      <c r="P15" s="237">
        <f>SUM(L15:O15)</f>
        <v>3651.5625</v>
      </c>
      <c r="Q15" s="234">
        <f>'[1]Profit loss layout'!Q37</f>
        <v>0</v>
      </c>
      <c r="R15" s="234">
        <f>'[1]Profit loss layout'!R37</f>
        <v>5985</v>
      </c>
      <c r="S15" s="234">
        <f>'[1]Profit loss layout'!S37</f>
        <v>0</v>
      </c>
      <c r="T15" s="234">
        <f>'[1]Profit loss layout'!T37</f>
        <v>0</v>
      </c>
      <c r="U15" s="233">
        <f>SUM(Q15:T15)</f>
        <v>5985</v>
      </c>
      <c r="V15" s="234">
        <f>'[1]Profit loss layout'!T37</f>
        <v>0</v>
      </c>
      <c r="W15" s="234">
        <f>'[1]Profit loss layout'!U37</f>
        <v>0</v>
      </c>
      <c r="X15" s="234">
        <f>'[1]Profit loss layout'!V37</f>
        <v>9405</v>
      </c>
      <c r="Y15" s="234">
        <f>'[1]Profit loss layout'!W37</f>
        <v>0</v>
      </c>
      <c r="Z15" s="236">
        <f>SUM(V15:Y15)</f>
        <v>9405</v>
      </c>
    </row>
    <row r="16" spans="1:26" x14ac:dyDescent="0.25">
      <c r="A16" s="246" t="s">
        <v>186</v>
      </c>
      <c r="B16" s="247">
        <f t="shared" ref="B16:J16" si="0">SUM(B7:B15)</f>
        <v>1</v>
      </c>
      <c r="C16" s="247">
        <f t="shared" si="0"/>
        <v>11615.95</v>
      </c>
      <c r="D16" s="247">
        <f t="shared" si="0"/>
        <v>550</v>
      </c>
      <c r="E16" s="247">
        <f t="shared" si="0"/>
        <v>29710.731250000001</v>
      </c>
      <c r="F16" s="247">
        <f t="shared" si="0"/>
        <v>41877.681249999994</v>
      </c>
      <c r="G16" s="247">
        <f t="shared" si="0"/>
        <v>0</v>
      </c>
      <c r="H16" s="247">
        <f t="shared" si="0"/>
        <v>37093.262499999997</v>
      </c>
      <c r="I16" s="247">
        <f t="shared" si="0"/>
        <v>1919.53125</v>
      </c>
      <c r="J16" s="247">
        <f t="shared" si="0"/>
        <v>38453.25</v>
      </c>
      <c r="K16" s="247">
        <f>SUM(G16:J16)</f>
        <v>77466.043749999997</v>
      </c>
      <c r="L16" s="247">
        <f>SUM(L7:L15)</f>
        <v>0</v>
      </c>
      <c r="M16" s="247">
        <f>SUM(M7:M15)</f>
        <v>57535.5</v>
      </c>
      <c r="N16" s="247">
        <f>SUM(N7:N15)</f>
        <v>2171.8125</v>
      </c>
      <c r="O16" s="247">
        <f>SUM(O7:O15)</f>
        <v>50634.921875</v>
      </c>
      <c r="P16" s="247">
        <f>SUM(L16:O16)</f>
        <v>110342.234375</v>
      </c>
      <c r="Q16" s="247">
        <f>SUM(Q7:Q15)</f>
        <v>0</v>
      </c>
      <c r="R16" s="247">
        <f>SUM(R7:R15)</f>
        <v>80475.5</v>
      </c>
      <c r="S16" s="247">
        <f>SUM(S7:S15)</f>
        <v>2522.8125</v>
      </c>
      <c r="T16" s="247">
        <f>SUM(T7:T15)</f>
        <v>64436.5</v>
      </c>
      <c r="U16" s="247">
        <f>SUM(Q16:T16)</f>
        <v>147434.8125</v>
      </c>
      <c r="V16" s="247">
        <f>SUM(V7:V15)</f>
        <v>0</v>
      </c>
      <c r="W16" s="247">
        <f>SUM(W7:W15)</f>
        <v>0</v>
      </c>
      <c r="X16" s="247">
        <f>SUM(X7:X15)</f>
        <v>111325.078125</v>
      </c>
      <c r="Y16" s="247">
        <f>SUM(Y7:Y15)</f>
        <v>81091.306249999994</v>
      </c>
      <c r="Z16" s="247">
        <f>SUM(V16:Y16)</f>
        <v>192416.38437499999</v>
      </c>
    </row>
    <row r="17" spans="1:26" ht="15.75" x14ac:dyDescent="0.25">
      <c r="A17" s="248" t="s">
        <v>187</v>
      </c>
      <c r="B17" s="249"/>
      <c r="C17" s="250"/>
      <c r="D17" s="250"/>
      <c r="E17" s="250"/>
      <c r="F17" s="237"/>
      <c r="G17" s="234"/>
      <c r="H17" s="232"/>
      <c r="I17" s="232"/>
      <c r="J17" s="232"/>
      <c r="K17" s="233"/>
      <c r="L17" s="235"/>
      <c r="M17" s="250"/>
      <c r="N17" s="250"/>
      <c r="O17" s="250"/>
      <c r="P17" s="237"/>
      <c r="Q17" s="234"/>
      <c r="R17" s="232"/>
      <c r="S17" s="232"/>
      <c r="T17" s="232"/>
      <c r="U17" s="233"/>
      <c r="V17" s="234"/>
      <c r="W17" s="232"/>
      <c r="X17" s="232"/>
      <c r="Y17" s="232"/>
      <c r="Z17" s="236"/>
    </row>
    <row r="18" spans="1:26" x14ac:dyDescent="0.25">
      <c r="A18" s="223" t="s">
        <v>65</v>
      </c>
      <c r="B18" s="251"/>
      <c r="C18" s="252"/>
      <c r="D18" s="252"/>
      <c r="E18" s="252"/>
      <c r="F18" s="252"/>
      <c r="G18" s="253"/>
      <c r="H18" s="254"/>
      <c r="I18" s="254"/>
      <c r="J18" s="254"/>
      <c r="K18" s="240"/>
      <c r="L18" s="255"/>
      <c r="M18" s="252"/>
      <c r="N18" s="252"/>
      <c r="O18" s="252"/>
      <c r="P18" s="244"/>
      <c r="Q18" s="253"/>
      <c r="R18" s="254"/>
      <c r="S18" s="254"/>
      <c r="T18" s="254"/>
      <c r="U18" s="240"/>
      <c r="V18" s="253"/>
      <c r="W18" s="254"/>
      <c r="X18" s="254"/>
      <c r="Y18" s="254"/>
      <c r="Z18" s="245"/>
    </row>
    <row r="19" spans="1:26" x14ac:dyDescent="0.25">
      <c r="A19" s="231" t="s">
        <v>70</v>
      </c>
      <c r="B19" s="232">
        <f>'[1]Profit loss layout'!D9</f>
        <v>0</v>
      </c>
      <c r="C19" s="232">
        <f>'[1]Profit loss layout'!E9</f>
        <v>925</v>
      </c>
      <c r="D19" s="232">
        <f>'[1]Profit loss layout'!F9</f>
        <v>0</v>
      </c>
      <c r="E19" s="232">
        <f>'[1]Profit loss layout'!G9</f>
        <v>0</v>
      </c>
      <c r="F19" s="233">
        <f>SUM(B19:E19)</f>
        <v>925</v>
      </c>
      <c r="G19" s="234">
        <f>'[1]Profit loss layout'!H9</f>
        <v>0</v>
      </c>
      <c r="H19" s="234">
        <f>'[1]Profit loss layout'!I9</f>
        <v>1181.25</v>
      </c>
      <c r="I19" s="234">
        <f>'[1]Profit loss layout'!J9</f>
        <v>0</v>
      </c>
      <c r="J19" s="234">
        <f>'[1]Profit loss layout'!K9</f>
        <v>0</v>
      </c>
      <c r="K19" s="233">
        <f>SUM(G19:J19)</f>
        <v>1181.25</v>
      </c>
      <c r="L19" s="235">
        <f>'[1]Profit loss layout'!L9</f>
        <v>0</v>
      </c>
      <c r="M19" s="235">
        <f>'[1]Profit loss layout'!M9</f>
        <v>3025</v>
      </c>
      <c r="N19" s="235">
        <f>'[1]Profit loss layout'!N9</f>
        <v>0</v>
      </c>
      <c r="O19" s="235">
        <f>'[1]Profit loss layout'!O9</f>
        <v>0</v>
      </c>
      <c r="P19" s="237">
        <f>SUM(L19:O19)</f>
        <v>3025</v>
      </c>
      <c r="Q19" s="234">
        <f>'[1]Profit loss layout'!P9</f>
        <v>0</v>
      </c>
      <c r="R19" s="234">
        <f>'[1]Profit loss layout'!Q9</f>
        <v>1725</v>
      </c>
      <c r="S19" s="234">
        <f>'[1]Profit loss layout'!R9</f>
        <v>0</v>
      </c>
      <c r="T19" s="234">
        <f>'[1]Profit loss layout'!S9</f>
        <v>0</v>
      </c>
      <c r="U19" s="233">
        <f>SUM(Q19:T19)</f>
        <v>1725</v>
      </c>
      <c r="V19" s="234">
        <f>'[1]Profit loss layout'!T9</f>
        <v>0</v>
      </c>
      <c r="W19" s="234">
        <f>'[1]Profit loss layout'!U9</f>
        <v>1937.5</v>
      </c>
      <c r="X19" s="234">
        <f>'[1]Profit loss layout'!V9</f>
        <v>0</v>
      </c>
      <c r="Y19" s="234">
        <f>'[1]Profit loss layout'!W9</f>
        <v>0</v>
      </c>
      <c r="Z19" s="236">
        <f>SUM(V19:Y19)</f>
        <v>1937.5</v>
      </c>
    </row>
    <row r="20" spans="1:26" x14ac:dyDescent="0.25">
      <c r="A20" s="231" t="s">
        <v>50</v>
      </c>
      <c r="B20" s="232">
        <f>'[1]Profit loss layout'!D13</f>
        <v>1225</v>
      </c>
      <c r="C20" s="232">
        <f>'[1]Profit loss layout'!E13</f>
        <v>0</v>
      </c>
      <c r="D20" s="232">
        <f>'[1]Profit loss layout'!F13</f>
        <v>0</v>
      </c>
      <c r="E20" s="232">
        <f>'[1]Profit loss layout'!G13</f>
        <v>0</v>
      </c>
      <c r="F20" s="233">
        <f>SUM(B20:E20)</f>
        <v>1225</v>
      </c>
      <c r="G20" s="234">
        <f>'[1]Profit loss layout'!H13</f>
        <v>1653.75</v>
      </c>
      <c r="H20" s="234">
        <f>'[1]Profit loss layout'!I13</f>
        <v>0</v>
      </c>
      <c r="I20" s="234">
        <f>'[1]Profit loss layout'!J13</f>
        <v>0</v>
      </c>
      <c r="J20" s="234">
        <f>'[1]Profit loss layout'!K13</f>
        <v>0</v>
      </c>
      <c r="K20" s="233">
        <f>SUM(G20:J20)</f>
        <v>1653.75</v>
      </c>
      <c r="L20" s="235">
        <f>'[1]Profit loss layout'!L13</f>
        <v>2257.5</v>
      </c>
      <c r="M20" s="235">
        <f>'[1]Profit loss layout'!M13</f>
        <v>0</v>
      </c>
      <c r="N20" s="235">
        <f>'[1]Profit loss layout'!N13</f>
        <v>0</v>
      </c>
      <c r="O20" s="235">
        <f>'[1]Profit loss layout'!O13</f>
        <v>0</v>
      </c>
      <c r="P20" s="237">
        <f>SUM(L20:O20)</f>
        <v>2257.5</v>
      </c>
      <c r="Q20" s="234">
        <f>'[1]Profit loss layout'!P13</f>
        <v>2695</v>
      </c>
      <c r="R20" s="234">
        <f>'[1]Profit loss layout'!Q13</f>
        <v>0</v>
      </c>
      <c r="S20" s="234">
        <f>'[1]Profit loss layout'!R13</f>
        <v>0</v>
      </c>
      <c r="T20" s="234">
        <f>'[1]Profit loss layout'!S13</f>
        <v>0</v>
      </c>
      <c r="U20" s="233">
        <f>SUM(Q20:T20)</f>
        <v>2695</v>
      </c>
      <c r="V20" s="234">
        <f>'[1]Profit loss layout'!T13</f>
        <v>2953.125</v>
      </c>
      <c r="W20" s="234">
        <f>'[1]Profit loss layout'!U13</f>
        <v>0</v>
      </c>
      <c r="X20" s="234">
        <f>'[1]Profit loss layout'!V13</f>
        <v>0</v>
      </c>
      <c r="Y20" s="234">
        <f>'[1]Profit loss layout'!W13</f>
        <v>0</v>
      </c>
      <c r="Z20" s="236">
        <f>SUM(V20:Y20)</f>
        <v>2953.125</v>
      </c>
    </row>
    <row r="21" spans="1:26" x14ac:dyDescent="0.25">
      <c r="A21" s="231" t="s">
        <v>183</v>
      </c>
      <c r="B21" s="232">
        <f>+'[1]Profit loss layout'!D17</f>
        <v>550</v>
      </c>
      <c r="C21" s="232">
        <f>+'[1]Profit loss layout'!E17</f>
        <v>0</v>
      </c>
      <c r="D21" s="232">
        <f>+'[1]Profit loss layout'!F17</f>
        <v>0</v>
      </c>
      <c r="E21" s="232">
        <f>+'[1]Profit loss layout'!G17</f>
        <v>0</v>
      </c>
      <c r="F21" s="233">
        <f>SUM(B21:E21)</f>
        <v>550</v>
      </c>
      <c r="G21" s="234">
        <f>'[1]Profit loss layout'!H17</f>
        <v>1312.5</v>
      </c>
      <c r="H21" s="232">
        <f>'[1]Profit loss layout'!I17</f>
        <v>0</v>
      </c>
      <c r="I21" s="232">
        <f>'[1]Profit loss layout'!J17</f>
        <v>0</v>
      </c>
      <c r="J21" s="232">
        <f>'[1]Profit loss layout'!K17</f>
        <v>0</v>
      </c>
      <c r="K21" s="233">
        <f>SUM(G21:J21)</f>
        <v>1312.5</v>
      </c>
      <c r="L21" s="235">
        <f>'[1]Profit loss layout'!L17</f>
        <v>1485</v>
      </c>
      <c r="M21" s="235">
        <f>'[1]Profit loss layout'!M17</f>
        <v>0</v>
      </c>
      <c r="N21" s="235">
        <f>'[1]Profit loss layout'!N17</f>
        <v>0</v>
      </c>
      <c r="O21" s="235">
        <f>'[1]Profit loss layout'!O17</f>
        <v>0</v>
      </c>
      <c r="P21" s="237">
        <f>SUM(L21:O21)</f>
        <v>1485</v>
      </c>
      <c r="Q21" s="234">
        <f>'[1]Profit loss layout'!P17</f>
        <v>1725</v>
      </c>
      <c r="R21" s="234">
        <f>'[1]Profit loss layout'!Q17</f>
        <v>0</v>
      </c>
      <c r="S21" s="234">
        <f>'[1]Profit loss layout'!R17</f>
        <v>0</v>
      </c>
      <c r="T21" s="234">
        <f>'[1]Profit loss layout'!S17</f>
        <v>0</v>
      </c>
      <c r="U21" s="233">
        <f>SUM(Q21:T21)</f>
        <v>1725</v>
      </c>
      <c r="V21" s="234">
        <f>'[1]Profit loss layout'!T17</f>
        <v>2100</v>
      </c>
      <c r="W21" s="234">
        <f>'[1]Profit loss layout'!U17</f>
        <v>0</v>
      </c>
      <c r="X21" s="234">
        <f>'[1]Profit loss layout'!V17</f>
        <v>0</v>
      </c>
      <c r="Y21" s="234">
        <f>'[1]Profit loss layout'!W17</f>
        <v>0</v>
      </c>
      <c r="Z21" s="236">
        <f>SUM(V21:Y21)</f>
        <v>2100</v>
      </c>
    </row>
    <row r="22" spans="1:26" x14ac:dyDescent="0.25">
      <c r="A22" s="231" t="s">
        <v>47</v>
      </c>
      <c r="B22" s="256">
        <f>'[1]Profit loss layout'!D21</f>
        <v>120</v>
      </c>
      <c r="C22" s="256">
        <f>'[1]Profit loss layout'!E21</f>
        <v>0</v>
      </c>
      <c r="D22" s="256">
        <f>'[1]Profit loss layout'!F21</f>
        <v>0</v>
      </c>
      <c r="E22" s="256">
        <f>'[1]Profit loss layout'!G21</f>
        <v>0</v>
      </c>
      <c r="F22" s="233">
        <f>SUM(B22:E22)</f>
        <v>120</v>
      </c>
      <c r="G22" s="257">
        <f>'[1]Profit loss layout'!H21</f>
        <v>1230</v>
      </c>
      <c r="H22" s="257">
        <f>'[1]Profit loss layout'!I21</f>
        <v>0</v>
      </c>
      <c r="I22" s="257">
        <f>'[1]Profit loss layout'!J21</f>
        <v>0</v>
      </c>
      <c r="J22" s="257">
        <f>'[1]Profit loss layout'!K21</f>
        <v>0</v>
      </c>
      <c r="K22" s="233">
        <f>SUM(G22:J22)</f>
        <v>1230</v>
      </c>
      <c r="L22" s="258">
        <f>'[1]Profit loss layout'!L21</f>
        <v>2520</v>
      </c>
      <c r="M22" s="258">
        <f>'[1]Profit loss layout'!M21</f>
        <v>0</v>
      </c>
      <c r="N22" s="258">
        <f>'[1]Profit loss layout'!N21</f>
        <v>0</v>
      </c>
      <c r="O22" s="258">
        <f>'[1]Profit loss layout'!O21</f>
        <v>0</v>
      </c>
      <c r="P22" s="237">
        <f>SUM(L22:O22)</f>
        <v>2520</v>
      </c>
      <c r="Q22" s="257">
        <f>'[1]Profit loss layout'!P21</f>
        <v>4620</v>
      </c>
      <c r="R22" s="257">
        <f>'[1]Profit loss layout'!Q21</f>
        <v>0</v>
      </c>
      <c r="S22" s="257">
        <f>'[1]Profit loss layout'!R21</f>
        <v>0</v>
      </c>
      <c r="T22" s="259">
        <f>'[1]Profit loss layout'!S21</f>
        <v>0</v>
      </c>
      <c r="U22" s="233">
        <f>SUM(Q22:T22)</f>
        <v>4620</v>
      </c>
      <c r="V22" s="257">
        <f>'[1]Profit loss layout'!T21</f>
        <v>6750</v>
      </c>
      <c r="W22" s="257">
        <f>'[1]Profit loss layout'!U21</f>
        <v>0</v>
      </c>
      <c r="X22" s="257">
        <f>'[1]Profit loss layout'!V21</f>
        <v>0</v>
      </c>
      <c r="Y22" s="257">
        <f>'[1]Profit loss layout'!W21</f>
        <v>0</v>
      </c>
      <c r="Z22" s="236">
        <f>SUM(V22:Y22)</f>
        <v>6750</v>
      </c>
    </row>
    <row r="23" spans="1:26" x14ac:dyDescent="0.25">
      <c r="A23" s="260" t="s">
        <v>184</v>
      </c>
      <c r="B23" s="261"/>
      <c r="C23" s="261"/>
      <c r="D23" s="261"/>
      <c r="E23" s="261"/>
      <c r="F23" s="262"/>
      <c r="G23" s="263"/>
      <c r="H23" s="40"/>
      <c r="I23" s="40"/>
      <c r="J23" s="40"/>
      <c r="K23" s="240"/>
      <c r="L23" s="264"/>
      <c r="M23" s="261"/>
      <c r="N23" s="261"/>
      <c r="O23" s="261"/>
      <c r="P23" s="244"/>
      <c r="Q23" s="263"/>
      <c r="R23" s="40"/>
      <c r="S23" s="40"/>
      <c r="T23" s="40"/>
      <c r="U23" s="240"/>
      <c r="V23" s="263"/>
      <c r="W23" s="40"/>
      <c r="X23" s="40"/>
      <c r="Y23" s="40"/>
      <c r="Z23" s="245"/>
    </row>
    <row r="24" spans="1:26" x14ac:dyDescent="0.25">
      <c r="A24" s="231" t="s">
        <v>70</v>
      </c>
      <c r="B24" s="232">
        <f>'[1]Profit loss layout'!D26</f>
        <v>0</v>
      </c>
      <c r="C24" s="232">
        <f>'[1]Profit loss layout'!E26</f>
        <v>12500</v>
      </c>
      <c r="D24" s="232">
        <f>'[1]Profit loss layout'!F26</f>
        <v>0</v>
      </c>
      <c r="E24" s="232">
        <f>'[1]Profit loss layout'!G26</f>
        <v>0</v>
      </c>
      <c r="F24" s="233">
        <f>SUM(B24:E24)</f>
        <v>12500</v>
      </c>
      <c r="G24" s="234">
        <f>'[1]Profit loss layout'!H26</f>
        <v>0</v>
      </c>
      <c r="H24" s="234">
        <f>'[1]Profit loss layout'!I26</f>
        <v>15375</v>
      </c>
      <c r="I24" s="234">
        <f>'[1]Profit loss layout'!J26</f>
        <v>0</v>
      </c>
      <c r="J24" s="234">
        <f>'[1]Profit loss layout'!K26</f>
        <v>0</v>
      </c>
      <c r="K24" s="233">
        <f>SUM(G24:J24)</f>
        <v>15375</v>
      </c>
      <c r="L24" s="235">
        <f>'[1]Profit loss layout'!L26</f>
        <v>0</v>
      </c>
      <c r="M24" s="235">
        <f>'[1]Profit loss layout'!M26</f>
        <v>19687.5</v>
      </c>
      <c r="N24" s="235">
        <f>'[1]Profit loss layout'!N26</f>
        <v>0</v>
      </c>
      <c r="O24" s="235">
        <f>'[1]Profit loss layout'!O26</f>
        <v>0</v>
      </c>
      <c r="P24" s="237">
        <f>SUM(L24:O24)</f>
        <v>19687.5</v>
      </c>
      <c r="Q24" s="234">
        <f>'[1]Profit loss layout'!P26</f>
        <v>0</v>
      </c>
      <c r="R24" s="234">
        <f>'[1]Profit loss layout'!Q26</f>
        <v>22843.75</v>
      </c>
      <c r="S24" s="234">
        <f>'[1]Profit loss layout'!R26</f>
        <v>0</v>
      </c>
      <c r="T24" s="234">
        <f>'[1]Profit loss layout'!S26</f>
        <v>0</v>
      </c>
      <c r="U24" s="233">
        <f>SUM(Q24:T24)</f>
        <v>22843.75</v>
      </c>
      <c r="V24" s="234">
        <f>'[1]Profit loss layout'!T26</f>
        <v>0</v>
      </c>
      <c r="W24" s="234">
        <f>'[1]Profit loss layout'!U26</f>
        <v>27500</v>
      </c>
      <c r="X24" s="234">
        <f>'[1]Profit loss layout'!V26</f>
        <v>0</v>
      </c>
      <c r="Y24" s="234">
        <f>'[1]Profit loss layout'!W26</f>
        <v>0</v>
      </c>
      <c r="Z24" s="236">
        <f>SUM(V24:Y24)</f>
        <v>27500</v>
      </c>
    </row>
    <row r="25" spans="1:26" x14ac:dyDescent="0.25">
      <c r="A25" s="231" t="s">
        <v>44</v>
      </c>
      <c r="B25" s="232">
        <f>'[1]Profit loss layout'!D30</f>
        <v>4950</v>
      </c>
      <c r="C25" s="232">
        <f>'[1]Profit loss layout'!E30</f>
        <v>0</v>
      </c>
      <c r="D25" s="232">
        <f>'[1]Profit loss layout'!F30</f>
        <v>0</v>
      </c>
      <c r="E25" s="232">
        <f>'[1]Profit loss layout'!G30</f>
        <v>0</v>
      </c>
      <c r="F25" s="233">
        <f>SUM(B25:E25)</f>
        <v>4950</v>
      </c>
      <c r="G25" s="234">
        <f>'[1]Profit loss layout'!H30</f>
        <v>15375</v>
      </c>
      <c r="H25" s="234">
        <f>'[1]Profit loss layout'!I30</f>
        <v>0</v>
      </c>
      <c r="I25" s="234">
        <f>'[1]Profit loss layout'!J30</f>
        <v>0</v>
      </c>
      <c r="J25" s="234">
        <f>'[1]Profit loss layout'!K30</f>
        <v>0</v>
      </c>
      <c r="K25" s="233">
        <f>SUM(G25:J25)</f>
        <v>15375</v>
      </c>
      <c r="L25" s="235">
        <f>'[1]Profit loss layout'!L30</f>
        <v>23625</v>
      </c>
      <c r="M25" s="235">
        <f>'[1]Profit loss layout'!M30</f>
        <v>0</v>
      </c>
      <c r="N25" s="235">
        <f>'[1]Profit loss layout'!N30</f>
        <v>0</v>
      </c>
      <c r="O25" s="235">
        <f>'[1]Profit loss layout'!O30</f>
        <v>0</v>
      </c>
      <c r="P25" s="237">
        <f>SUM(L25:O25)</f>
        <v>23625</v>
      </c>
      <c r="Q25" s="234">
        <f>'[1]Profit loss layout'!P30</f>
        <v>52500</v>
      </c>
      <c r="R25" s="234">
        <f>'[1]Profit loss layout'!Q30</f>
        <v>0</v>
      </c>
      <c r="S25" s="234">
        <f>'[1]Profit loss layout'!R30</f>
        <v>0</v>
      </c>
      <c r="T25" s="234">
        <f>'[1]Profit loss layout'!S30</f>
        <v>0</v>
      </c>
      <c r="U25" s="233">
        <f>SUM(Q25:T25)</f>
        <v>52500</v>
      </c>
      <c r="V25" s="234">
        <f>'[1]Profit loss layout'!T30</f>
        <v>41250</v>
      </c>
      <c r="W25" s="234">
        <f>'[1]Profit loss layout'!U30</f>
        <v>0</v>
      </c>
      <c r="X25" s="234">
        <f>'[1]Profit loss layout'!V30</f>
        <v>0</v>
      </c>
      <c r="Y25" s="234">
        <f>'[1]Profit loss layout'!W30</f>
        <v>0</v>
      </c>
      <c r="Z25" s="236">
        <f>SUM(V25:Y25)</f>
        <v>41250</v>
      </c>
    </row>
    <row r="26" spans="1:26" x14ac:dyDescent="0.25">
      <c r="A26" s="231" t="s">
        <v>183</v>
      </c>
      <c r="B26" s="232">
        <f>'[1]Profit loss layout'!D34</f>
        <v>0</v>
      </c>
      <c r="C26" s="232">
        <f>'[1]Profit loss layout'!E34</f>
        <v>0</v>
      </c>
      <c r="D26" s="232">
        <f>'[1]Profit loss layout'!F34</f>
        <v>3177.5</v>
      </c>
      <c r="E26" s="232">
        <f>'[1]Profit loss layout'!G34</f>
        <v>0</v>
      </c>
      <c r="F26" s="233">
        <f>SUM(B26:E26)</f>
        <v>3177.5</v>
      </c>
      <c r="G26" s="234">
        <f>'[1]Profit loss layout'!H34</f>
        <v>0</v>
      </c>
      <c r="H26" s="234">
        <f>'[1]Profit loss layout'!I34</f>
        <v>0</v>
      </c>
      <c r="I26" s="234">
        <f>'[1]Profit loss layout'!J34</f>
        <v>5250</v>
      </c>
      <c r="J26" s="234">
        <f>'[1]Profit loss layout'!K34</f>
        <v>0</v>
      </c>
      <c r="K26" s="233">
        <f>SUM(G26:J26)</f>
        <v>5250</v>
      </c>
      <c r="L26" s="235">
        <f>'[1]Profit loss layout'!L34</f>
        <v>0</v>
      </c>
      <c r="M26" s="235">
        <f>'[1]Profit loss layout'!M34</f>
        <v>0</v>
      </c>
      <c r="N26" s="235">
        <f>'[1]Profit loss layout'!N34</f>
        <v>9406.25</v>
      </c>
      <c r="O26" s="235">
        <f>'[1]Profit loss layout'!O34</f>
        <v>0</v>
      </c>
      <c r="P26" s="237">
        <f>SUM(L26:O26)</f>
        <v>9406.25</v>
      </c>
      <c r="Q26" s="234">
        <f>'[1]Profit loss layout'!P34</f>
        <v>0</v>
      </c>
      <c r="R26" s="234">
        <f>'[1]Profit loss layout'!Q34</f>
        <v>0</v>
      </c>
      <c r="S26" s="234">
        <f>'[1]Profit loss layout'!R34</f>
        <v>13750</v>
      </c>
      <c r="T26" s="234">
        <f>'[1]Profit loss layout'!S34</f>
        <v>0</v>
      </c>
      <c r="U26" s="233">
        <f>SUM(Q26:T26)</f>
        <v>13750</v>
      </c>
      <c r="V26" s="234">
        <f>'[1]Profit loss layout'!T34</f>
        <v>0</v>
      </c>
      <c r="W26" s="234">
        <f>'[1]Profit loss layout'!U34</f>
        <v>0</v>
      </c>
      <c r="X26" s="234">
        <f>'[1]Profit loss layout'!V34</f>
        <v>19687.5</v>
      </c>
      <c r="Y26" s="234">
        <f>'[1]Profit loss layout'!W34</f>
        <v>0</v>
      </c>
      <c r="Z26" s="236">
        <f>SUM(V26:Y26)</f>
        <v>19687.5</v>
      </c>
    </row>
    <row r="27" spans="1:26" ht="15.75" thickBot="1" x14ac:dyDescent="0.3">
      <c r="A27" s="231" t="s">
        <v>47</v>
      </c>
      <c r="B27" s="232">
        <f>'[1]Profit loss layout'!D38</f>
        <v>0</v>
      </c>
      <c r="C27" s="232">
        <f>'[1]Profit loss layout'!E38</f>
        <v>0</v>
      </c>
      <c r="D27" s="232">
        <f>'[1]Profit loss layout'!F38</f>
        <v>0</v>
      </c>
      <c r="E27" s="232">
        <f>'[1]Profit loss layout'!G38</f>
        <v>0</v>
      </c>
      <c r="F27" s="233">
        <f>SUM(B27:E27)</f>
        <v>0</v>
      </c>
      <c r="G27" s="234">
        <f>'[1]Profit loss layout'!H38</f>
        <v>1650</v>
      </c>
      <c r="H27" s="234">
        <f>'[1]Profit loss layout'!I38</f>
        <v>0</v>
      </c>
      <c r="I27" s="234">
        <f>'[1]Profit loss layout'!J38</f>
        <v>0</v>
      </c>
      <c r="J27" s="234">
        <f>'[1]Profit loss layout'!K38</f>
        <v>0</v>
      </c>
      <c r="K27" s="233">
        <f>SUM(G27:J27)</f>
        <v>1650</v>
      </c>
      <c r="L27" s="235">
        <f>'[1]Profit loss layout'!L38</f>
        <v>2818.75</v>
      </c>
      <c r="M27" s="235">
        <f>'[1]Profit loss layout'!M38</f>
        <v>0</v>
      </c>
      <c r="N27" s="235">
        <f>'[1]Profit loss layout'!N38</f>
        <v>0</v>
      </c>
      <c r="O27" s="235">
        <f>'[1]Profit loss layout'!O38</f>
        <v>0</v>
      </c>
      <c r="P27" s="237">
        <f>SUM(L27:O27)</f>
        <v>2818.75</v>
      </c>
      <c r="Q27" s="234">
        <f>'[1]Profit loss layout'!P38</f>
        <v>4620</v>
      </c>
      <c r="R27" s="234">
        <f>'[1]Profit loss layout'!Q38</f>
        <v>0</v>
      </c>
      <c r="S27" s="234">
        <f>'[1]Profit loss layout'!R38</f>
        <v>0</v>
      </c>
      <c r="T27" s="234">
        <f>'[1]Profit loss layout'!S38</f>
        <v>0</v>
      </c>
      <c r="U27" s="233">
        <f>SUM(Q27:T27)</f>
        <v>4620</v>
      </c>
      <c r="V27" s="234">
        <f>'[1]Profit loss layout'!T38</f>
        <v>7095</v>
      </c>
      <c r="W27" s="234">
        <f>'[1]Profit loss layout'!U38</f>
        <v>0</v>
      </c>
      <c r="X27" s="234">
        <f>'[1]Profit loss layout'!V38</f>
        <v>0</v>
      </c>
      <c r="Y27" s="234">
        <f>'[1]Profit loss layout'!W38</f>
        <v>0</v>
      </c>
      <c r="Z27" s="236">
        <f>SUM(V27:Y27)</f>
        <v>7095</v>
      </c>
    </row>
    <row r="28" spans="1:26" x14ac:dyDescent="0.25">
      <c r="A28" s="265" t="s">
        <v>188</v>
      </c>
      <c r="B28" s="266">
        <f t="shared" ref="B28:Z28" si="1">SUM(B19:B27)</f>
        <v>6845</v>
      </c>
      <c r="C28" s="266">
        <f t="shared" si="1"/>
        <v>13425</v>
      </c>
      <c r="D28" s="266">
        <f t="shared" si="1"/>
        <v>3177.5</v>
      </c>
      <c r="E28" s="266">
        <f t="shared" si="1"/>
        <v>0</v>
      </c>
      <c r="F28" s="266">
        <f t="shared" si="1"/>
        <v>23447.5</v>
      </c>
      <c r="G28" s="266">
        <f t="shared" si="1"/>
        <v>21221.25</v>
      </c>
      <c r="H28" s="266">
        <f t="shared" si="1"/>
        <v>16556.25</v>
      </c>
      <c r="I28" s="266">
        <f t="shared" si="1"/>
        <v>5250</v>
      </c>
      <c r="J28" s="266">
        <f t="shared" si="1"/>
        <v>0</v>
      </c>
      <c r="K28" s="267">
        <f t="shared" si="1"/>
        <v>43027.5</v>
      </c>
      <c r="L28" s="267">
        <f t="shared" si="1"/>
        <v>32706.25</v>
      </c>
      <c r="M28" s="267">
        <f t="shared" si="1"/>
        <v>22712.5</v>
      </c>
      <c r="N28" s="267">
        <f t="shared" si="1"/>
        <v>9406.25</v>
      </c>
      <c r="O28" s="267">
        <f t="shared" si="1"/>
        <v>0</v>
      </c>
      <c r="P28" s="266">
        <f t="shared" si="1"/>
        <v>64825</v>
      </c>
      <c r="Q28" s="266">
        <f t="shared" si="1"/>
        <v>66160</v>
      </c>
      <c r="R28" s="266">
        <f t="shared" si="1"/>
        <v>24568.75</v>
      </c>
      <c r="S28" s="266">
        <f t="shared" si="1"/>
        <v>13750</v>
      </c>
      <c r="T28" s="266">
        <f t="shared" si="1"/>
        <v>0</v>
      </c>
      <c r="U28" s="266">
        <f t="shared" si="1"/>
        <v>104478.75</v>
      </c>
      <c r="V28" s="266">
        <f t="shared" si="1"/>
        <v>60148.125</v>
      </c>
      <c r="W28" s="266">
        <f t="shared" si="1"/>
        <v>29437.5</v>
      </c>
      <c r="X28" s="266">
        <f t="shared" si="1"/>
        <v>19687.5</v>
      </c>
      <c r="Y28" s="266">
        <f t="shared" si="1"/>
        <v>0</v>
      </c>
      <c r="Z28" s="266">
        <f t="shared" si="1"/>
        <v>109273.125</v>
      </c>
    </row>
    <row r="29" spans="1:26" x14ac:dyDescent="0.25">
      <c r="G29" s="268"/>
      <c r="H29" s="33"/>
      <c r="I29" s="33"/>
      <c r="J29" s="269"/>
      <c r="K29" s="270"/>
      <c r="L29" s="170"/>
      <c r="M29" s="170"/>
      <c r="N29" s="170"/>
      <c r="O29" s="170"/>
      <c r="P29" s="271"/>
    </row>
    <row r="30" spans="1:26" x14ac:dyDescent="0.25">
      <c r="A30" s="272" t="s">
        <v>189</v>
      </c>
      <c r="B30" s="40"/>
      <c r="C30" s="273"/>
      <c r="D30" s="273"/>
      <c r="E30" s="273"/>
      <c r="F30" s="240"/>
      <c r="G30" s="274"/>
      <c r="H30" s="273"/>
      <c r="I30" s="273"/>
      <c r="J30" s="275"/>
      <c r="K30" s="276"/>
      <c r="L30" s="277"/>
      <c r="M30" s="277"/>
      <c r="N30" s="277"/>
      <c r="O30" s="277"/>
      <c r="P30" s="244"/>
      <c r="Q30" s="274"/>
      <c r="R30" s="273"/>
      <c r="S30" s="273"/>
      <c r="T30" s="273"/>
      <c r="U30" s="240"/>
      <c r="V30" s="274"/>
      <c r="W30" s="273"/>
      <c r="X30" s="273"/>
      <c r="Y30" s="273"/>
      <c r="Z30" s="245"/>
    </row>
    <row r="31" spans="1:26" x14ac:dyDescent="0.25">
      <c r="A31" s="278" t="s">
        <v>190</v>
      </c>
      <c r="B31" s="279">
        <v>240</v>
      </c>
      <c r="C31" s="279">
        <f>+B31</f>
        <v>240</v>
      </c>
      <c r="D31" s="279">
        <f>+B31</f>
        <v>240</v>
      </c>
      <c r="E31" s="279">
        <f>+C31</f>
        <v>240</v>
      </c>
      <c r="F31" s="280">
        <f t="shared" ref="F31:F38" si="2">SUM(B31:E31)</f>
        <v>960</v>
      </c>
      <c r="G31" s="281">
        <f>D31*1.1</f>
        <v>264</v>
      </c>
      <c r="H31" s="279">
        <f>G31</f>
        <v>264</v>
      </c>
      <c r="I31" s="279">
        <f>H31</f>
        <v>264</v>
      </c>
      <c r="J31" s="279">
        <f>I31</f>
        <v>264</v>
      </c>
      <c r="K31" s="282">
        <f t="shared" ref="K31:K38" si="3">SUM(G31:J31)</f>
        <v>1056</v>
      </c>
      <c r="L31" s="283">
        <f>I31*1.1</f>
        <v>290.40000000000003</v>
      </c>
      <c r="M31" s="283">
        <f>L31</f>
        <v>290.40000000000003</v>
      </c>
      <c r="N31" s="283">
        <f>M31</f>
        <v>290.40000000000003</v>
      </c>
      <c r="O31" s="283">
        <f>N31</f>
        <v>290.40000000000003</v>
      </c>
      <c r="P31" s="237">
        <f t="shared" ref="P31:P41" si="4">SUM(L31:O31)</f>
        <v>1161.6000000000001</v>
      </c>
      <c r="Q31" s="281">
        <f>N31*1.1</f>
        <v>319.44000000000005</v>
      </c>
      <c r="R31" s="279">
        <f>Q31</f>
        <v>319.44000000000005</v>
      </c>
      <c r="S31" s="279">
        <f>R31</f>
        <v>319.44000000000005</v>
      </c>
      <c r="T31" s="279">
        <f>S31</f>
        <v>319.44000000000005</v>
      </c>
      <c r="U31" s="233">
        <f t="shared" ref="U31:U38" si="5">SUM(Q31:T31)</f>
        <v>1277.7600000000002</v>
      </c>
      <c r="V31" s="281">
        <f>S31*1.1</f>
        <v>351.38400000000007</v>
      </c>
      <c r="W31" s="279">
        <f t="shared" ref="W31:X33" si="6">V31</f>
        <v>351.38400000000007</v>
      </c>
      <c r="X31" s="279">
        <f t="shared" si="6"/>
        <v>351.38400000000007</v>
      </c>
      <c r="Y31" s="279">
        <f>T31*1.05</f>
        <v>335.41200000000009</v>
      </c>
      <c r="Z31" s="236">
        <f t="shared" ref="Z31:Z38" si="7">SUM(V31:Y31)</f>
        <v>1389.5640000000003</v>
      </c>
    </row>
    <row r="32" spans="1:26" x14ac:dyDescent="0.25">
      <c r="A32" s="278" t="s">
        <v>191</v>
      </c>
      <c r="B32" s="279">
        <v>60</v>
      </c>
      <c r="C32" s="279">
        <f>B32</f>
        <v>60</v>
      </c>
      <c r="D32" s="279">
        <f>C32</f>
        <v>60</v>
      </c>
      <c r="E32" s="279">
        <v>80</v>
      </c>
      <c r="F32" s="280">
        <f t="shared" si="2"/>
        <v>260</v>
      </c>
      <c r="G32" s="281">
        <f>D32*1.05</f>
        <v>63</v>
      </c>
      <c r="H32" s="279">
        <f>G32</f>
        <v>63</v>
      </c>
      <c r="I32" s="279">
        <f>H32</f>
        <v>63</v>
      </c>
      <c r="J32" s="284">
        <f>E32*1.05</f>
        <v>84</v>
      </c>
      <c r="K32" s="282">
        <f t="shared" si="3"/>
        <v>273</v>
      </c>
      <c r="L32" s="283">
        <f>I32*1.05</f>
        <v>66.150000000000006</v>
      </c>
      <c r="M32" s="283">
        <f>L32</f>
        <v>66.150000000000006</v>
      </c>
      <c r="N32" s="283">
        <f>M32</f>
        <v>66.150000000000006</v>
      </c>
      <c r="O32" s="283">
        <f>J32*1.05</f>
        <v>88.2</v>
      </c>
      <c r="P32" s="237">
        <f t="shared" si="4"/>
        <v>286.65000000000003</v>
      </c>
      <c r="Q32" s="281">
        <f>N32*1.05</f>
        <v>69.45750000000001</v>
      </c>
      <c r="R32" s="279">
        <f>Q32</f>
        <v>69.45750000000001</v>
      </c>
      <c r="S32" s="279">
        <f>R32</f>
        <v>69.45750000000001</v>
      </c>
      <c r="T32" s="279">
        <f>O32*1.05</f>
        <v>92.610000000000014</v>
      </c>
      <c r="U32" s="233">
        <f t="shared" si="5"/>
        <v>300.98250000000007</v>
      </c>
      <c r="V32" s="281">
        <f>S32*1.1</f>
        <v>76.403250000000014</v>
      </c>
      <c r="W32" s="279">
        <f t="shared" si="6"/>
        <v>76.403250000000014</v>
      </c>
      <c r="X32" s="279">
        <f t="shared" si="6"/>
        <v>76.403250000000014</v>
      </c>
      <c r="Y32" s="279">
        <f>T32*1.05</f>
        <v>97.240500000000011</v>
      </c>
      <c r="Z32" s="236">
        <f t="shared" si="7"/>
        <v>326.45025000000004</v>
      </c>
    </row>
    <row r="33" spans="1:26" x14ac:dyDescent="0.25">
      <c r="A33" s="278" t="s">
        <v>191</v>
      </c>
      <c r="B33" s="279">
        <v>60</v>
      </c>
      <c r="C33" s="279">
        <f>B33</f>
        <v>60</v>
      </c>
      <c r="D33" s="279">
        <f>C33</f>
        <v>60</v>
      </c>
      <c r="E33" s="279">
        <v>80</v>
      </c>
      <c r="F33" s="280">
        <f>SUM(B33:E33)</f>
        <v>260</v>
      </c>
      <c r="G33" s="281">
        <f>D33*1.05</f>
        <v>63</v>
      </c>
      <c r="H33" s="279">
        <f>G33</f>
        <v>63</v>
      </c>
      <c r="I33" s="279">
        <f>H33</f>
        <v>63</v>
      </c>
      <c r="J33" s="284">
        <f>E33*1.05</f>
        <v>84</v>
      </c>
      <c r="K33" s="282">
        <f>SUM(G33:J33)</f>
        <v>273</v>
      </c>
      <c r="L33" s="283">
        <f>I33*1.05</f>
        <v>66.150000000000006</v>
      </c>
      <c r="M33" s="283">
        <f>L33</f>
        <v>66.150000000000006</v>
      </c>
      <c r="N33" s="283">
        <f>M33</f>
        <v>66.150000000000006</v>
      </c>
      <c r="O33" s="283">
        <f>J33*1.05</f>
        <v>88.2</v>
      </c>
      <c r="P33" s="237">
        <f>SUM(L33:O33)</f>
        <v>286.65000000000003</v>
      </c>
      <c r="Q33" s="281">
        <f>N33*1.05</f>
        <v>69.45750000000001</v>
      </c>
      <c r="R33" s="279">
        <f>Q33</f>
        <v>69.45750000000001</v>
      </c>
      <c r="S33" s="279">
        <f>R33</f>
        <v>69.45750000000001</v>
      </c>
      <c r="T33" s="279">
        <f>O33*1.05</f>
        <v>92.610000000000014</v>
      </c>
      <c r="U33" s="233">
        <f>SUM(Q33:T33)</f>
        <v>300.98250000000007</v>
      </c>
      <c r="V33" s="281">
        <f>S33*1.1</f>
        <v>76.403250000000014</v>
      </c>
      <c r="W33" s="279">
        <f t="shared" si="6"/>
        <v>76.403250000000014</v>
      </c>
      <c r="X33" s="279">
        <f t="shared" si="6"/>
        <v>76.403250000000014</v>
      </c>
      <c r="Y33" s="279">
        <f>T33*1.05</f>
        <v>97.240500000000011</v>
      </c>
      <c r="Z33" s="236">
        <f>SUM(V33:Y33)</f>
        <v>326.45025000000004</v>
      </c>
    </row>
    <row r="34" spans="1:26" x14ac:dyDescent="0.25">
      <c r="A34" s="278" t="s">
        <v>192</v>
      </c>
      <c r="B34" s="33">
        <v>72</v>
      </c>
      <c r="C34" s="232">
        <v>216</v>
      </c>
      <c r="D34" s="232">
        <v>216</v>
      </c>
      <c r="E34" s="232">
        <v>216</v>
      </c>
      <c r="F34" s="280">
        <f t="shared" si="2"/>
        <v>720</v>
      </c>
      <c r="G34" s="268">
        <f>B34*1.1</f>
        <v>79.2</v>
      </c>
      <c r="H34" s="268">
        <f>C34*1.1</f>
        <v>237.60000000000002</v>
      </c>
      <c r="I34" s="268">
        <f>D34*1.1</f>
        <v>237.60000000000002</v>
      </c>
      <c r="J34" s="268">
        <f>E34*1.1</f>
        <v>237.60000000000002</v>
      </c>
      <c r="K34" s="282">
        <f t="shared" si="3"/>
        <v>792.00000000000011</v>
      </c>
      <c r="L34" s="170">
        <f>G34*1.1</f>
        <v>87.12</v>
      </c>
      <c r="M34" s="170">
        <f>H34*1.1</f>
        <v>261.36000000000007</v>
      </c>
      <c r="N34" s="170">
        <f>I34*1.1</f>
        <v>261.36000000000007</v>
      </c>
      <c r="O34" s="170">
        <f>J34*1.1</f>
        <v>261.36000000000007</v>
      </c>
      <c r="P34" s="237">
        <f t="shared" si="4"/>
        <v>871.20000000000027</v>
      </c>
      <c r="Q34" s="268">
        <f>L34*1.1</f>
        <v>95.832000000000008</v>
      </c>
      <c r="R34" s="268">
        <f>M34*1.1</f>
        <v>287.49600000000009</v>
      </c>
      <c r="S34" s="268">
        <f>N34*1.1</f>
        <v>287.49600000000009</v>
      </c>
      <c r="T34" s="268">
        <f>O34*1.1</f>
        <v>287.49600000000009</v>
      </c>
      <c r="U34" s="233">
        <f t="shared" si="5"/>
        <v>958.32000000000028</v>
      </c>
      <c r="V34" s="268">
        <f>Q34*1.1</f>
        <v>105.41520000000001</v>
      </c>
      <c r="W34" s="268">
        <f>R34*1.1</f>
        <v>316.24560000000014</v>
      </c>
      <c r="X34" s="268">
        <f>S34*1.1</f>
        <v>316.24560000000014</v>
      </c>
      <c r="Y34" s="268">
        <f>T34*1.1</f>
        <v>316.24560000000014</v>
      </c>
      <c r="Z34" s="236">
        <f t="shared" si="7"/>
        <v>1054.1520000000005</v>
      </c>
    </row>
    <row r="35" spans="1:26" x14ac:dyDescent="0.25">
      <c r="A35" s="285" t="s">
        <v>193</v>
      </c>
      <c r="B35" s="286">
        <v>60</v>
      </c>
      <c r="C35" s="287">
        <v>75</v>
      </c>
      <c r="D35" s="286">
        <v>75</v>
      </c>
      <c r="E35" s="286">
        <v>80</v>
      </c>
      <c r="F35" s="288">
        <f t="shared" si="2"/>
        <v>290</v>
      </c>
      <c r="G35" s="289">
        <v>80</v>
      </c>
      <c r="H35" s="286">
        <v>80</v>
      </c>
      <c r="I35" s="286">
        <v>80</v>
      </c>
      <c r="J35" s="290">
        <v>80</v>
      </c>
      <c r="K35" s="291">
        <f t="shared" si="3"/>
        <v>320</v>
      </c>
      <c r="L35" s="81">
        <v>80</v>
      </c>
      <c r="M35" s="81">
        <v>80</v>
      </c>
      <c r="N35" s="81">
        <v>80</v>
      </c>
      <c r="O35" s="81">
        <v>80</v>
      </c>
      <c r="P35" s="292">
        <f t="shared" si="4"/>
        <v>320</v>
      </c>
      <c r="Q35" s="293">
        <v>90</v>
      </c>
      <c r="R35" s="286">
        <v>90</v>
      </c>
      <c r="S35" s="286">
        <v>90</v>
      </c>
      <c r="T35" s="286">
        <v>90</v>
      </c>
      <c r="U35" s="233">
        <f t="shared" si="5"/>
        <v>360</v>
      </c>
      <c r="V35" s="293">
        <v>90</v>
      </c>
      <c r="W35" s="286">
        <v>90</v>
      </c>
      <c r="X35" s="286">
        <v>90</v>
      </c>
      <c r="Y35" s="286">
        <v>90</v>
      </c>
      <c r="Z35" s="236">
        <f t="shared" si="7"/>
        <v>360</v>
      </c>
    </row>
    <row r="36" spans="1:26" x14ac:dyDescent="0.25">
      <c r="A36" s="285" t="s">
        <v>194</v>
      </c>
      <c r="B36" s="286">
        <v>10</v>
      </c>
      <c r="C36" s="287">
        <v>20</v>
      </c>
      <c r="D36" s="286">
        <v>20</v>
      </c>
      <c r="E36" s="286">
        <v>20</v>
      </c>
      <c r="F36" s="288">
        <f t="shared" si="2"/>
        <v>70</v>
      </c>
      <c r="G36" s="289">
        <v>25</v>
      </c>
      <c r="H36" s="286">
        <v>25</v>
      </c>
      <c r="I36" s="286">
        <v>25</v>
      </c>
      <c r="J36" s="290">
        <v>25</v>
      </c>
      <c r="K36" s="291">
        <f t="shared" si="3"/>
        <v>100</v>
      </c>
      <c r="L36" s="81">
        <v>30</v>
      </c>
      <c r="M36" s="81">
        <v>30</v>
      </c>
      <c r="N36" s="81">
        <v>30</v>
      </c>
      <c r="O36" s="81">
        <v>30</v>
      </c>
      <c r="P36" s="292">
        <f t="shared" si="4"/>
        <v>120</v>
      </c>
      <c r="Q36" s="289">
        <v>35</v>
      </c>
      <c r="R36" s="286">
        <v>35</v>
      </c>
      <c r="S36" s="286">
        <v>35</v>
      </c>
      <c r="T36" s="286">
        <v>35</v>
      </c>
      <c r="U36" s="233">
        <f t="shared" si="5"/>
        <v>140</v>
      </c>
      <c r="V36" s="289">
        <v>40</v>
      </c>
      <c r="W36" s="286">
        <v>40</v>
      </c>
      <c r="X36" s="286">
        <v>40</v>
      </c>
      <c r="Y36" s="286">
        <v>40</v>
      </c>
      <c r="Z36" s="236">
        <f t="shared" si="7"/>
        <v>160</v>
      </c>
    </row>
    <row r="37" spans="1:26" x14ac:dyDescent="0.25">
      <c r="A37" s="285" t="s">
        <v>195</v>
      </c>
      <c r="B37" s="286">
        <v>15</v>
      </c>
      <c r="C37" s="287">
        <v>20</v>
      </c>
      <c r="D37" s="286">
        <v>20</v>
      </c>
      <c r="E37" s="286">
        <v>20</v>
      </c>
      <c r="F37" s="288">
        <f t="shared" si="2"/>
        <v>75</v>
      </c>
      <c r="G37" s="289">
        <v>25</v>
      </c>
      <c r="H37" s="286">
        <v>25</v>
      </c>
      <c r="I37" s="286">
        <v>25</v>
      </c>
      <c r="J37" s="290">
        <v>25</v>
      </c>
      <c r="K37" s="291">
        <f t="shared" si="3"/>
        <v>100</v>
      </c>
      <c r="L37" s="81">
        <v>25</v>
      </c>
      <c r="M37" s="81">
        <v>25</v>
      </c>
      <c r="N37" s="81">
        <v>25</v>
      </c>
      <c r="O37" s="81">
        <v>25</v>
      </c>
      <c r="P37" s="292">
        <f t="shared" si="4"/>
        <v>100</v>
      </c>
      <c r="Q37" s="289">
        <v>25</v>
      </c>
      <c r="R37" s="286">
        <v>25</v>
      </c>
      <c r="S37" s="286">
        <v>25</v>
      </c>
      <c r="T37" s="286">
        <v>25</v>
      </c>
      <c r="U37" s="233">
        <f t="shared" si="5"/>
        <v>100</v>
      </c>
      <c r="V37" s="289">
        <v>30</v>
      </c>
      <c r="W37" s="286">
        <v>30</v>
      </c>
      <c r="X37" s="286">
        <v>30</v>
      </c>
      <c r="Y37" s="286">
        <v>30</v>
      </c>
      <c r="Z37" s="236">
        <f t="shared" si="7"/>
        <v>120</v>
      </c>
    </row>
    <row r="38" spans="1:26" x14ac:dyDescent="0.25">
      <c r="A38" s="285" t="s">
        <v>196</v>
      </c>
      <c r="B38" s="286">
        <v>30</v>
      </c>
      <c r="C38" s="287">
        <v>30</v>
      </c>
      <c r="D38" s="286">
        <v>30</v>
      </c>
      <c r="E38" s="286">
        <v>30</v>
      </c>
      <c r="F38" s="288">
        <f t="shared" si="2"/>
        <v>120</v>
      </c>
      <c r="G38" s="289">
        <v>40</v>
      </c>
      <c r="H38" s="286">
        <v>40</v>
      </c>
      <c r="I38" s="286">
        <v>40</v>
      </c>
      <c r="J38" s="290">
        <v>40</v>
      </c>
      <c r="K38" s="291">
        <f t="shared" si="3"/>
        <v>160</v>
      </c>
      <c r="L38" s="81">
        <v>45</v>
      </c>
      <c r="M38" s="81">
        <v>45</v>
      </c>
      <c r="N38" s="81">
        <v>45</v>
      </c>
      <c r="O38" s="81">
        <v>45</v>
      </c>
      <c r="P38" s="292">
        <f t="shared" si="4"/>
        <v>180</v>
      </c>
      <c r="Q38" s="289">
        <v>50</v>
      </c>
      <c r="R38" s="286">
        <v>50</v>
      </c>
      <c r="S38" s="286">
        <v>50</v>
      </c>
      <c r="T38" s="286">
        <v>50</v>
      </c>
      <c r="U38" s="233">
        <f t="shared" si="5"/>
        <v>200</v>
      </c>
      <c r="V38" s="289">
        <v>55</v>
      </c>
      <c r="W38" s="286">
        <v>55</v>
      </c>
      <c r="X38" s="286">
        <v>55</v>
      </c>
      <c r="Y38" s="286">
        <v>55</v>
      </c>
      <c r="Z38" s="236">
        <f t="shared" si="7"/>
        <v>220</v>
      </c>
    </row>
    <row r="39" spans="1:26" x14ac:dyDescent="0.25">
      <c r="A39" s="294" t="s">
        <v>197</v>
      </c>
      <c r="B39" s="295">
        <f t="shared" ref="B39:Z39" si="8">SUM(B31:B38)</f>
        <v>547</v>
      </c>
      <c r="C39" s="295">
        <f t="shared" si="8"/>
        <v>721</v>
      </c>
      <c r="D39" s="295">
        <f t="shared" si="8"/>
        <v>721</v>
      </c>
      <c r="E39" s="295">
        <f t="shared" si="8"/>
        <v>766</v>
      </c>
      <c r="F39" s="295">
        <f t="shared" si="8"/>
        <v>2755</v>
      </c>
      <c r="G39" s="296">
        <f t="shared" si="8"/>
        <v>639.20000000000005</v>
      </c>
      <c r="H39" s="295">
        <f t="shared" si="8"/>
        <v>797.6</v>
      </c>
      <c r="I39" s="295">
        <f t="shared" si="8"/>
        <v>797.6</v>
      </c>
      <c r="J39" s="295">
        <f t="shared" si="8"/>
        <v>839.6</v>
      </c>
      <c r="K39" s="295">
        <f t="shared" si="8"/>
        <v>3074</v>
      </c>
      <c r="L39" s="295">
        <f t="shared" si="8"/>
        <v>689.82</v>
      </c>
      <c r="M39" s="295">
        <f t="shared" si="8"/>
        <v>864.06000000000017</v>
      </c>
      <c r="N39" s="295">
        <f t="shared" si="8"/>
        <v>864.06000000000017</v>
      </c>
      <c r="O39" s="295">
        <f t="shared" si="8"/>
        <v>908.16000000000008</v>
      </c>
      <c r="P39" s="295">
        <f t="shared" si="8"/>
        <v>3326.1000000000004</v>
      </c>
      <c r="Q39" s="295">
        <f t="shared" si="8"/>
        <v>754.18700000000001</v>
      </c>
      <c r="R39" s="295">
        <f t="shared" si="8"/>
        <v>945.85100000000011</v>
      </c>
      <c r="S39" s="295">
        <f t="shared" si="8"/>
        <v>945.85100000000011</v>
      </c>
      <c r="T39" s="295">
        <f t="shared" si="8"/>
        <v>992.15600000000018</v>
      </c>
      <c r="U39" s="295">
        <f t="shared" si="8"/>
        <v>3638.0450000000005</v>
      </c>
      <c r="V39" s="295">
        <f t="shared" si="8"/>
        <v>824.60570000000007</v>
      </c>
      <c r="W39" s="295">
        <f t="shared" si="8"/>
        <v>1035.4361000000004</v>
      </c>
      <c r="X39" s="295">
        <f t="shared" si="8"/>
        <v>1035.4361000000004</v>
      </c>
      <c r="Y39" s="295">
        <f t="shared" si="8"/>
        <v>1061.1386000000002</v>
      </c>
      <c r="Z39" s="295">
        <f t="shared" si="8"/>
        <v>3956.616500000001</v>
      </c>
    </row>
    <row r="40" spans="1:26" x14ac:dyDescent="0.25">
      <c r="A40" s="294" t="s">
        <v>198</v>
      </c>
      <c r="B40" s="295"/>
      <c r="C40" s="295"/>
      <c r="D40" s="295"/>
      <c r="E40" s="295"/>
      <c r="F40" s="297"/>
      <c r="G40" s="295"/>
      <c r="H40" s="295"/>
      <c r="I40" s="295"/>
      <c r="J40" s="298"/>
      <c r="K40" s="299">
        <f>SUM(G40:J40)</f>
        <v>0</v>
      </c>
      <c r="L40" s="296">
        <f>K41</f>
        <v>28402.5</v>
      </c>
      <c r="M40" s="295"/>
      <c r="N40" s="295"/>
      <c r="O40" s="295"/>
      <c r="P40" s="292">
        <f t="shared" si="4"/>
        <v>28402.5</v>
      </c>
      <c r="Q40" s="295">
        <f>P41</f>
        <v>59815</v>
      </c>
      <c r="R40" s="295"/>
      <c r="S40" s="295"/>
      <c r="T40" s="295"/>
      <c r="U40" s="300">
        <f>SUM(Q40:T40)</f>
        <v>59815</v>
      </c>
      <c r="V40" s="295">
        <f>U41</f>
        <v>50953.125</v>
      </c>
      <c r="W40" s="295"/>
      <c r="X40" s="295"/>
      <c r="Y40" s="295"/>
      <c r="Z40" s="301">
        <f>SUM(V40:Y40)</f>
        <v>50953.125</v>
      </c>
    </row>
    <row r="41" spans="1:26" x14ac:dyDescent="0.25">
      <c r="A41" s="294" t="s">
        <v>199</v>
      </c>
      <c r="B41" s="295"/>
      <c r="C41" s="295"/>
      <c r="D41" s="295"/>
      <c r="E41" s="295">
        <f>'[1]Profit loss layout'!F103</f>
        <v>18258.75</v>
      </c>
      <c r="F41" s="297">
        <f>SUM(B41:E41)</f>
        <v>18258.75</v>
      </c>
      <c r="G41" s="295"/>
      <c r="H41" s="295"/>
      <c r="I41" s="295"/>
      <c r="J41" s="298">
        <f>'[1]Profit loss layout'!G103</f>
        <v>28402.5</v>
      </c>
      <c r="K41" s="299">
        <f>SUM(G41:J41)</f>
        <v>28402.5</v>
      </c>
      <c r="L41" s="296"/>
      <c r="M41" s="295"/>
      <c r="N41" s="295"/>
      <c r="O41" s="295">
        <f>'[1]Profit loss layout'!H103</f>
        <v>59815</v>
      </c>
      <c r="P41" s="292">
        <f t="shared" si="4"/>
        <v>59815</v>
      </c>
      <c r="Q41" s="295"/>
      <c r="R41" s="295"/>
      <c r="S41" s="295"/>
      <c r="T41" s="295">
        <f>'[1]Profit loss layout'!I103</f>
        <v>50953.125</v>
      </c>
      <c r="U41" s="300">
        <f>SUM(Q41:T41)</f>
        <v>50953.125</v>
      </c>
      <c r="V41" s="295"/>
      <c r="W41" s="295"/>
      <c r="X41" s="295"/>
      <c r="Y41" s="295">
        <f>'[1]Profit loss layout'!J103</f>
        <v>0</v>
      </c>
      <c r="Z41" s="301">
        <f>SUM(V41:Y41)</f>
        <v>0</v>
      </c>
    </row>
    <row r="42" spans="1:26" ht="15.75" thickBot="1" x14ac:dyDescent="0.3">
      <c r="A42" s="302" t="s">
        <v>200</v>
      </c>
      <c r="B42" s="303">
        <f t="shared" ref="B42:H42" si="9">B39+B28+B40-B41</f>
        <v>7392</v>
      </c>
      <c r="C42" s="303">
        <f t="shared" si="9"/>
        <v>14146</v>
      </c>
      <c r="D42" s="303">
        <f t="shared" si="9"/>
        <v>3898.5</v>
      </c>
      <c r="E42" s="303">
        <f t="shared" si="9"/>
        <v>-17492.75</v>
      </c>
      <c r="F42" s="303">
        <f t="shared" si="9"/>
        <v>7943.75</v>
      </c>
      <c r="G42" s="303">
        <f t="shared" si="9"/>
        <v>21860.45</v>
      </c>
      <c r="H42" s="303">
        <f t="shared" si="9"/>
        <v>17353.849999999999</v>
      </c>
      <c r="I42" s="303"/>
      <c r="J42" s="304"/>
      <c r="K42" s="305">
        <f>K39+K28+K40-K41</f>
        <v>17699</v>
      </c>
      <c r="L42" s="306"/>
      <c r="M42" s="303"/>
      <c r="N42" s="303"/>
      <c r="O42" s="303"/>
      <c r="P42" s="303">
        <f>P39+P28+P40-P41</f>
        <v>36738.600000000006</v>
      </c>
      <c r="Q42" s="303"/>
      <c r="R42" s="303"/>
      <c r="S42" s="303"/>
      <c r="T42" s="303"/>
      <c r="U42" s="233">
        <f>SUM(Q42:T42)</f>
        <v>0</v>
      </c>
      <c r="V42" s="303">
        <f>V39+V28+V40-V41</f>
        <v>111925.8557</v>
      </c>
      <c r="W42" s="303">
        <f>W39+W28+W40-W41</f>
        <v>30472.936099999999</v>
      </c>
      <c r="X42" s="303">
        <f>X39+X28+X40-X41</f>
        <v>20722.936099999999</v>
      </c>
      <c r="Y42" s="303">
        <f>Y39+Y28+Y40-Y41</f>
        <v>1061.1386000000002</v>
      </c>
      <c r="Z42" s="236">
        <f>SUM(V42:Y42)</f>
        <v>164182.8665</v>
      </c>
    </row>
    <row r="43" spans="1:26" x14ac:dyDescent="0.25">
      <c r="A43" s="307" t="s">
        <v>201</v>
      </c>
      <c r="B43" s="308">
        <f>B16-B42</f>
        <v>-7391</v>
      </c>
      <c r="C43" s="308">
        <f>C16-C42</f>
        <v>-2530.0499999999993</v>
      </c>
      <c r="D43" s="308">
        <f>D16-D42</f>
        <v>-3348.5</v>
      </c>
      <c r="E43" s="308">
        <f>E16-E42</f>
        <v>47203.481249999997</v>
      </c>
      <c r="F43" s="309">
        <f>F16-F42</f>
        <v>33933.931249999994</v>
      </c>
      <c r="G43" s="308"/>
      <c r="H43" s="308"/>
      <c r="I43" s="308"/>
      <c r="J43" s="308"/>
      <c r="K43" s="308">
        <f>K16-K42</f>
        <v>59767.043749999997</v>
      </c>
      <c r="L43" s="308">
        <f>L16-L42</f>
        <v>0</v>
      </c>
      <c r="M43" s="308">
        <f>M16-M42</f>
        <v>57535.5</v>
      </c>
      <c r="N43" s="308">
        <f>N16-N42</f>
        <v>2171.8125</v>
      </c>
      <c r="O43" s="308">
        <f>O16-O42</f>
        <v>50634.921875</v>
      </c>
      <c r="P43" s="237">
        <f>SUM(L43:O43)</f>
        <v>110342.234375</v>
      </c>
      <c r="Q43" s="308">
        <f t="shared" ref="Q43:Z43" si="10">Q16-Q42</f>
        <v>0</v>
      </c>
      <c r="R43" s="308">
        <f t="shared" si="10"/>
        <v>80475.5</v>
      </c>
      <c r="S43" s="308">
        <f t="shared" si="10"/>
        <v>2522.8125</v>
      </c>
      <c r="T43" s="308">
        <f t="shared" si="10"/>
        <v>64436.5</v>
      </c>
      <c r="U43" s="308">
        <f t="shared" si="10"/>
        <v>147434.8125</v>
      </c>
      <c r="V43" s="308">
        <f t="shared" si="10"/>
        <v>-111925.8557</v>
      </c>
      <c r="W43" s="308">
        <f t="shared" si="10"/>
        <v>-30472.936099999999</v>
      </c>
      <c r="X43" s="308">
        <f t="shared" si="10"/>
        <v>90602.142025000008</v>
      </c>
      <c r="Y43" s="308">
        <f t="shared" si="10"/>
        <v>80030.167649999988</v>
      </c>
      <c r="Z43" s="308">
        <f t="shared" si="10"/>
        <v>28233.51787499999</v>
      </c>
    </row>
    <row r="44" spans="1:26" x14ac:dyDescent="0.25">
      <c r="A44" s="310" t="s">
        <v>202</v>
      </c>
      <c r="B44" s="170"/>
      <c r="C44" s="170"/>
      <c r="D44" s="170"/>
      <c r="E44" s="250"/>
      <c r="F44" s="233"/>
      <c r="G44" s="268"/>
      <c r="H44" s="33"/>
      <c r="I44" s="33"/>
      <c r="J44" s="33"/>
      <c r="K44" s="233"/>
      <c r="L44" s="205"/>
      <c r="M44" s="170"/>
      <c r="N44" s="170"/>
      <c r="O44" s="170"/>
      <c r="P44" s="237"/>
      <c r="Q44" s="268"/>
      <c r="R44" s="33"/>
      <c r="S44" s="33"/>
      <c r="T44" s="33"/>
      <c r="U44" s="233">
        <f t="shared" ref="U44:U62" si="11">SUM(Q44:T44)</f>
        <v>0</v>
      </c>
      <c r="V44" s="268"/>
      <c r="W44" s="33"/>
      <c r="X44" s="33"/>
      <c r="Y44" s="33"/>
      <c r="Z44" s="236">
        <f t="shared" ref="Z44:Z62" si="12">SUM(V44:Y44)</f>
        <v>0</v>
      </c>
    </row>
    <row r="45" spans="1:26" x14ac:dyDescent="0.25">
      <c r="A45" s="278" t="s">
        <v>203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81">
        <v>195</v>
      </c>
      <c r="H45" s="279">
        <f t="shared" ref="H45:I49" si="13">G45</f>
        <v>195</v>
      </c>
      <c r="I45" s="279">
        <f t="shared" si="13"/>
        <v>195</v>
      </c>
      <c r="J45" s="279">
        <v>260</v>
      </c>
      <c r="K45" s="233">
        <f t="shared" ref="K45:K62" si="14">SUM(G45:J45)</f>
        <v>845</v>
      </c>
      <c r="L45" s="311">
        <f>I45*1.05</f>
        <v>204.75</v>
      </c>
      <c r="M45" s="283">
        <f t="shared" ref="M45:N50" si="15">L45</f>
        <v>204.75</v>
      </c>
      <c r="N45" s="283">
        <f t="shared" si="15"/>
        <v>204.75</v>
      </c>
      <c r="O45" s="283">
        <f>J45*1.05</f>
        <v>273</v>
      </c>
      <c r="P45" s="237">
        <f t="shared" ref="P45:P62" si="16">SUM(L45:O45)</f>
        <v>887.25</v>
      </c>
      <c r="Q45" s="281">
        <f t="shared" ref="Q45:Q50" si="17">N45*1.05</f>
        <v>214.98750000000001</v>
      </c>
      <c r="R45" s="279">
        <f t="shared" ref="R45:S50" si="18">Q45</f>
        <v>214.98750000000001</v>
      </c>
      <c r="S45" s="279">
        <f t="shared" si="18"/>
        <v>214.98750000000001</v>
      </c>
      <c r="T45" s="279">
        <f t="shared" ref="T45:T50" si="19">O45*1.05</f>
        <v>286.65000000000003</v>
      </c>
      <c r="U45" s="233">
        <f t="shared" si="11"/>
        <v>931.61250000000018</v>
      </c>
      <c r="V45" s="281">
        <f t="shared" ref="V45:V50" si="20">S45*1.05</f>
        <v>225.73687500000003</v>
      </c>
      <c r="W45" s="279">
        <f t="shared" ref="W45:X50" si="21">V45</f>
        <v>225.73687500000003</v>
      </c>
      <c r="X45" s="279">
        <f t="shared" si="21"/>
        <v>225.73687500000003</v>
      </c>
      <c r="Y45" s="279">
        <f t="shared" ref="Y45:Y50" si="22">T45*1.05</f>
        <v>300.98250000000007</v>
      </c>
      <c r="Z45" s="236">
        <f t="shared" si="12"/>
        <v>978.19312500000012</v>
      </c>
    </row>
    <row r="46" spans="1:26" x14ac:dyDescent="0.25">
      <c r="A46" s="278" t="s">
        <v>204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81">
        <v>60</v>
      </c>
      <c r="H46" s="279">
        <f t="shared" si="13"/>
        <v>60</v>
      </c>
      <c r="I46" s="279">
        <f t="shared" si="13"/>
        <v>60</v>
      </c>
      <c r="J46" s="279">
        <v>80</v>
      </c>
      <c r="K46" s="233">
        <f t="shared" si="14"/>
        <v>260</v>
      </c>
      <c r="L46" s="311">
        <f>I46*1.1</f>
        <v>66</v>
      </c>
      <c r="M46" s="283">
        <f t="shared" si="15"/>
        <v>66</v>
      </c>
      <c r="N46" s="283">
        <f t="shared" si="15"/>
        <v>66</v>
      </c>
      <c r="O46" s="283">
        <f>J46*1.05</f>
        <v>84</v>
      </c>
      <c r="P46" s="237">
        <f t="shared" si="16"/>
        <v>282</v>
      </c>
      <c r="Q46" s="281">
        <f t="shared" si="17"/>
        <v>69.3</v>
      </c>
      <c r="R46" s="279">
        <f t="shared" si="18"/>
        <v>69.3</v>
      </c>
      <c r="S46" s="279">
        <f t="shared" si="18"/>
        <v>69.3</v>
      </c>
      <c r="T46" s="279">
        <f t="shared" si="19"/>
        <v>88.2</v>
      </c>
      <c r="U46" s="233">
        <f t="shared" si="11"/>
        <v>296.09999999999997</v>
      </c>
      <c r="V46" s="281">
        <f t="shared" si="20"/>
        <v>72.765000000000001</v>
      </c>
      <c r="W46" s="279">
        <f t="shared" si="21"/>
        <v>72.765000000000001</v>
      </c>
      <c r="X46" s="279">
        <f t="shared" si="21"/>
        <v>72.765000000000001</v>
      </c>
      <c r="Y46" s="279">
        <f t="shared" si="22"/>
        <v>92.610000000000014</v>
      </c>
      <c r="Z46" s="236">
        <f t="shared" si="12"/>
        <v>310.90500000000003</v>
      </c>
    </row>
    <row r="47" spans="1:26" x14ac:dyDescent="0.25">
      <c r="A47" s="278" t="s">
        <v>205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81">
        <v>60</v>
      </c>
      <c r="H47" s="279">
        <f>G47</f>
        <v>60</v>
      </c>
      <c r="I47" s="279">
        <f>H47</f>
        <v>60</v>
      </c>
      <c r="J47" s="279">
        <v>80</v>
      </c>
      <c r="K47" s="233">
        <f>SUM(G47:J47)</f>
        <v>260</v>
      </c>
      <c r="L47" s="311">
        <f>I47*1.1</f>
        <v>66</v>
      </c>
      <c r="M47" s="283">
        <f>L47</f>
        <v>66</v>
      </c>
      <c r="N47" s="283">
        <f>M47</f>
        <v>66</v>
      </c>
      <c r="O47" s="283">
        <f>J47*1.05</f>
        <v>84</v>
      </c>
      <c r="P47" s="237">
        <f>SUM(L47:O47)</f>
        <v>282</v>
      </c>
      <c r="Q47" s="281">
        <f>N47*1.05</f>
        <v>69.3</v>
      </c>
      <c r="R47" s="279">
        <f>Q47</f>
        <v>69.3</v>
      </c>
      <c r="S47" s="279">
        <f>R47</f>
        <v>69.3</v>
      </c>
      <c r="T47" s="279">
        <f>O47*1.05</f>
        <v>88.2</v>
      </c>
      <c r="U47" s="233">
        <f>SUM(Q47:T47)</f>
        <v>296.09999999999997</v>
      </c>
      <c r="V47" s="281">
        <f>S47*1.05</f>
        <v>72.765000000000001</v>
      </c>
      <c r="W47" s="279">
        <f>V47</f>
        <v>72.765000000000001</v>
      </c>
      <c r="X47" s="279">
        <f>W47</f>
        <v>72.765000000000001</v>
      </c>
      <c r="Y47" s="279">
        <f>T47*1.05</f>
        <v>92.610000000000014</v>
      </c>
      <c r="Z47" s="236">
        <f>SUM(V47:Y47)</f>
        <v>310.90500000000003</v>
      </c>
    </row>
    <row r="48" spans="1:26" x14ac:dyDescent="0.25">
      <c r="A48" s="278" t="s">
        <v>206</v>
      </c>
      <c r="B48" s="27">
        <v>0</v>
      </c>
      <c r="C48" s="33">
        <v>45</v>
      </c>
      <c r="D48" s="279">
        <v>45</v>
      </c>
      <c r="E48" s="279">
        <v>60</v>
      </c>
      <c r="F48" s="233">
        <f t="shared" ref="F48:F63" si="23">SUM(B48:E48)</f>
        <v>150</v>
      </c>
      <c r="G48" s="281">
        <v>90</v>
      </c>
      <c r="H48" s="279">
        <f t="shared" si="13"/>
        <v>90</v>
      </c>
      <c r="I48" s="279">
        <f t="shared" si="13"/>
        <v>90</v>
      </c>
      <c r="J48" s="279">
        <v>120</v>
      </c>
      <c r="K48" s="233">
        <f t="shared" si="14"/>
        <v>390</v>
      </c>
      <c r="L48" s="311">
        <f>I48*1.05</f>
        <v>94.5</v>
      </c>
      <c r="M48" s="283">
        <f t="shared" si="15"/>
        <v>94.5</v>
      </c>
      <c r="N48" s="283">
        <f t="shared" si="15"/>
        <v>94.5</v>
      </c>
      <c r="O48" s="283">
        <f>N48*1.33</f>
        <v>125.685</v>
      </c>
      <c r="P48" s="237">
        <f t="shared" si="16"/>
        <v>409.185</v>
      </c>
      <c r="Q48" s="281">
        <f t="shared" si="17"/>
        <v>99.225000000000009</v>
      </c>
      <c r="R48" s="279">
        <f t="shared" si="18"/>
        <v>99.225000000000009</v>
      </c>
      <c r="S48" s="279">
        <f t="shared" si="18"/>
        <v>99.225000000000009</v>
      </c>
      <c r="T48" s="279">
        <f t="shared" si="19"/>
        <v>131.96925000000002</v>
      </c>
      <c r="U48" s="233">
        <f t="shared" si="11"/>
        <v>429.64425000000006</v>
      </c>
      <c r="V48" s="281">
        <f t="shared" si="20"/>
        <v>104.18625000000002</v>
      </c>
      <c r="W48" s="279">
        <f t="shared" si="21"/>
        <v>104.18625000000002</v>
      </c>
      <c r="X48" s="279">
        <f t="shared" si="21"/>
        <v>104.18625000000002</v>
      </c>
      <c r="Y48" s="279">
        <f t="shared" si="22"/>
        <v>138.56771250000003</v>
      </c>
      <c r="Z48" s="236">
        <f t="shared" si="12"/>
        <v>451.12646250000006</v>
      </c>
    </row>
    <row r="49" spans="1:26" x14ac:dyDescent="0.25">
      <c r="A49" s="278" t="s">
        <v>207</v>
      </c>
      <c r="B49" s="33">
        <v>50</v>
      </c>
      <c r="C49" s="279">
        <v>75</v>
      </c>
      <c r="D49" s="279">
        <f>C49</f>
        <v>75</v>
      </c>
      <c r="E49" s="279">
        <v>100</v>
      </c>
      <c r="F49" s="233">
        <f t="shared" si="23"/>
        <v>300</v>
      </c>
      <c r="G49" s="281">
        <f>D49*1.05</f>
        <v>78.75</v>
      </c>
      <c r="H49" s="279">
        <f t="shared" si="13"/>
        <v>78.75</v>
      </c>
      <c r="I49" s="279">
        <f t="shared" si="13"/>
        <v>78.75</v>
      </c>
      <c r="J49" s="279">
        <f>E49*1.05</f>
        <v>105</v>
      </c>
      <c r="K49" s="233">
        <f t="shared" si="14"/>
        <v>341.25</v>
      </c>
      <c r="L49" s="311">
        <f>I49*1.05</f>
        <v>82.6875</v>
      </c>
      <c r="M49" s="283">
        <f t="shared" si="15"/>
        <v>82.6875</v>
      </c>
      <c r="N49" s="283">
        <f t="shared" si="15"/>
        <v>82.6875</v>
      </c>
      <c r="O49" s="283">
        <f>J49*1.05</f>
        <v>110.25</v>
      </c>
      <c r="P49" s="237">
        <f t="shared" si="16"/>
        <v>358.3125</v>
      </c>
      <c r="Q49" s="281">
        <f t="shared" si="17"/>
        <v>86.821875000000006</v>
      </c>
      <c r="R49" s="279">
        <f t="shared" si="18"/>
        <v>86.821875000000006</v>
      </c>
      <c r="S49" s="279">
        <f t="shared" si="18"/>
        <v>86.821875000000006</v>
      </c>
      <c r="T49" s="279">
        <f t="shared" si="19"/>
        <v>115.7625</v>
      </c>
      <c r="U49" s="233">
        <f t="shared" si="11"/>
        <v>376.22812500000003</v>
      </c>
      <c r="V49" s="281">
        <f t="shared" si="20"/>
        <v>91.162968750000005</v>
      </c>
      <c r="W49" s="279">
        <f t="shared" si="21"/>
        <v>91.162968750000005</v>
      </c>
      <c r="X49" s="279">
        <f t="shared" si="21"/>
        <v>91.162968750000005</v>
      </c>
      <c r="Y49" s="279">
        <f t="shared" si="22"/>
        <v>121.55062500000001</v>
      </c>
      <c r="Z49" s="236">
        <f t="shared" si="12"/>
        <v>395.03953125000004</v>
      </c>
    </row>
    <row r="50" spans="1:26" x14ac:dyDescent="0.25">
      <c r="A50" s="278" t="s">
        <v>208</v>
      </c>
      <c r="B50" s="33"/>
      <c r="C50" s="279"/>
      <c r="D50" s="279"/>
      <c r="E50" s="279"/>
      <c r="F50" s="233">
        <f t="shared" si="23"/>
        <v>0</v>
      </c>
      <c r="G50" s="281"/>
      <c r="H50" s="279"/>
      <c r="I50" s="279"/>
      <c r="J50" s="279"/>
      <c r="K50" s="233">
        <f t="shared" si="14"/>
        <v>0</v>
      </c>
      <c r="L50" s="311">
        <v>24</v>
      </c>
      <c r="M50" s="283">
        <f t="shared" si="15"/>
        <v>24</v>
      </c>
      <c r="N50" s="283">
        <f t="shared" si="15"/>
        <v>24</v>
      </c>
      <c r="O50" s="283">
        <v>32</v>
      </c>
      <c r="P50" s="237">
        <f t="shared" si="16"/>
        <v>104</v>
      </c>
      <c r="Q50" s="281">
        <f t="shared" si="17"/>
        <v>25.200000000000003</v>
      </c>
      <c r="R50" s="279">
        <f t="shared" si="18"/>
        <v>25.200000000000003</v>
      </c>
      <c r="S50" s="279">
        <f t="shared" si="18"/>
        <v>25.200000000000003</v>
      </c>
      <c r="T50" s="279">
        <f t="shared" si="19"/>
        <v>33.6</v>
      </c>
      <c r="U50" s="233">
        <f t="shared" si="11"/>
        <v>109.20000000000002</v>
      </c>
      <c r="V50" s="281">
        <f t="shared" si="20"/>
        <v>26.460000000000004</v>
      </c>
      <c r="W50" s="279">
        <f t="shared" si="21"/>
        <v>26.460000000000004</v>
      </c>
      <c r="X50" s="279">
        <f t="shared" si="21"/>
        <v>26.460000000000004</v>
      </c>
      <c r="Y50" s="279">
        <f t="shared" si="22"/>
        <v>35.28</v>
      </c>
      <c r="Z50" s="236">
        <f t="shared" si="12"/>
        <v>114.66000000000001</v>
      </c>
    </row>
    <row r="51" spans="1:26" x14ac:dyDescent="0.25">
      <c r="A51" s="278" t="s">
        <v>209</v>
      </c>
      <c r="B51" s="33">
        <v>45</v>
      </c>
      <c r="C51" s="33">
        <v>45</v>
      </c>
      <c r="D51" s="33">
        <v>45</v>
      </c>
      <c r="E51" s="33">
        <v>45</v>
      </c>
      <c r="F51" s="233">
        <f t="shared" si="23"/>
        <v>180</v>
      </c>
      <c r="G51" s="281">
        <f>B51*1.1</f>
        <v>49.500000000000007</v>
      </c>
      <c r="H51" s="279">
        <f t="shared" ref="H51:J53" si="24">G51</f>
        <v>49.500000000000007</v>
      </c>
      <c r="I51" s="279">
        <f t="shared" si="24"/>
        <v>49.500000000000007</v>
      </c>
      <c r="J51" s="279">
        <f t="shared" si="24"/>
        <v>49.500000000000007</v>
      </c>
      <c r="K51" s="233">
        <f t="shared" si="14"/>
        <v>198.00000000000003</v>
      </c>
      <c r="L51" s="311">
        <f>G51*1.1</f>
        <v>54.45000000000001</v>
      </c>
      <c r="M51" s="311">
        <f>H51*1.1</f>
        <v>54.45000000000001</v>
      </c>
      <c r="N51" s="311">
        <f>I51*1.1</f>
        <v>54.45000000000001</v>
      </c>
      <c r="O51" s="311">
        <f>J51*1.1</f>
        <v>54.45000000000001</v>
      </c>
      <c r="P51" s="237">
        <f t="shared" si="16"/>
        <v>217.80000000000004</v>
      </c>
      <c r="Q51" s="281">
        <f>L51*1.1</f>
        <v>59.895000000000017</v>
      </c>
      <c r="R51" s="281">
        <f>M51*1.1</f>
        <v>59.895000000000017</v>
      </c>
      <c r="S51" s="281">
        <f>N51*1.1</f>
        <v>59.895000000000017</v>
      </c>
      <c r="T51" s="281">
        <f>O51*1.1</f>
        <v>59.895000000000017</v>
      </c>
      <c r="U51" s="233">
        <f t="shared" si="11"/>
        <v>239.58000000000007</v>
      </c>
      <c r="V51" s="281">
        <f>Q51*1.1</f>
        <v>65.884500000000031</v>
      </c>
      <c r="W51" s="281">
        <f>R51*1.1</f>
        <v>65.884500000000031</v>
      </c>
      <c r="X51" s="281">
        <f>S51*1.1</f>
        <v>65.884500000000031</v>
      </c>
      <c r="Y51" s="281">
        <f>T51*1.1</f>
        <v>65.884500000000031</v>
      </c>
      <c r="Z51" s="236">
        <f t="shared" si="12"/>
        <v>263.53800000000012</v>
      </c>
    </row>
    <row r="52" spans="1:26" x14ac:dyDescent="0.25">
      <c r="A52" s="278" t="s">
        <v>193</v>
      </c>
      <c r="B52" s="39">
        <v>10</v>
      </c>
      <c r="C52" s="312">
        <v>12</v>
      </c>
      <c r="D52" s="312">
        <v>12</v>
      </c>
      <c r="E52" s="312">
        <v>12</v>
      </c>
      <c r="F52" s="233">
        <f t="shared" si="23"/>
        <v>46</v>
      </c>
      <c r="G52" s="313">
        <v>14</v>
      </c>
      <c r="H52" s="312">
        <f t="shared" si="24"/>
        <v>14</v>
      </c>
      <c r="I52" s="312">
        <f t="shared" si="24"/>
        <v>14</v>
      </c>
      <c r="J52" s="312">
        <v>15</v>
      </c>
      <c r="K52" s="233">
        <f t="shared" si="14"/>
        <v>57</v>
      </c>
      <c r="L52" s="314">
        <v>15</v>
      </c>
      <c r="M52" s="315">
        <v>15</v>
      </c>
      <c r="N52" s="315">
        <v>15</v>
      </c>
      <c r="O52" s="315">
        <v>20</v>
      </c>
      <c r="P52" s="237">
        <f t="shared" si="16"/>
        <v>65</v>
      </c>
      <c r="Q52" s="313">
        <v>20</v>
      </c>
      <c r="R52" s="312">
        <v>20</v>
      </c>
      <c r="S52" s="312">
        <v>20</v>
      </c>
      <c r="T52" s="312">
        <v>20</v>
      </c>
      <c r="U52" s="233">
        <f t="shared" si="11"/>
        <v>80</v>
      </c>
      <c r="V52" s="313">
        <v>25</v>
      </c>
      <c r="W52" s="312">
        <v>25</v>
      </c>
      <c r="X52" s="312">
        <v>25</v>
      </c>
      <c r="Y52" s="312">
        <v>25</v>
      </c>
      <c r="Z52" s="236">
        <f t="shared" si="12"/>
        <v>100</v>
      </c>
    </row>
    <row r="53" spans="1:26" x14ac:dyDescent="0.25">
      <c r="A53" s="316" t="s">
        <v>210</v>
      </c>
      <c r="B53" s="39">
        <v>9</v>
      </c>
      <c r="C53" s="39">
        <v>9</v>
      </c>
      <c r="D53" s="39">
        <v>9</v>
      </c>
      <c r="E53" s="39">
        <v>9</v>
      </c>
      <c r="F53" s="233">
        <f t="shared" si="23"/>
        <v>36</v>
      </c>
      <c r="G53" s="313">
        <v>15</v>
      </c>
      <c r="H53" s="312">
        <f t="shared" si="24"/>
        <v>15</v>
      </c>
      <c r="I53" s="312">
        <f t="shared" si="24"/>
        <v>15</v>
      </c>
      <c r="J53" s="312">
        <v>15</v>
      </c>
      <c r="K53" s="233">
        <f t="shared" si="14"/>
        <v>60</v>
      </c>
      <c r="L53" s="314">
        <v>20</v>
      </c>
      <c r="M53" s="314">
        <v>20</v>
      </c>
      <c r="N53" s="314">
        <v>20</v>
      </c>
      <c r="O53" s="314">
        <v>20</v>
      </c>
      <c r="P53" s="237">
        <f t="shared" si="16"/>
        <v>80</v>
      </c>
      <c r="Q53" s="313">
        <v>25</v>
      </c>
      <c r="R53" s="313">
        <v>25</v>
      </c>
      <c r="S53" s="313">
        <v>25</v>
      </c>
      <c r="T53" s="313">
        <v>25</v>
      </c>
      <c r="U53" s="233">
        <f t="shared" si="11"/>
        <v>100</v>
      </c>
      <c r="V53" s="313">
        <v>30</v>
      </c>
      <c r="W53" s="313">
        <v>30</v>
      </c>
      <c r="X53" s="313">
        <v>30</v>
      </c>
      <c r="Y53" s="313">
        <v>30</v>
      </c>
      <c r="Z53" s="236">
        <f t="shared" si="12"/>
        <v>120</v>
      </c>
    </row>
    <row r="54" spans="1:26" x14ac:dyDescent="0.25">
      <c r="A54" s="317" t="s">
        <v>211</v>
      </c>
      <c r="B54" s="33">
        <v>15</v>
      </c>
      <c r="C54" s="232">
        <v>20</v>
      </c>
      <c r="D54" s="33">
        <v>20</v>
      </c>
      <c r="E54" s="33">
        <v>20</v>
      </c>
      <c r="F54" s="233">
        <f t="shared" si="23"/>
        <v>75</v>
      </c>
      <c r="G54" s="268">
        <v>22</v>
      </c>
      <c r="H54" s="33">
        <v>22</v>
      </c>
      <c r="I54" s="33">
        <v>22</v>
      </c>
      <c r="J54" s="33">
        <v>22</v>
      </c>
      <c r="K54" s="233">
        <f t="shared" si="14"/>
        <v>88</v>
      </c>
      <c r="L54" s="205">
        <v>25</v>
      </c>
      <c r="M54" s="170">
        <v>25</v>
      </c>
      <c r="N54" s="170">
        <v>25</v>
      </c>
      <c r="O54" s="170">
        <v>25</v>
      </c>
      <c r="P54" s="237">
        <f t="shared" si="16"/>
        <v>100</v>
      </c>
      <c r="Q54" s="268">
        <v>26</v>
      </c>
      <c r="R54" s="33">
        <v>26</v>
      </c>
      <c r="S54" s="33">
        <v>26</v>
      </c>
      <c r="T54" s="33">
        <v>26</v>
      </c>
      <c r="U54" s="233">
        <f t="shared" si="11"/>
        <v>104</v>
      </c>
      <c r="V54" s="268">
        <v>26</v>
      </c>
      <c r="W54" s="33">
        <v>26</v>
      </c>
      <c r="X54" s="33">
        <v>26</v>
      </c>
      <c r="Y54" s="33">
        <v>26</v>
      </c>
      <c r="Z54" s="236">
        <f t="shared" si="12"/>
        <v>104</v>
      </c>
    </row>
    <row r="55" spans="1:26" x14ac:dyDescent="0.25">
      <c r="A55" s="317" t="s">
        <v>212</v>
      </c>
      <c r="B55" s="33"/>
      <c r="C55" s="232"/>
      <c r="D55" s="33"/>
      <c r="E55" s="33"/>
      <c r="F55" s="233">
        <f t="shared" si="23"/>
        <v>0</v>
      </c>
      <c r="G55" s="268">
        <v>40</v>
      </c>
      <c r="H55" s="33"/>
      <c r="I55" s="33"/>
      <c r="J55" s="33"/>
      <c r="K55" s="233">
        <f t="shared" si="14"/>
        <v>40</v>
      </c>
      <c r="L55" s="205">
        <v>20</v>
      </c>
      <c r="M55" s="170"/>
      <c r="N55" s="170"/>
      <c r="O55" s="315"/>
      <c r="P55" s="237">
        <f t="shared" si="16"/>
        <v>20</v>
      </c>
      <c r="Q55" s="268">
        <v>25</v>
      </c>
      <c r="R55" s="33"/>
      <c r="S55" s="33"/>
      <c r="T55" s="33"/>
      <c r="U55" s="233">
        <f t="shared" si="11"/>
        <v>25</v>
      </c>
      <c r="V55" s="268">
        <v>35</v>
      </c>
      <c r="W55" s="33"/>
      <c r="X55" s="33"/>
      <c r="Y55" s="33"/>
      <c r="Z55" s="236">
        <f t="shared" si="12"/>
        <v>35</v>
      </c>
    </row>
    <row r="56" spans="1:26" x14ac:dyDescent="0.25">
      <c r="A56" s="317" t="s">
        <v>213</v>
      </c>
      <c r="B56" s="318">
        <v>4.5</v>
      </c>
      <c r="C56" s="33">
        <v>5</v>
      </c>
      <c r="D56" s="33">
        <v>5</v>
      </c>
      <c r="E56" s="33">
        <v>5</v>
      </c>
      <c r="F56" s="233">
        <f t="shared" si="23"/>
        <v>19.5</v>
      </c>
      <c r="G56" s="268">
        <v>6</v>
      </c>
      <c r="H56" s="268">
        <v>6</v>
      </c>
      <c r="I56" s="268">
        <v>6</v>
      </c>
      <c r="J56" s="268">
        <v>6</v>
      </c>
      <c r="K56" s="233">
        <f t="shared" si="14"/>
        <v>24</v>
      </c>
      <c r="L56" s="205">
        <v>7.5</v>
      </c>
      <c r="M56" s="205">
        <v>7.5</v>
      </c>
      <c r="N56" s="205">
        <v>7.5</v>
      </c>
      <c r="O56" s="205">
        <v>7.5</v>
      </c>
      <c r="P56" s="237">
        <f t="shared" si="16"/>
        <v>30</v>
      </c>
      <c r="Q56" s="268">
        <v>9</v>
      </c>
      <c r="R56" s="33">
        <v>9</v>
      </c>
      <c r="S56" s="33">
        <v>9</v>
      </c>
      <c r="T56" s="33">
        <v>9</v>
      </c>
      <c r="U56" s="233">
        <f t="shared" si="11"/>
        <v>36</v>
      </c>
      <c r="V56" s="268">
        <v>10</v>
      </c>
      <c r="W56" s="33">
        <v>10</v>
      </c>
      <c r="X56" s="33">
        <v>10</v>
      </c>
      <c r="Y56" s="33">
        <v>10</v>
      </c>
      <c r="Z56" s="236">
        <f t="shared" si="12"/>
        <v>40</v>
      </c>
    </row>
    <row r="57" spans="1:26" x14ac:dyDescent="0.25">
      <c r="A57" s="319" t="s">
        <v>214</v>
      </c>
      <c r="B57" s="320">
        <v>5</v>
      </c>
      <c r="C57" s="321">
        <v>5</v>
      </c>
      <c r="D57" s="321">
        <v>5</v>
      </c>
      <c r="E57" s="321">
        <v>5</v>
      </c>
      <c r="F57" s="322">
        <f t="shared" si="23"/>
        <v>20</v>
      </c>
      <c r="G57" s="323">
        <v>10</v>
      </c>
      <c r="H57" s="321">
        <v>10</v>
      </c>
      <c r="I57" s="321">
        <v>10</v>
      </c>
      <c r="J57" s="321">
        <v>10</v>
      </c>
      <c r="K57" s="322">
        <f t="shared" si="14"/>
        <v>40</v>
      </c>
      <c r="L57" s="324">
        <v>10</v>
      </c>
      <c r="M57" s="325">
        <v>15</v>
      </c>
      <c r="N57" s="325">
        <v>15</v>
      </c>
      <c r="O57" s="325">
        <v>15</v>
      </c>
      <c r="P57" s="326">
        <f t="shared" si="16"/>
        <v>55</v>
      </c>
      <c r="Q57" s="323">
        <v>15</v>
      </c>
      <c r="R57" s="321">
        <v>15</v>
      </c>
      <c r="S57" s="321">
        <v>15</v>
      </c>
      <c r="T57" s="321">
        <v>15</v>
      </c>
      <c r="U57" s="322">
        <f t="shared" si="11"/>
        <v>60</v>
      </c>
      <c r="V57" s="323">
        <v>15</v>
      </c>
      <c r="W57" s="321">
        <v>15</v>
      </c>
      <c r="X57" s="321"/>
      <c r="Y57" s="321"/>
      <c r="Z57" s="327">
        <f t="shared" si="12"/>
        <v>30</v>
      </c>
    </row>
    <row r="58" spans="1:26" x14ac:dyDescent="0.25">
      <c r="A58" s="317" t="s">
        <v>215</v>
      </c>
      <c r="B58" s="318"/>
      <c r="C58" s="33"/>
      <c r="D58" s="33"/>
      <c r="E58" s="33"/>
      <c r="F58" s="233">
        <f t="shared" si="23"/>
        <v>0</v>
      </c>
      <c r="G58" s="328"/>
      <c r="H58" s="33">
        <v>400</v>
      </c>
      <c r="I58" s="33"/>
      <c r="J58" s="33"/>
      <c r="K58" s="233">
        <f t="shared" si="14"/>
        <v>400</v>
      </c>
      <c r="L58" s="170"/>
      <c r="M58" s="329">
        <v>200</v>
      </c>
      <c r="N58" s="170"/>
      <c r="O58" s="329"/>
      <c r="P58" s="237">
        <f t="shared" si="16"/>
        <v>200</v>
      </c>
      <c r="Q58" s="328"/>
      <c r="R58" s="33">
        <v>200</v>
      </c>
      <c r="S58" s="33"/>
      <c r="T58" s="33"/>
      <c r="U58" s="233">
        <f t="shared" si="11"/>
        <v>200</v>
      </c>
      <c r="V58" s="328"/>
      <c r="W58" s="33">
        <v>100</v>
      </c>
      <c r="X58" s="33"/>
      <c r="Y58" s="33"/>
      <c r="Z58" s="236">
        <f t="shared" si="12"/>
        <v>100</v>
      </c>
    </row>
    <row r="59" spans="1:26" ht="26.25" x14ac:dyDescent="0.25">
      <c r="A59" s="317" t="s">
        <v>216</v>
      </c>
      <c r="B59" s="27">
        <v>200</v>
      </c>
      <c r="C59" s="27">
        <v>0</v>
      </c>
      <c r="D59" s="27">
        <v>0</v>
      </c>
      <c r="E59" s="27"/>
      <c r="F59" s="233">
        <f t="shared" si="23"/>
        <v>200</v>
      </c>
      <c r="G59" s="27">
        <v>0</v>
      </c>
      <c r="H59" s="27">
        <v>0</v>
      </c>
      <c r="I59" s="27">
        <v>0</v>
      </c>
      <c r="J59" s="27">
        <v>40</v>
      </c>
      <c r="K59" s="233">
        <f t="shared" si="14"/>
        <v>40</v>
      </c>
      <c r="L59" s="27">
        <v>0</v>
      </c>
      <c r="M59" s="27">
        <v>0</v>
      </c>
      <c r="N59" s="27">
        <v>0</v>
      </c>
      <c r="O59" s="170">
        <f>40</f>
        <v>40</v>
      </c>
      <c r="P59" s="237">
        <f t="shared" si="16"/>
        <v>40</v>
      </c>
      <c r="Q59" s="27">
        <v>0</v>
      </c>
      <c r="R59" s="27">
        <v>0</v>
      </c>
      <c r="S59" s="27">
        <v>0</v>
      </c>
      <c r="T59" s="33">
        <v>40</v>
      </c>
      <c r="U59" s="233">
        <f t="shared" si="11"/>
        <v>40</v>
      </c>
      <c r="V59" s="27">
        <v>0</v>
      </c>
      <c r="W59" s="27">
        <v>0</v>
      </c>
      <c r="X59" s="27">
        <v>0</v>
      </c>
      <c r="Y59" s="27">
        <v>40</v>
      </c>
      <c r="Z59" s="236">
        <f t="shared" si="12"/>
        <v>40</v>
      </c>
    </row>
    <row r="60" spans="1:26" x14ac:dyDescent="0.25">
      <c r="A60" s="278" t="s">
        <v>217</v>
      </c>
      <c r="B60" s="27">
        <v>0</v>
      </c>
      <c r="C60" s="27">
        <v>0</v>
      </c>
      <c r="D60" s="27">
        <v>0</v>
      </c>
      <c r="E60" s="330">
        <v>0</v>
      </c>
      <c r="F60" s="233">
        <f t="shared" si="23"/>
        <v>0</v>
      </c>
      <c r="G60" s="268"/>
      <c r="H60" s="318"/>
      <c r="I60" s="33"/>
      <c r="J60" s="330">
        <f>'[1]Dep &amp; Ins'!H18</f>
        <v>104.181175</v>
      </c>
      <c r="K60" s="233">
        <f t="shared" si="14"/>
        <v>104.181175</v>
      </c>
      <c r="L60" s="27">
        <v>0</v>
      </c>
      <c r="M60" s="27">
        <v>0</v>
      </c>
      <c r="N60" s="27">
        <v>0</v>
      </c>
      <c r="O60" s="331">
        <f>'[1]Dep &amp; Ins'!H21</f>
        <v>72.248227062500007</v>
      </c>
      <c r="P60" s="237">
        <f t="shared" si="16"/>
        <v>72.248227062500007</v>
      </c>
      <c r="Q60" s="27">
        <v>0</v>
      </c>
      <c r="R60" s="27">
        <v>0</v>
      </c>
      <c r="S60" s="27">
        <v>0</v>
      </c>
      <c r="T60" s="330">
        <f>'[1]Dep &amp; Ins'!H24</f>
        <v>60.573910028124992</v>
      </c>
      <c r="U60" s="233">
        <f t="shared" si="11"/>
        <v>60.573910028124992</v>
      </c>
      <c r="V60" s="27">
        <v>0</v>
      </c>
      <c r="W60" s="27">
        <v>0</v>
      </c>
      <c r="X60" s="27">
        <v>0</v>
      </c>
      <c r="Y60" s="332">
        <f>'[1]Dep &amp; Ins'!H27</f>
        <v>51.033525478906256</v>
      </c>
      <c r="Z60" s="236">
        <f t="shared" si="12"/>
        <v>51.033525478906256</v>
      </c>
    </row>
    <row r="61" spans="1:26" x14ac:dyDescent="0.25">
      <c r="A61" s="278" t="s">
        <v>218</v>
      </c>
      <c r="B61" s="33"/>
      <c r="C61" s="33"/>
      <c r="D61" s="33"/>
      <c r="E61" s="332">
        <f>'[1]Dep &amp; Ins'!H9</f>
        <v>3.4724999999999997</v>
      </c>
      <c r="F61" s="233">
        <f t="shared" si="23"/>
        <v>3.4724999999999997</v>
      </c>
      <c r="G61" s="268"/>
      <c r="H61" s="318"/>
      <c r="I61" s="33"/>
      <c r="J61" s="330">
        <f>'[1]Dep &amp; Ins'!H15</f>
        <v>1398.9066250000001</v>
      </c>
      <c r="K61" s="233">
        <f t="shared" si="14"/>
        <v>1398.9066250000001</v>
      </c>
      <c r="L61" s="27">
        <v>0</v>
      </c>
      <c r="M61" s="27">
        <v>0</v>
      </c>
      <c r="N61" s="27">
        <v>0</v>
      </c>
      <c r="O61" s="331">
        <f>'[1]Dep &amp; Ins'!H19</f>
        <v>1161.0736312500001</v>
      </c>
      <c r="P61" s="237">
        <f t="shared" si="16"/>
        <v>1161.0736312500001</v>
      </c>
      <c r="Q61" s="27">
        <v>0</v>
      </c>
      <c r="R61" s="27">
        <v>0</v>
      </c>
      <c r="S61" s="27">
        <v>0</v>
      </c>
      <c r="T61" s="330">
        <f>'[1]Dep &amp; Ins'!H22</f>
        <v>969.65013656249994</v>
      </c>
      <c r="U61" s="233">
        <f t="shared" si="11"/>
        <v>969.65013656249994</v>
      </c>
      <c r="V61" s="27">
        <v>0</v>
      </c>
      <c r="W61" s="27">
        <v>0</v>
      </c>
      <c r="X61" s="27">
        <v>0</v>
      </c>
      <c r="Y61" s="332">
        <f>'[1]Dep &amp; Ins'!H25</f>
        <v>814.97115482812501</v>
      </c>
      <c r="Z61" s="236">
        <f t="shared" si="12"/>
        <v>814.97115482812501</v>
      </c>
    </row>
    <row r="62" spans="1:26" x14ac:dyDescent="0.25">
      <c r="A62" s="316" t="s">
        <v>219</v>
      </c>
      <c r="B62" s="333">
        <v>10</v>
      </c>
      <c r="C62" s="333">
        <v>10</v>
      </c>
      <c r="D62" s="333">
        <v>10</v>
      </c>
      <c r="E62" s="334">
        <v>10</v>
      </c>
      <c r="F62" s="233">
        <f t="shared" si="23"/>
        <v>40</v>
      </c>
      <c r="G62" s="335">
        <v>15</v>
      </c>
      <c r="H62" s="336">
        <v>15</v>
      </c>
      <c r="I62" s="333">
        <v>15</v>
      </c>
      <c r="J62" s="337">
        <v>15</v>
      </c>
      <c r="K62" s="233">
        <f t="shared" si="14"/>
        <v>60</v>
      </c>
      <c r="L62" s="338">
        <v>20</v>
      </c>
      <c r="M62" s="338">
        <v>20</v>
      </c>
      <c r="N62" s="338">
        <v>20</v>
      </c>
      <c r="O62" s="331">
        <v>20</v>
      </c>
      <c r="P62" s="237">
        <f t="shared" si="16"/>
        <v>80</v>
      </c>
      <c r="Q62" s="338">
        <v>20</v>
      </c>
      <c r="R62" s="338">
        <v>20</v>
      </c>
      <c r="S62" s="338">
        <v>20</v>
      </c>
      <c r="T62" s="337">
        <v>20</v>
      </c>
      <c r="U62" s="233">
        <f t="shared" si="11"/>
        <v>80</v>
      </c>
      <c r="V62" s="338">
        <v>20</v>
      </c>
      <c r="W62" s="338">
        <v>20</v>
      </c>
      <c r="X62" s="338">
        <v>20</v>
      </c>
      <c r="Y62" s="334">
        <v>20</v>
      </c>
      <c r="Z62" s="236">
        <f t="shared" si="12"/>
        <v>80</v>
      </c>
    </row>
    <row r="63" spans="1:26" x14ac:dyDescent="0.25">
      <c r="A63" s="339" t="s">
        <v>220</v>
      </c>
      <c r="B63" s="340">
        <f>SUM(B45:B62)</f>
        <v>348.5</v>
      </c>
      <c r="C63" s="340">
        <f>SUM(C45:C62)</f>
        <v>226</v>
      </c>
      <c r="D63" s="340">
        <f>SUM(D45:D62)</f>
        <v>226</v>
      </c>
      <c r="E63" s="340">
        <f>SUM(E45:E62)</f>
        <v>269.47250000000003</v>
      </c>
      <c r="F63" s="340">
        <f t="shared" si="23"/>
        <v>1069.9725000000001</v>
      </c>
      <c r="G63" s="340">
        <f t="shared" ref="G63:Z63" si="25">SUM(G45:G62)</f>
        <v>655.25</v>
      </c>
      <c r="H63" s="340">
        <f t="shared" si="25"/>
        <v>1015.25</v>
      </c>
      <c r="I63" s="340">
        <f t="shared" si="25"/>
        <v>615.25</v>
      </c>
      <c r="J63" s="340">
        <f t="shared" si="25"/>
        <v>2320.5878000000002</v>
      </c>
      <c r="K63" s="340">
        <f t="shared" si="25"/>
        <v>4606.3378000000002</v>
      </c>
      <c r="L63" s="340">
        <f t="shared" si="25"/>
        <v>709.88750000000005</v>
      </c>
      <c r="M63" s="340">
        <f t="shared" si="25"/>
        <v>894.88750000000005</v>
      </c>
      <c r="N63" s="340">
        <f t="shared" si="25"/>
        <v>694.88750000000005</v>
      </c>
      <c r="O63" s="340">
        <f t="shared" si="25"/>
        <v>2144.2068583125001</v>
      </c>
      <c r="P63" s="340">
        <f t="shared" si="25"/>
        <v>4443.8693583125005</v>
      </c>
      <c r="Q63" s="340">
        <f t="shared" si="25"/>
        <v>764.72937500000012</v>
      </c>
      <c r="R63" s="340">
        <f t="shared" si="25"/>
        <v>939.72937500000012</v>
      </c>
      <c r="S63" s="340">
        <f t="shared" si="25"/>
        <v>739.72937500000012</v>
      </c>
      <c r="T63" s="340">
        <f t="shared" si="25"/>
        <v>1989.500796590625</v>
      </c>
      <c r="U63" s="340">
        <f t="shared" si="25"/>
        <v>4433.6889215906249</v>
      </c>
      <c r="V63" s="340">
        <f t="shared" si="25"/>
        <v>819.96059375000016</v>
      </c>
      <c r="W63" s="340">
        <f t="shared" si="25"/>
        <v>884.96059375000016</v>
      </c>
      <c r="X63" s="340">
        <f t="shared" si="25"/>
        <v>769.96059375000016</v>
      </c>
      <c r="Y63" s="340">
        <f t="shared" si="25"/>
        <v>1864.4900178070313</v>
      </c>
      <c r="Z63" s="340">
        <f t="shared" si="25"/>
        <v>4339.3717990570312</v>
      </c>
    </row>
    <row r="64" spans="1:26" x14ac:dyDescent="0.25">
      <c r="A64" s="341" t="s">
        <v>221</v>
      </c>
      <c r="B64" s="342"/>
      <c r="C64" s="342"/>
      <c r="D64" s="342"/>
      <c r="E64" s="342"/>
      <c r="F64" s="233"/>
      <c r="G64" s="343"/>
      <c r="H64" s="342"/>
      <c r="I64" s="342"/>
      <c r="J64" s="342"/>
      <c r="K64" s="344"/>
      <c r="L64" s="345"/>
      <c r="M64" s="346"/>
      <c r="N64" s="346"/>
      <c r="O64" s="346"/>
      <c r="P64" s="292"/>
      <c r="Q64" s="343"/>
      <c r="R64" s="342"/>
      <c r="S64" s="342"/>
      <c r="T64" s="342"/>
      <c r="U64" s="300"/>
      <c r="V64" s="343"/>
      <c r="W64" s="342"/>
      <c r="X64" s="342"/>
      <c r="Y64" s="342"/>
      <c r="Z64" s="301"/>
    </row>
    <row r="65" spans="1:26" x14ac:dyDescent="0.25">
      <c r="A65" s="347" t="s">
        <v>222</v>
      </c>
      <c r="B65" s="348">
        <f>B28*0.02</f>
        <v>136.9</v>
      </c>
      <c r="C65" s="348">
        <f>C28*0.02</f>
        <v>268.5</v>
      </c>
      <c r="D65" s="348">
        <f>D28*0.02</f>
        <v>63.550000000000004</v>
      </c>
      <c r="E65" s="348">
        <f>E28*0.02</f>
        <v>0</v>
      </c>
      <c r="F65" s="300">
        <f t="shared" ref="F65:F71" si="26">SUM(B65:E65)</f>
        <v>468.95</v>
      </c>
      <c r="G65" s="348">
        <f t="shared" ref="G65:Z65" si="27">G28*0.02</f>
        <v>424.42500000000001</v>
      </c>
      <c r="H65" s="348">
        <f t="shared" si="27"/>
        <v>331.125</v>
      </c>
      <c r="I65" s="348">
        <f t="shared" si="27"/>
        <v>105</v>
      </c>
      <c r="J65" s="348">
        <f t="shared" si="27"/>
        <v>0</v>
      </c>
      <c r="K65" s="342">
        <f t="shared" si="27"/>
        <v>860.55000000000007</v>
      </c>
      <c r="L65" s="348">
        <f t="shared" si="27"/>
        <v>654.125</v>
      </c>
      <c r="M65" s="348">
        <f t="shared" si="27"/>
        <v>454.25</v>
      </c>
      <c r="N65" s="348">
        <f t="shared" si="27"/>
        <v>188.125</v>
      </c>
      <c r="O65" s="348">
        <f t="shared" si="27"/>
        <v>0</v>
      </c>
      <c r="P65" s="342">
        <f t="shared" si="27"/>
        <v>1296.5</v>
      </c>
      <c r="Q65" s="342">
        <f t="shared" si="27"/>
        <v>1323.2</v>
      </c>
      <c r="R65" s="348">
        <f t="shared" si="27"/>
        <v>491.375</v>
      </c>
      <c r="S65" s="348">
        <f t="shared" si="27"/>
        <v>275</v>
      </c>
      <c r="T65" s="348">
        <f t="shared" si="27"/>
        <v>0</v>
      </c>
      <c r="U65" s="342">
        <f t="shared" si="27"/>
        <v>2089.5749999999998</v>
      </c>
      <c r="V65" s="348">
        <f t="shared" si="27"/>
        <v>1202.9625000000001</v>
      </c>
      <c r="W65" s="348">
        <f t="shared" si="27"/>
        <v>588.75</v>
      </c>
      <c r="X65" s="348">
        <f t="shared" si="27"/>
        <v>393.75</v>
      </c>
      <c r="Y65" s="348">
        <f t="shared" si="27"/>
        <v>0</v>
      </c>
      <c r="Z65" s="342">
        <f t="shared" si="27"/>
        <v>2185.4625000000001</v>
      </c>
    </row>
    <row r="66" spans="1:26" x14ac:dyDescent="0.25">
      <c r="A66" s="347" t="s">
        <v>223</v>
      </c>
      <c r="B66" s="348">
        <f>B28*0.03</f>
        <v>205.35</v>
      </c>
      <c r="C66" s="348">
        <f>C28*0.03</f>
        <v>402.75</v>
      </c>
      <c r="D66" s="348">
        <f>D28*0.03</f>
        <v>95.325000000000003</v>
      </c>
      <c r="E66" s="348">
        <f>E28*0.03</f>
        <v>0</v>
      </c>
      <c r="F66" s="300">
        <f t="shared" si="26"/>
        <v>703.42500000000007</v>
      </c>
      <c r="G66" s="348">
        <f t="shared" ref="G66:Z66" si="28">G28*0.03</f>
        <v>636.63749999999993</v>
      </c>
      <c r="H66" s="348">
        <f t="shared" si="28"/>
        <v>496.6875</v>
      </c>
      <c r="I66" s="348">
        <f t="shared" si="28"/>
        <v>157.5</v>
      </c>
      <c r="J66" s="348">
        <f t="shared" si="28"/>
        <v>0</v>
      </c>
      <c r="K66" s="342">
        <f t="shared" si="28"/>
        <v>1290.825</v>
      </c>
      <c r="L66" s="348">
        <f t="shared" si="28"/>
        <v>981.1875</v>
      </c>
      <c r="M66" s="348">
        <f t="shared" si="28"/>
        <v>681.375</v>
      </c>
      <c r="N66" s="348">
        <f t="shared" si="28"/>
        <v>282.1875</v>
      </c>
      <c r="O66" s="348">
        <f t="shared" si="28"/>
        <v>0</v>
      </c>
      <c r="P66" s="342">
        <f t="shared" si="28"/>
        <v>1944.75</v>
      </c>
      <c r="Q66" s="342">
        <f t="shared" si="28"/>
        <v>1984.8</v>
      </c>
      <c r="R66" s="348">
        <f t="shared" si="28"/>
        <v>737.0625</v>
      </c>
      <c r="S66" s="348">
        <f t="shared" si="28"/>
        <v>412.5</v>
      </c>
      <c r="T66" s="348">
        <f t="shared" si="28"/>
        <v>0</v>
      </c>
      <c r="U66" s="342">
        <f t="shared" si="28"/>
        <v>3134.3624999999997</v>
      </c>
      <c r="V66" s="348">
        <f t="shared" si="28"/>
        <v>1804.4437499999999</v>
      </c>
      <c r="W66" s="348">
        <f t="shared" si="28"/>
        <v>883.125</v>
      </c>
      <c r="X66" s="348">
        <f t="shared" si="28"/>
        <v>590.625</v>
      </c>
      <c r="Y66" s="348">
        <f t="shared" si="28"/>
        <v>0</v>
      </c>
      <c r="Z66" s="342">
        <f t="shared" si="28"/>
        <v>3278.1937499999999</v>
      </c>
    </row>
    <row r="67" spans="1:26" x14ac:dyDescent="0.25">
      <c r="A67" s="347" t="s">
        <v>224</v>
      </c>
      <c r="B67" s="348">
        <f>B66</f>
        <v>205.35</v>
      </c>
      <c r="C67" s="348">
        <f>C66</f>
        <v>402.75</v>
      </c>
      <c r="D67" s="348">
        <f>D66</f>
        <v>95.325000000000003</v>
      </c>
      <c r="E67" s="348">
        <f>E66</f>
        <v>0</v>
      </c>
      <c r="F67" s="300">
        <f t="shared" si="26"/>
        <v>703.42500000000007</v>
      </c>
      <c r="G67" s="348">
        <f t="shared" ref="G67:Z67" si="29">G66</f>
        <v>636.63749999999993</v>
      </c>
      <c r="H67" s="348">
        <f t="shared" si="29"/>
        <v>496.6875</v>
      </c>
      <c r="I67" s="348">
        <f t="shared" si="29"/>
        <v>157.5</v>
      </c>
      <c r="J67" s="348">
        <f t="shared" si="29"/>
        <v>0</v>
      </c>
      <c r="K67" s="342">
        <f t="shared" si="29"/>
        <v>1290.825</v>
      </c>
      <c r="L67" s="348">
        <f t="shared" si="29"/>
        <v>981.1875</v>
      </c>
      <c r="M67" s="348">
        <f t="shared" si="29"/>
        <v>681.375</v>
      </c>
      <c r="N67" s="348">
        <f t="shared" si="29"/>
        <v>282.1875</v>
      </c>
      <c r="O67" s="348">
        <f t="shared" si="29"/>
        <v>0</v>
      </c>
      <c r="P67" s="342">
        <f t="shared" si="29"/>
        <v>1944.75</v>
      </c>
      <c r="Q67" s="342">
        <f t="shared" si="29"/>
        <v>1984.8</v>
      </c>
      <c r="R67" s="348">
        <f t="shared" si="29"/>
        <v>737.0625</v>
      </c>
      <c r="S67" s="348">
        <f t="shared" si="29"/>
        <v>412.5</v>
      </c>
      <c r="T67" s="348">
        <f t="shared" si="29"/>
        <v>0</v>
      </c>
      <c r="U67" s="342">
        <f t="shared" si="29"/>
        <v>3134.3624999999997</v>
      </c>
      <c r="V67" s="348">
        <f t="shared" si="29"/>
        <v>1804.4437499999999</v>
      </c>
      <c r="W67" s="348">
        <f t="shared" si="29"/>
        <v>883.125</v>
      </c>
      <c r="X67" s="348">
        <f t="shared" si="29"/>
        <v>590.625</v>
      </c>
      <c r="Y67" s="348">
        <f t="shared" si="29"/>
        <v>0</v>
      </c>
      <c r="Z67" s="342">
        <f t="shared" si="29"/>
        <v>3278.1937499999999</v>
      </c>
    </row>
    <row r="68" spans="1:26" x14ac:dyDescent="0.25">
      <c r="A68" s="347" t="s">
        <v>225</v>
      </c>
      <c r="B68" s="348">
        <f>B65</f>
        <v>136.9</v>
      </c>
      <c r="C68" s="348">
        <f>C65</f>
        <v>268.5</v>
      </c>
      <c r="D68" s="348">
        <f>D65</f>
        <v>63.550000000000004</v>
      </c>
      <c r="E68" s="348">
        <f>E65</f>
        <v>0</v>
      </c>
      <c r="F68" s="300">
        <f t="shared" si="26"/>
        <v>468.95</v>
      </c>
      <c r="G68" s="348">
        <f t="shared" ref="G68:Z68" si="30">G65</f>
        <v>424.42500000000001</v>
      </c>
      <c r="H68" s="348">
        <f t="shared" si="30"/>
        <v>331.125</v>
      </c>
      <c r="I68" s="348">
        <f t="shared" si="30"/>
        <v>105</v>
      </c>
      <c r="J68" s="348">
        <f t="shared" si="30"/>
        <v>0</v>
      </c>
      <c r="K68" s="342">
        <f t="shared" si="30"/>
        <v>860.55000000000007</v>
      </c>
      <c r="L68" s="348">
        <f t="shared" si="30"/>
        <v>654.125</v>
      </c>
      <c r="M68" s="348">
        <f t="shared" si="30"/>
        <v>454.25</v>
      </c>
      <c r="N68" s="348">
        <f t="shared" si="30"/>
        <v>188.125</v>
      </c>
      <c r="O68" s="348">
        <f t="shared" si="30"/>
        <v>0</v>
      </c>
      <c r="P68" s="342">
        <f t="shared" si="30"/>
        <v>1296.5</v>
      </c>
      <c r="Q68" s="342">
        <f t="shared" si="30"/>
        <v>1323.2</v>
      </c>
      <c r="R68" s="348">
        <f t="shared" si="30"/>
        <v>491.375</v>
      </c>
      <c r="S68" s="348">
        <f t="shared" si="30"/>
        <v>275</v>
      </c>
      <c r="T68" s="348">
        <f t="shared" si="30"/>
        <v>0</v>
      </c>
      <c r="U68" s="342">
        <f t="shared" si="30"/>
        <v>2089.5749999999998</v>
      </c>
      <c r="V68" s="348">
        <f t="shared" si="30"/>
        <v>1202.9625000000001</v>
      </c>
      <c r="W68" s="348">
        <f t="shared" si="30"/>
        <v>588.75</v>
      </c>
      <c r="X68" s="348">
        <f t="shared" si="30"/>
        <v>393.75</v>
      </c>
      <c r="Y68" s="348">
        <f t="shared" si="30"/>
        <v>0</v>
      </c>
      <c r="Z68" s="342">
        <f t="shared" si="30"/>
        <v>2185.4625000000001</v>
      </c>
    </row>
    <row r="69" spans="1:26" x14ac:dyDescent="0.25">
      <c r="A69" s="347" t="s">
        <v>226</v>
      </c>
      <c r="B69" s="348">
        <f>B28*0.002</f>
        <v>13.69</v>
      </c>
      <c r="C69" s="348">
        <f>C28*0.002</f>
        <v>26.85</v>
      </c>
      <c r="D69" s="348">
        <f>D28*0.002</f>
        <v>6.3550000000000004</v>
      </c>
      <c r="E69" s="348">
        <f>E28*0.002</f>
        <v>0</v>
      </c>
      <c r="F69" s="348">
        <f t="shared" si="26"/>
        <v>46.894999999999996</v>
      </c>
      <c r="G69" s="348">
        <f t="shared" ref="G69:Z69" si="31">G28*0.002</f>
        <v>42.442500000000003</v>
      </c>
      <c r="H69" s="348">
        <f t="shared" si="31"/>
        <v>33.112499999999997</v>
      </c>
      <c r="I69" s="348">
        <f t="shared" si="31"/>
        <v>10.5</v>
      </c>
      <c r="J69" s="348">
        <f t="shared" si="31"/>
        <v>0</v>
      </c>
      <c r="K69" s="348">
        <f t="shared" si="31"/>
        <v>86.055000000000007</v>
      </c>
      <c r="L69" s="348">
        <f t="shared" si="31"/>
        <v>65.412499999999994</v>
      </c>
      <c r="M69" s="348">
        <f t="shared" si="31"/>
        <v>45.425000000000004</v>
      </c>
      <c r="N69" s="348">
        <f t="shared" si="31"/>
        <v>18.8125</v>
      </c>
      <c r="O69" s="348">
        <f t="shared" si="31"/>
        <v>0</v>
      </c>
      <c r="P69" s="348">
        <f t="shared" si="31"/>
        <v>129.65</v>
      </c>
      <c r="Q69" s="348">
        <f t="shared" si="31"/>
        <v>132.32</v>
      </c>
      <c r="R69" s="348">
        <f t="shared" si="31"/>
        <v>49.137500000000003</v>
      </c>
      <c r="S69" s="348">
        <f t="shared" si="31"/>
        <v>27.5</v>
      </c>
      <c r="T69" s="348">
        <f t="shared" si="31"/>
        <v>0</v>
      </c>
      <c r="U69" s="348">
        <f t="shared" si="31"/>
        <v>208.95750000000001</v>
      </c>
      <c r="V69" s="348">
        <f t="shared" si="31"/>
        <v>120.29625</v>
      </c>
      <c r="W69" s="348">
        <f t="shared" si="31"/>
        <v>58.875</v>
      </c>
      <c r="X69" s="348">
        <f t="shared" si="31"/>
        <v>39.375</v>
      </c>
      <c r="Y69" s="348">
        <f t="shared" si="31"/>
        <v>0</v>
      </c>
      <c r="Z69" s="348">
        <f t="shared" si="31"/>
        <v>218.54625000000001</v>
      </c>
    </row>
    <row r="70" spans="1:26" ht="26.25" x14ac:dyDescent="0.25">
      <c r="A70" s="349" t="s">
        <v>227</v>
      </c>
      <c r="B70" s="350"/>
      <c r="C70" s="351"/>
      <c r="D70" s="352"/>
      <c r="E70" s="352"/>
      <c r="F70" s="233">
        <f t="shared" si="26"/>
        <v>0</v>
      </c>
      <c r="G70" s="353">
        <v>100</v>
      </c>
      <c r="H70" s="354"/>
      <c r="I70" s="354"/>
      <c r="J70" s="354"/>
      <c r="K70" s="233">
        <f>SUM(G70:J70)</f>
        <v>100</v>
      </c>
      <c r="L70" s="354">
        <v>50</v>
      </c>
      <c r="M70" s="354"/>
      <c r="N70" s="354"/>
      <c r="O70" s="354"/>
      <c r="P70" s="355">
        <f>SUM(L70:O70)</f>
        <v>50</v>
      </c>
      <c r="Q70" s="356">
        <v>50</v>
      </c>
      <c r="R70" s="352"/>
      <c r="S70" s="352"/>
      <c r="T70" s="352"/>
      <c r="U70" s="233">
        <f>SUM(Q70:T70)</f>
        <v>50</v>
      </c>
      <c r="V70" s="353">
        <v>50</v>
      </c>
      <c r="W70" s="354"/>
      <c r="X70" s="354"/>
      <c r="Y70" s="354"/>
      <c r="Z70" s="236">
        <f>SUM(V70:Y70)</f>
        <v>50</v>
      </c>
    </row>
    <row r="71" spans="1:26" x14ac:dyDescent="0.25">
      <c r="A71" s="285" t="s">
        <v>228</v>
      </c>
      <c r="B71" s="350">
        <v>191.25</v>
      </c>
      <c r="C71" s="350">
        <v>191.25</v>
      </c>
      <c r="D71" s="350">
        <v>191.25</v>
      </c>
      <c r="E71" s="350">
        <v>191.25</v>
      </c>
      <c r="F71" s="233">
        <f t="shared" si="26"/>
        <v>765</v>
      </c>
      <c r="G71" s="357">
        <f>B71*1.25</f>
        <v>239.0625</v>
      </c>
      <c r="H71" s="357">
        <f>C71*1.25</f>
        <v>239.0625</v>
      </c>
      <c r="I71" s="357">
        <f>D71*1.25</f>
        <v>239.0625</v>
      </c>
      <c r="J71" s="357">
        <f>E71*1.25</f>
        <v>239.0625</v>
      </c>
      <c r="K71" s="233">
        <f>SUM(G71:J71)</f>
        <v>956.25</v>
      </c>
      <c r="L71" s="354">
        <f>G71*1.25</f>
        <v>298.828125</v>
      </c>
      <c r="M71" s="354">
        <f>H71*1.25</f>
        <v>298.828125</v>
      </c>
      <c r="N71" s="354">
        <f>I71*1.25</f>
        <v>298.828125</v>
      </c>
      <c r="O71" s="354">
        <f>J71*1.25</f>
        <v>298.828125</v>
      </c>
      <c r="P71" s="355">
        <f>SUM(L71:O71)</f>
        <v>1195.3125</v>
      </c>
      <c r="Q71" s="358">
        <f>L71*1.25</f>
        <v>373.53515625</v>
      </c>
      <c r="R71" s="358">
        <f>M71*1.25</f>
        <v>373.53515625</v>
      </c>
      <c r="S71" s="358">
        <f>N71*1.25</f>
        <v>373.53515625</v>
      </c>
      <c r="T71" s="358">
        <f>O71*1.25</f>
        <v>373.53515625</v>
      </c>
      <c r="U71" s="233">
        <f>SUM(Q71:T71)</f>
        <v>1494.140625</v>
      </c>
      <c r="V71" s="357">
        <f>Q71*1.25</f>
        <v>466.9189453125</v>
      </c>
      <c r="W71" s="357">
        <f>R71*1.25</f>
        <v>466.9189453125</v>
      </c>
      <c r="X71" s="357">
        <f>S71*1.25</f>
        <v>466.9189453125</v>
      </c>
      <c r="Y71" s="357">
        <f>T71*1.25</f>
        <v>466.9189453125</v>
      </c>
      <c r="Z71" s="236">
        <f>SUM(V71:Y71)</f>
        <v>1867.67578125</v>
      </c>
    </row>
    <row r="72" spans="1:26" x14ac:dyDescent="0.25">
      <c r="A72" s="359" t="s">
        <v>229</v>
      </c>
      <c r="B72" s="360">
        <f>SUM(B65:B71)</f>
        <v>889.44</v>
      </c>
      <c r="C72" s="360">
        <f>SUM(C65:C71)</f>
        <v>1560.6</v>
      </c>
      <c r="D72" s="360">
        <f>SUM(D65:D71)</f>
        <v>515.35500000000002</v>
      </c>
      <c r="E72" s="360">
        <f>SUM(E65:E71)</f>
        <v>191.25</v>
      </c>
      <c r="F72" s="360">
        <f>SUM(F65:F71)</f>
        <v>3156.645</v>
      </c>
      <c r="G72" s="360"/>
      <c r="H72" s="360"/>
      <c r="I72" s="360"/>
      <c r="J72" s="360"/>
      <c r="K72" s="360">
        <f>SUM(K65:K71)</f>
        <v>5445.0550000000003</v>
      </c>
      <c r="L72" s="360"/>
      <c r="M72" s="360"/>
      <c r="N72" s="360"/>
      <c r="O72" s="360"/>
      <c r="P72" s="360">
        <f>SUM(P65:P71)</f>
        <v>7857.4624999999996</v>
      </c>
      <c r="Q72" s="360"/>
      <c r="R72" s="360"/>
      <c r="S72" s="360"/>
      <c r="T72" s="360"/>
      <c r="U72" s="360">
        <f>SUM(U65:U71)</f>
        <v>12200.973125</v>
      </c>
      <c r="V72" s="360"/>
      <c r="W72" s="360"/>
      <c r="X72" s="360"/>
      <c r="Y72" s="360"/>
      <c r="Z72" s="360">
        <f>SUM(Z65:Z71)</f>
        <v>13063.534531249999</v>
      </c>
    </row>
    <row r="73" spans="1:26" x14ac:dyDescent="0.25">
      <c r="A73" s="361" t="s">
        <v>230</v>
      </c>
      <c r="B73" s="362">
        <f t="shared" ref="B73:Z73" si="32">B72+B63</f>
        <v>1237.94</v>
      </c>
      <c r="C73" s="362">
        <f t="shared" si="32"/>
        <v>1786.6</v>
      </c>
      <c r="D73" s="362">
        <f t="shared" si="32"/>
        <v>741.35500000000002</v>
      </c>
      <c r="E73" s="362">
        <f t="shared" si="32"/>
        <v>460.72250000000003</v>
      </c>
      <c r="F73" s="362">
        <f t="shared" si="32"/>
        <v>4226.6175000000003</v>
      </c>
      <c r="G73" s="362">
        <f t="shared" si="32"/>
        <v>655.25</v>
      </c>
      <c r="H73" s="362">
        <f t="shared" si="32"/>
        <v>1015.25</v>
      </c>
      <c r="I73" s="362">
        <f t="shared" si="32"/>
        <v>615.25</v>
      </c>
      <c r="J73" s="362">
        <f t="shared" si="32"/>
        <v>2320.5878000000002</v>
      </c>
      <c r="K73" s="362">
        <f t="shared" si="32"/>
        <v>10051.392800000001</v>
      </c>
      <c r="L73" s="362">
        <f t="shared" si="32"/>
        <v>709.88750000000005</v>
      </c>
      <c r="M73" s="362">
        <f t="shared" si="32"/>
        <v>894.88750000000005</v>
      </c>
      <c r="N73" s="362">
        <f t="shared" si="32"/>
        <v>694.88750000000005</v>
      </c>
      <c r="O73" s="362">
        <f t="shared" si="32"/>
        <v>2144.2068583125001</v>
      </c>
      <c r="P73" s="362">
        <f t="shared" si="32"/>
        <v>12301.3318583125</v>
      </c>
      <c r="Q73" s="362">
        <f t="shared" si="32"/>
        <v>764.72937500000012</v>
      </c>
      <c r="R73" s="362">
        <f t="shared" si="32"/>
        <v>939.72937500000012</v>
      </c>
      <c r="S73" s="362">
        <f t="shared" si="32"/>
        <v>739.72937500000012</v>
      </c>
      <c r="T73" s="362">
        <f t="shared" si="32"/>
        <v>1989.500796590625</v>
      </c>
      <c r="U73" s="362">
        <f t="shared" si="32"/>
        <v>16634.662046590624</v>
      </c>
      <c r="V73" s="362">
        <f t="shared" si="32"/>
        <v>819.96059375000016</v>
      </c>
      <c r="W73" s="362">
        <f t="shared" si="32"/>
        <v>884.96059375000016</v>
      </c>
      <c r="X73" s="362">
        <f t="shared" si="32"/>
        <v>769.96059375000016</v>
      </c>
      <c r="Y73" s="362">
        <f t="shared" si="32"/>
        <v>1864.4900178070313</v>
      </c>
      <c r="Z73" s="362">
        <f t="shared" si="32"/>
        <v>17402.906330307029</v>
      </c>
    </row>
    <row r="74" spans="1:26" x14ac:dyDescent="0.25">
      <c r="A74" s="363" t="s">
        <v>231</v>
      </c>
      <c r="B74" s="364">
        <f t="shared" ref="B74:Z74" si="33">B73*0.05</f>
        <v>61.897000000000006</v>
      </c>
      <c r="C74" s="364">
        <f t="shared" si="33"/>
        <v>89.33</v>
      </c>
      <c r="D74" s="364">
        <f t="shared" si="33"/>
        <v>37.067750000000004</v>
      </c>
      <c r="E74" s="364">
        <f t="shared" si="33"/>
        <v>23.036125000000002</v>
      </c>
      <c r="F74" s="364">
        <f t="shared" si="33"/>
        <v>211.33087500000002</v>
      </c>
      <c r="G74" s="364">
        <f t="shared" si="33"/>
        <v>32.762500000000003</v>
      </c>
      <c r="H74" s="364">
        <f t="shared" si="33"/>
        <v>50.762500000000003</v>
      </c>
      <c r="I74" s="364">
        <f t="shared" si="33"/>
        <v>30.762500000000003</v>
      </c>
      <c r="J74" s="364">
        <f t="shared" si="33"/>
        <v>116.02939000000002</v>
      </c>
      <c r="K74" s="364">
        <f t="shared" si="33"/>
        <v>502.56964000000011</v>
      </c>
      <c r="L74" s="364">
        <f t="shared" si="33"/>
        <v>35.494375000000005</v>
      </c>
      <c r="M74" s="364">
        <f t="shared" si="33"/>
        <v>44.744375000000005</v>
      </c>
      <c r="N74" s="364">
        <f t="shared" si="33"/>
        <v>34.744375000000005</v>
      </c>
      <c r="O74" s="364">
        <f t="shared" si="33"/>
        <v>107.21034291562501</v>
      </c>
      <c r="P74" s="364">
        <f t="shared" si="33"/>
        <v>615.06659291562505</v>
      </c>
      <c r="Q74" s="364">
        <f t="shared" si="33"/>
        <v>38.236468750000007</v>
      </c>
      <c r="R74" s="364">
        <f t="shared" si="33"/>
        <v>46.986468750000007</v>
      </c>
      <c r="S74" s="364">
        <f t="shared" si="33"/>
        <v>36.986468750000007</v>
      </c>
      <c r="T74" s="364">
        <f t="shared" si="33"/>
        <v>99.475039829531255</v>
      </c>
      <c r="U74" s="364">
        <f t="shared" si="33"/>
        <v>831.73310232953122</v>
      </c>
      <c r="V74" s="364">
        <f t="shared" si="33"/>
        <v>40.998029687500008</v>
      </c>
      <c r="W74" s="364">
        <f t="shared" si="33"/>
        <v>44.248029687500008</v>
      </c>
      <c r="X74" s="364">
        <f t="shared" si="33"/>
        <v>38.498029687500008</v>
      </c>
      <c r="Y74" s="364">
        <f t="shared" si="33"/>
        <v>93.224500890351578</v>
      </c>
      <c r="Z74" s="364">
        <f t="shared" si="33"/>
        <v>870.14531651535151</v>
      </c>
    </row>
    <row r="75" spans="1:26" ht="15.75" thickBot="1" x14ac:dyDescent="0.3">
      <c r="A75" s="365" t="s">
        <v>232</v>
      </c>
      <c r="B75" s="366">
        <f>B74+B73</f>
        <v>1299.837</v>
      </c>
      <c r="C75" s="366">
        <f>C74+C73</f>
        <v>1875.9299999999998</v>
      </c>
      <c r="D75" s="366">
        <f>D74+D73</f>
        <v>778.42275000000006</v>
      </c>
      <c r="E75" s="366">
        <f>E74+E73</f>
        <v>483.75862500000005</v>
      </c>
      <c r="F75" s="366">
        <f>F74+F73</f>
        <v>4437.9483749999999</v>
      </c>
      <c r="G75" s="364">
        <f>G74*0.05</f>
        <v>1.6381250000000003</v>
      </c>
      <c r="H75" s="364">
        <f>H74*0.05</f>
        <v>2.5381250000000004</v>
      </c>
      <c r="I75" s="364">
        <f>I74*0.05</f>
        <v>1.5381250000000002</v>
      </c>
      <c r="J75" s="364">
        <f>J74*0.05</f>
        <v>5.8014695000000014</v>
      </c>
      <c r="K75" s="366">
        <f t="shared" ref="K75:Z75" si="34">K74+K73</f>
        <v>10553.962440000001</v>
      </c>
      <c r="L75" s="366">
        <f t="shared" si="34"/>
        <v>745.38187500000004</v>
      </c>
      <c r="M75" s="366">
        <f t="shared" si="34"/>
        <v>939.63187500000004</v>
      </c>
      <c r="N75" s="366">
        <f t="shared" si="34"/>
        <v>729.63187500000004</v>
      </c>
      <c r="O75" s="366">
        <f t="shared" si="34"/>
        <v>2251.4172012281251</v>
      </c>
      <c r="P75" s="366">
        <f t="shared" si="34"/>
        <v>12916.398451228126</v>
      </c>
      <c r="Q75" s="366">
        <f t="shared" si="34"/>
        <v>802.96584375000009</v>
      </c>
      <c r="R75" s="366">
        <f t="shared" si="34"/>
        <v>986.71584375000009</v>
      </c>
      <c r="S75" s="366">
        <f t="shared" si="34"/>
        <v>776.71584375000009</v>
      </c>
      <c r="T75" s="366">
        <f t="shared" si="34"/>
        <v>2088.9758364201562</v>
      </c>
      <c r="U75" s="366">
        <f t="shared" si="34"/>
        <v>17466.395148920154</v>
      </c>
      <c r="V75" s="366">
        <f t="shared" si="34"/>
        <v>860.95862343750014</v>
      </c>
      <c r="W75" s="366">
        <f t="shared" si="34"/>
        <v>929.20862343750014</v>
      </c>
      <c r="X75" s="366">
        <f t="shared" si="34"/>
        <v>808.45862343750014</v>
      </c>
      <c r="Y75" s="366">
        <f t="shared" si="34"/>
        <v>1957.714518697383</v>
      </c>
      <c r="Z75" s="366">
        <f t="shared" si="34"/>
        <v>18273.05164682238</v>
      </c>
    </row>
    <row r="76" spans="1:26" ht="15.75" thickBot="1" x14ac:dyDescent="0.3">
      <c r="A76" s="367" t="s">
        <v>233</v>
      </c>
      <c r="B76" s="368"/>
      <c r="C76" s="368"/>
      <c r="D76" s="368"/>
      <c r="E76" s="368"/>
      <c r="F76" s="368">
        <f>F43-F75</f>
        <v>29495.982874999994</v>
      </c>
      <c r="G76" s="368"/>
      <c r="H76" s="368"/>
      <c r="I76" s="368"/>
      <c r="J76" s="368"/>
      <c r="K76" s="368">
        <f>K43-K75</f>
        <v>49213.081309999994</v>
      </c>
      <c r="L76" s="368"/>
      <c r="M76" s="368"/>
      <c r="N76" s="368"/>
      <c r="O76" s="368"/>
      <c r="P76" s="368">
        <f>P43-P75</f>
        <v>97425.835923771869</v>
      </c>
      <c r="Q76" s="368"/>
      <c r="R76" s="368"/>
      <c r="S76" s="368"/>
      <c r="T76" s="368"/>
      <c r="U76" s="368">
        <f>U43-U75</f>
        <v>129968.41735107984</v>
      </c>
      <c r="V76" s="368"/>
      <c r="W76" s="368"/>
      <c r="X76" s="368"/>
      <c r="Y76" s="368"/>
      <c r="Z76" s="368">
        <f>Z43-Z75</f>
        <v>9960.4662281776109</v>
      </c>
    </row>
    <row r="77" spans="1:26" ht="15.75" thickBot="1" x14ac:dyDescent="0.3">
      <c r="A77" s="367" t="s">
        <v>234</v>
      </c>
      <c r="B77" s="369">
        <v>0</v>
      </c>
      <c r="C77" s="369">
        <v>0</v>
      </c>
      <c r="D77" s="369">
        <v>0</v>
      </c>
      <c r="E77" s="369">
        <v>0</v>
      </c>
      <c r="F77" s="369">
        <v>0</v>
      </c>
      <c r="G77" s="370"/>
      <c r="H77" s="370"/>
      <c r="I77" s="370"/>
      <c r="J77" s="370"/>
      <c r="K77" s="370">
        <f>K76*25%</f>
        <v>12303.270327499999</v>
      </c>
      <c r="L77" s="370"/>
      <c r="M77" s="370"/>
      <c r="N77" s="370"/>
      <c r="O77" s="370"/>
      <c r="P77" s="370">
        <f>P76*25%</f>
        <v>24356.458980942967</v>
      </c>
      <c r="Q77" s="370">
        <v>0</v>
      </c>
      <c r="R77" s="370">
        <v>0</v>
      </c>
      <c r="S77" s="370">
        <f>S76*25%</f>
        <v>0</v>
      </c>
      <c r="T77" s="370">
        <f>T76*25%</f>
        <v>0</v>
      </c>
      <c r="U77" s="370">
        <f>U76*25%</f>
        <v>32492.104337769961</v>
      </c>
      <c r="V77" s="370">
        <f>V76*25%</f>
        <v>0</v>
      </c>
      <c r="W77" s="370">
        <v>0</v>
      </c>
      <c r="X77" s="370">
        <f>X76*25%</f>
        <v>0</v>
      </c>
      <c r="Y77" s="370">
        <f>Y76*25%</f>
        <v>0</v>
      </c>
      <c r="Z77" s="370">
        <f>Z76*25%</f>
        <v>2490.1165570444027</v>
      </c>
    </row>
    <row r="78" spans="1:26" ht="15.75" thickBot="1" x14ac:dyDescent="0.3">
      <c r="A78" s="371" t="s">
        <v>235</v>
      </c>
      <c r="B78" s="372"/>
      <c r="C78" s="372"/>
      <c r="D78" s="372"/>
      <c r="E78" s="372"/>
      <c r="F78" s="372">
        <f>F76-F77</f>
        <v>29495.982874999994</v>
      </c>
      <c r="G78" s="372"/>
      <c r="H78" s="372"/>
      <c r="I78" s="372"/>
      <c r="J78" s="372"/>
      <c r="K78" s="372">
        <f>K76-K77</f>
        <v>36909.810982499999</v>
      </c>
      <c r="L78" s="372"/>
      <c r="M78" s="372"/>
      <c r="N78" s="372"/>
      <c r="O78" s="372"/>
      <c r="P78" s="372">
        <f>P76-P77</f>
        <v>73069.376942828909</v>
      </c>
      <c r="Q78" s="372"/>
      <c r="R78" s="372"/>
      <c r="S78" s="372"/>
      <c r="T78" s="372"/>
      <c r="U78" s="372">
        <f>U76-U77</f>
        <v>97476.313013309875</v>
      </c>
      <c r="V78" s="372"/>
      <c r="W78" s="372"/>
      <c r="X78" s="372"/>
      <c r="Y78" s="372"/>
      <c r="Z78" s="372">
        <f>Z76-Z77</f>
        <v>7470.3496711332082</v>
      </c>
    </row>
    <row r="79" spans="1:26" ht="15.75" thickBot="1" x14ac:dyDescent="0.3">
      <c r="A79" s="367" t="s">
        <v>236</v>
      </c>
      <c r="B79" s="369"/>
      <c r="C79" s="369"/>
      <c r="D79" s="369"/>
      <c r="E79" s="369"/>
      <c r="F79" s="368">
        <f>F78</f>
        <v>29495.982874999994</v>
      </c>
      <c r="G79" s="369"/>
      <c r="H79" s="369"/>
      <c r="I79" s="369"/>
      <c r="J79" s="369"/>
      <c r="K79" s="368">
        <f>K78+F79</f>
        <v>66405.793857499986</v>
      </c>
      <c r="L79" s="369"/>
      <c r="M79" s="369"/>
      <c r="N79" s="369"/>
      <c r="O79" s="369"/>
      <c r="P79" s="368">
        <f>P78+K79</f>
        <v>139475.17080032889</v>
      </c>
      <c r="Q79" s="369"/>
      <c r="R79" s="369"/>
      <c r="S79" s="369"/>
      <c r="T79" s="369"/>
      <c r="U79" s="368">
        <f>P79+U78</f>
        <v>236951.48381363877</v>
      </c>
      <c r="V79" s="369"/>
      <c r="W79" s="369"/>
      <c r="X79" s="369"/>
      <c r="Y79" s="369"/>
      <c r="Z79" s="368">
        <f>U79+Z78</f>
        <v>244421.83348477198</v>
      </c>
    </row>
    <row r="80" spans="1:26" x14ac:dyDescent="0.25">
      <c r="G80" s="373"/>
      <c r="H80" s="333"/>
      <c r="I80" s="333"/>
      <c r="J80" s="333"/>
      <c r="K80" s="374"/>
      <c r="L80" s="205"/>
      <c r="M80" s="170"/>
      <c r="N80" s="170"/>
      <c r="O80" s="170"/>
      <c r="P80" s="375"/>
    </row>
    <row r="81" spans="1:16" x14ac:dyDescent="0.25">
      <c r="G81" s="268"/>
      <c r="H81" s="33"/>
      <c r="I81" s="33"/>
      <c r="J81" s="33"/>
      <c r="K81" s="269"/>
      <c r="L81" s="205"/>
      <c r="M81" s="170"/>
      <c r="N81" s="170"/>
      <c r="O81" s="170"/>
      <c r="P81" s="271"/>
    </row>
    <row r="82" spans="1:16" x14ac:dyDescent="0.25">
      <c r="G82" s="268"/>
      <c r="H82" s="33"/>
      <c r="I82" s="33"/>
      <c r="J82" s="33"/>
      <c r="K82" s="269"/>
      <c r="L82" s="205"/>
      <c r="M82" s="170"/>
      <c r="N82" s="170"/>
      <c r="O82" s="170"/>
      <c r="P82" s="271"/>
    </row>
    <row r="83" spans="1:16" x14ac:dyDescent="0.25">
      <c r="G83" s="268"/>
      <c r="H83" s="33"/>
      <c r="I83" s="33"/>
      <c r="J83" s="33"/>
      <c r="K83" s="269"/>
      <c r="L83" s="205"/>
      <c r="M83" s="170"/>
      <c r="N83" s="170"/>
      <c r="O83" s="170"/>
      <c r="P83" s="271"/>
    </row>
    <row r="84" spans="1:16" x14ac:dyDescent="0.25">
      <c r="G84" s="268"/>
      <c r="H84" s="33"/>
      <c r="I84" s="33"/>
      <c r="J84" s="33"/>
      <c r="K84" s="269"/>
      <c r="L84" s="205"/>
      <c r="M84" s="170"/>
      <c r="N84" s="170"/>
      <c r="O84" s="170"/>
      <c r="P84" s="271"/>
    </row>
    <row r="85" spans="1:16" x14ac:dyDescent="0.25">
      <c r="A85" s="172"/>
      <c r="G85" s="268"/>
      <c r="H85" s="33"/>
      <c r="I85" s="33"/>
      <c r="J85" s="33"/>
      <c r="K85" s="269"/>
      <c r="L85" s="205"/>
      <c r="M85" s="170"/>
      <c r="N85" s="170"/>
      <c r="O85" s="170"/>
      <c r="P85" s="271"/>
    </row>
    <row r="86" spans="1:16" x14ac:dyDescent="0.25">
      <c r="F86" s="376"/>
      <c r="G86" s="234"/>
      <c r="H86" s="33"/>
      <c r="I86" s="33"/>
      <c r="J86" s="33"/>
      <c r="K86" s="269"/>
      <c r="L86" s="205"/>
      <c r="M86" s="170"/>
      <c r="N86" s="170"/>
      <c r="O86" s="170"/>
      <c r="P86" s="271"/>
    </row>
    <row r="87" spans="1:16" x14ac:dyDescent="0.25">
      <c r="F87" s="376"/>
      <c r="G87" s="234"/>
      <c r="H87" s="33"/>
      <c r="I87" s="33"/>
      <c r="J87" s="33"/>
      <c r="K87" s="269"/>
      <c r="L87" s="205"/>
      <c r="M87" s="170"/>
      <c r="N87" s="170"/>
      <c r="O87" s="170"/>
      <c r="P87" s="271"/>
    </row>
    <row r="88" spans="1:16" x14ac:dyDescent="0.25">
      <c r="G88" s="268"/>
      <c r="H88" s="33"/>
      <c r="I88" s="33"/>
      <c r="J88" s="33"/>
      <c r="K88" s="269"/>
      <c r="L88" s="205"/>
      <c r="M88" s="170"/>
      <c r="N88" s="170"/>
      <c r="O88" s="170"/>
      <c r="P88" s="271"/>
    </row>
    <row r="89" spans="1:16" x14ac:dyDescent="0.25">
      <c r="F89" s="376"/>
      <c r="G89" s="268"/>
      <c r="H89" s="33"/>
      <c r="I89" s="33"/>
      <c r="J89" s="33"/>
      <c r="K89" s="269"/>
      <c r="L89" s="205"/>
      <c r="M89" s="170"/>
      <c r="N89" s="170"/>
      <c r="O89" s="170"/>
      <c r="P89" s="271"/>
    </row>
    <row r="90" spans="1:16" x14ac:dyDescent="0.25">
      <c r="F90" s="376"/>
      <c r="G90" s="268"/>
      <c r="H90" s="33"/>
      <c r="I90" s="33"/>
      <c r="J90" s="33"/>
      <c r="K90" s="269"/>
      <c r="L90" s="205"/>
      <c r="M90" s="170"/>
      <c r="N90" s="170"/>
      <c r="O90" s="170"/>
      <c r="P90" s="271"/>
    </row>
    <row r="91" spans="1:16" x14ac:dyDescent="0.25">
      <c r="G91" s="268"/>
      <c r="H91" s="33"/>
      <c r="I91" s="33"/>
      <c r="J91" s="33"/>
      <c r="K91" s="269"/>
      <c r="L91" s="205"/>
      <c r="M91" s="170"/>
      <c r="N91" s="170"/>
      <c r="O91" s="170"/>
      <c r="P91" s="271"/>
    </row>
    <row r="92" spans="1:16" x14ac:dyDescent="0.25">
      <c r="E92" s="376"/>
      <c r="G92" s="268"/>
      <c r="H92" s="33"/>
      <c r="I92" s="33"/>
      <c r="J92" s="33"/>
      <c r="K92" s="269"/>
      <c r="L92" s="205"/>
      <c r="M92" s="170"/>
      <c r="N92" s="170"/>
      <c r="O92" s="170"/>
      <c r="P92" s="271"/>
    </row>
    <row r="93" spans="1:16" x14ac:dyDescent="0.25">
      <c r="G93" s="268"/>
      <c r="H93" s="33"/>
      <c r="I93" s="33"/>
      <c r="J93" s="33"/>
      <c r="K93" s="269"/>
      <c r="L93" s="205"/>
      <c r="M93" s="170"/>
      <c r="N93" s="170"/>
      <c r="O93" s="170"/>
      <c r="P93" s="271"/>
    </row>
    <row r="94" spans="1:16" x14ac:dyDescent="0.25">
      <c r="C94" t="s">
        <v>172</v>
      </c>
      <c r="G94" s="268"/>
      <c r="H94" s="33"/>
      <c r="I94" s="33"/>
      <c r="J94" s="33"/>
      <c r="K94" s="269"/>
      <c r="L94" s="205"/>
      <c r="M94" s="170"/>
      <c r="N94" s="170"/>
      <c r="O94" s="170"/>
      <c r="P94" s="271"/>
    </row>
    <row r="95" spans="1:16" x14ac:dyDescent="0.25">
      <c r="G95" s="268"/>
      <c r="H95" s="33"/>
      <c r="I95" s="33"/>
      <c r="J95" s="33"/>
      <c r="K95" s="269"/>
      <c r="L95" s="205"/>
      <c r="M95" s="170"/>
      <c r="N95" s="170"/>
      <c r="O95" s="170"/>
      <c r="P95" s="271"/>
    </row>
    <row r="96" spans="1:16" x14ac:dyDescent="0.25">
      <c r="G96" s="268"/>
      <c r="H96" s="33"/>
      <c r="I96" s="33"/>
      <c r="J96" s="33"/>
      <c r="K96" s="269"/>
      <c r="L96" s="205"/>
      <c r="M96" s="170"/>
      <c r="N96" s="170"/>
      <c r="O96" s="170"/>
      <c r="P96" s="271"/>
    </row>
    <row r="97" spans="7:16" x14ac:dyDescent="0.25">
      <c r="G97" s="268"/>
      <c r="H97" s="33"/>
      <c r="I97" s="33"/>
      <c r="J97" s="33"/>
      <c r="K97" s="269"/>
      <c r="L97" s="205"/>
      <c r="M97" s="170"/>
      <c r="N97" s="170"/>
      <c r="O97" s="170"/>
      <c r="P97" s="271"/>
    </row>
    <row r="98" spans="7:16" x14ac:dyDescent="0.25">
      <c r="G98" s="268"/>
      <c r="H98" s="33"/>
      <c r="I98" s="33"/>
      <c r="J98" s="33"/>
      <c r="K98" s="269"/>
      <c r="L98" s="205"/>
      <c r="M98" s="170"/>
      <c r="N98" s="170"/>
      <c r="O98" s="170"/>
      <c r="P98" s="271"/>
    </row>
    <row r="99" spans="7:16" x14ac:dyDescent="0.25">
      <c r="G99" s="268"/>
      <c r="H99" s="33"/>
      <c r="I99" s="33"/>
      <c r="J99" s="33"/>
      <c r="K99" s="269"/>
      <c r="L99" s="205"/>
      <c r="M99" s="170"/>
      <c r="N99" s="170"/>
      <c r="O99" s="170"/>
      <c r="P99" s="271"/>
    </row>
    <row r="100" spans="7:16" x14ac:dyDescent="0.25">
      <c r="G100" s="268"/>
      <c r="H100" s="33"/>
      <c r="I100" s="33"/>
      <c r="J100" s="33"/>
      <c r="K100" s="269"/>
      <c r="L100" s="205"/>
      <c r="M100" s="170"/>
      <c r="N100" s="170"/>
      <c r="O100" s="170"/>
      <c r="P100" s="271"/>
    </row>
    <row r="101" spans="7:16" x14ac:dyDescent="0.25">
      <c r="G101" s="268"/>
      <c r="H101" s="33"/>
      <c r="I101" s="33"/>
      <c r="J101" s="33"/>
      <c r="K101" s="269"/>
      <c r="L101" s="205"/>
      <c r="M101" s="170"/>
      <c r="N101" s="170"/>
      <c r="O101" s="170"/>
      <c r="P101" s="271"/>
    </row>
    <row r="102" spans="7:16" x14ac:dyDescent="0.25">
      <c r="G102" s="268"/>
      <c r="H102" s="33"/>
      <c r="I102" s="33"/>
      <c r="J102" s="33"/>
      <c r="K102" s="269"/>
      <c r="L102" s="205"/>
      <c r="M102" s="170"/>
      <c r="N102" s="170"/>
      <c r="O102" s="170"/>
      <c r="P102" s="271"/>
    </row>
    <row r="103" spans="7:16" x14ac:dyDescent="0.25">
      <c r="G103" s="268"/>
      <c r="H103" s="33"/>
      <c r="I103" s="33"/>
      <c r="J103" s="33"/>
      <c r="K103" s="269"/>
      <c r="L103" s="205"/>
      <c r="M103" s="170"/>
      <c r="N103" s="170"/>
      <c r="O103" s="170"/>
      <c r="P103" s="271"/>
    </row>
    <row r="104" spans="7:16" x14ac:dyDescent="0.25">
      <c r="G104" s="268"/>
      <c r="H104" s="33"/>
      <c r="I104" s="33"/>
      <c r="J104" s="33"/>
      <c r="K104" s="269"/>
      <c r="L104" s="205"/>
      <c r="M104" s="170"/>
      <c r="N104" s="170"/>
      <c r="O104" s="170"/>
      <c r="P104" s="271"/>
    </row>
    <row r="105" spans="7:16" x14ac:dyDescent="0.25">
      <c r="G105" s="268"/>
      <c r="H105" s="33"/>
      <c r="I105" s="33"/>
      <c r="J105" s="33"/>
      <c r="K105" s="269"/>
      <c r="L105" s="205"/>
      <c r="M105" s="170"/>
      <c r="N105" s="170"/>
      <c r="O105" s="170"/>
      <c r="P105" s="271"/>
    </row>
    <row r="106" spans="7:16" x14ac:dyDescent="0.25">
      <c r="G106" s="268"/>
      <c r="H106" s="33"/>
      <c r="I106" s="33"/>
      <c r="J106" s="33"/>
      <c r="K106" s="269"/>
      <c r="L106" s="205"/>
      <c r="M106" s="170"/>
      <c r="N106" s="170"/>
      <c r="O106" s="170"/>
      <c r="P106" s="271"/>
    </row>
    <row r="107" spans="7:16" x14ac:dyDescent="0.25">
      <c r="G107" s="268"/>
      <c r="H107" s="33"/>
      <c r="I107" s="33"/>
      <c r="J107" s="33"/>
      <c r="K107" s="269"/>
      <c r="L107" s="205"/>
      <c r="M107" s="170"/>
      <c r="N107" s="170"/>
      <c r="O107" s="170"/>
      <c r="P107" s="271"/>
    </row>
    <row r="108" spans="7:16" x14ac:dyDescent="0.25">
      <c r="G108" s="268"/>
      <c r="H108" s="33"/>
      <c r="I108" s="33"/>
      <c r="J108" s="33"/>
      <c r="K108" s="269"/>
      <c r="L108" s="205"/>
      <c r="M108" s="170"/>
      <c r="N108" s="170"/>
      <c r="O108" s="170"/>
      <c r="P108" s="271"/>
    </row>
    <row r="109" spans="7:16" x14ac:dyDescent="0.25">
      <c r="G109" s="268"/>
      <c r="H109" s="33"/>
      <c r="I109" s="33"/>
      <c r="J109" s="33"/>
      <c r="K109" s="269"/>
      <c r="L109" s="205"/>
      <c r="M109" s="170"/>
      <c r="N109" s="170"/>
      <c r="O109" s="170"/>
      <c r="P109" s="271"/>
    </row>
    <row r="110" spans="7:16" x14ac:dyDescent="0.25">
      <c r="G110" s="268"/>
      <c r="H110" s="33"/>
      <c r="I110" s="33"/>
      <c r="J110" s="33"/>
      <c r="K110" s="269"/>
      <c r="L110" s="205"/>
      <c r="M110" s="170"/>
      <c r="N110" s="170"/>
      <c r="O110" s="170"/>
      <c r="P110" s="271"/>
    </row>
    <row r="111" spans="7:16" x14ac:dyDescent="0.25">
      <c r="G111" s="268"/>
      <c r="H111" s="33"/>
      <c r="I111" s="33"/>
      <c r="J111" s="33"/>
      <c r="K111" s="269"/>
      <c r="L111" s="205"/>
      <c r="M111" s="170"/>
      <c r="N111" s="170"/>
      <c r="O111" s="170"/>
      <c r="P111" s="271"/>
    </row>
    <row r="112" spans="7:16" x14ac:dyDescent="0.25">
      <c r="G112" s="268"/>
      <c r="H112" s="33"/>
      <c r="I112" s="33"/>
      <c r="J112" s="33"/>
      <c r="K112" s="269"/>
      <c r="L112" s="205"/>
      <c r="M112" s="170"/>
      <c r="N112" s="170"/>
      <c r="O112" s="170"/>
      <c r="P112" s="271"/>
    </row>
    <row r="113" spans="7:16" x14ac:dyDescent="0.25">
      <c r="G113" s="268"/>
      <c r="H113" s="33"/>
      <c r="I113" s="33"/>
      <c r="J113" s="33"/>
      <c r="K113" s="269"/>
      <c r="L113" s="205"/>
      <c r="M113" s="170"/>
      <c r="N113" s="170"/>
      <c r="O113" s="170"/>
      <c r="P113" s="271"/>
    </row>
    <row r="114" spans="7:16" x14ac:dyDescent="0.25">
      <c r="G114" s="268"/>
      <c r="H114" s="33"/>
      <c r="I114" s="33"/>
      <c r="J114" s="33"/>
      <c r="K114" s="269"/>
      <c r="L114" s="205"/>
      <c r="M114" s="170"/>
      <c r="N114" s="170"/>
      <c r="O114" s="170"/>
      <c r="P114" s="271"/>
    </row>
    <row r="115" spans="7:16" x14ac:dyDescent="0.25">
      <c r="G115" s="268"/>
      <c r="H115" s="33"/>
      <c r="I115" s="33"/>
      <c r="J115" s="33"/>
      <c r="K115" s="269"/>
      <c r="L115" s="205"/>
      <c r="M115" s="170"/>
      <c r="N115" s="170"/>
      <c r="O115" s="170"/>
      <c r="P115" s="271"/>
    </row>
    <row r="116" spans="7:16" x14ac:dyDescent="0.25">
      <c r="G116" s="268"/>
      <c r="H116" s="33"/>
      <c r="I116" s="33"/>
      <c r="J116" s="33"/>
      <c r="K116" s="269"/>
      <c r="L116" s="205"/>
      <c r="M116" s="170"/>
      <c r="N116" s="170"/>
      <c r="O116" s="170"/>
      <c r="P116" s="271"/>
    </row>
    <row r="117" spans="7:16" x14ac:dyDescent="0.25">
      <c r="G117" s="268"/>
      <c r="H117" s="33"/>
      <c r="I117" s="33"/>
      <c r="J117" s="33"/>
      <c r="K117" s="269"/>
      <c r="L117" s="205"/>
      <c r="M117" s="170"/>
      <c r="N117" s="170"/>
      <c r="O117" s="170"/>
      <c r="P117" s="271"/>
    </row>
    <row r="118" spans="7:16" x14ac:dyDescent="0.25">
      <c r="G118" s="268"/>
      <c r="H118" s="33"/>
      <c r="I118" s="33"/>
      <c r="J118" s="33"/>
      <c r="K118" s="269"/>
      <c r="L118" s="205"/>
      <c r="M118" s="170"/>
      <c r="N118" s="170"/>
      <c r="O118" s="170"/>
      <c r="P118" s="271"/>
    </row>
    <row r="119" spans="7:16" x14ac:dyDescent="0.25">
      <c r="G119" s="268"/>
      <c r="H119" s="33"/>
      <c r="I119" s="33"/>
      <c r="J119" s="33"/>
      <c r="K119" s="269"/>
      <c r="L119" s="205"/>
      <c r="M119" s="170"/>
      <c r="N119" s="170"/>
      <c r="O119" s="170"/>
      <c r="P119" s="271"/>
    </row>
    <row r="120" spans="7:16" x14ac:dyDescent="0.25">
      <c r="G120" s="268"/>
      <c r="H120" s="33"/>
      <c r="I120" s="33"/>
      <c r="J120" s="33"/>
      <c r="K120" s="269"/>
      <c r="L120" s="205"/>
      <c r="M120" s="170"/>
      <c r="N120" s="170"/>
      <c r="O120" s="170"/>
      <c r="P120" s="271"/>
    </row>
    <row r="121" spans="7:16" x14ac:dyDescent="0.25">
      <c r="G121" s="268"/>
      <c r="H121" s="33"/>
      <c r="I121" s="33"/>
      <c r="J121" s="33"/>
      <c r="K121" s="269"/>
      <c r="L121" s="205"/>
      <c r="M121" s="170"/>
      <c r="N121" s="170"/>
      <c r="O121" s="170"/>
      <c r="P121" s="271"/>
    </row>
    <row r="122" spans="7:16" x14ac:dyDescent="0.25">
      <c r="G122" s="268"/>
      <c r="H122" s="33"/>
      <c r="I122" s="33"/>
      <c r="J122" s="33"/>
      <c r="K122" s="269"/>
      <c r="L122" s="205"/>
      <c r="M122" s="170"/>
      <c r="N122" s="170"/>
      <c r="O122" s="170"/>
      <c r="P122" s="271"/>
    </row>
    <row r="123" spans="7:16" x14ac:dyDescent="0.25">
      <c r="G123" s="268"/>
      <c r="H123" s="33"/>
      <c r="I123" s="33"/>
      <c r="J123" s="33"/>
      <c r="K123" s="269"/>
      <c r="L123" s="205"/>
      <c r="M123" s="170"/>
      <c r="N123" s="170"/>
      <c r="O123" s="170"/>
      <c r="P123" s="271"/>
    </row>
    <row r="124" spans="7:16" x14ac:dyDescent="0.25">
      <c r="G124" s="268"/>
      <c r="H124" s="33"/>
      <c r="I124" s="33"/>
      <c r="J124" s="33"/>
      <c r="K124" s="269"/>
      <c r="L124" s="205"/>
      <c r="M124" s="170"/>
      <c r="N124" s="170"/>
      <c r="O124" s="170"/>
      <c r="P124" s="271"/>
    </row>
    <row r="125" spans="7:16" x14ac:dyDescent="0.25">
      <c r="G125" s="268"/>
      <c r="H125" s="33"/>
      <c r="I125" s="33"/>
      <c r="J125" s="33"/>
      <c r="K125" s="269"/>
      <c r="L125" s="205"/>
      <c r="M125" s="170"/>
      <c r="N125" s="170"/>
      <c r="O125" s="170"/>
      <c r="P125" s="271"/>
    </row>
    <row r="126" spans="7:16" x14ac:dyDescent="0.25">
      <c r="G126" s="268"/>
      <c r="H126" s="33"/>
      <c r="I126" s="33"/>
      <c r="J126" s="33"/>
      <c r="K126" s="269"/>
      <c r="L126" s="205"/>
      <c r="M126" s="170"/>
      <c r="N126" s="170"/>
      <c r="O126" s="170"/>
      <c r="P126" s="271"/>
    </row>
    <row r="127" spans="7:16" x14ac:dyDescent="0.25">
      <c r="G127" s="268"/>
      <c r="H127" s="33"/>
      <c r="I127" s="33"/>
      <c r="J127" s="33"/>
      <c r="K127" s="269"/>
      <c r="L127" s="205"/>
      <c r="M127" s="170"/>
      <c r="N127" s="170"/>
      <c r="O127" s="170"/>
      <c r="P127" s="271"/>
    </row>
    <row r="128" spans="7:16" x14ac:dyDescent="0.25">
      <c r="G128" s="268"/>
      <c r="H128" s="33"/>
      <c r="I128" s="33"/>
      <c r="J128" s="33"/>
      <c r="K128" s="269"/>
      <c r="L128" s="205"/>
      <c r="M128" s="170"/>
      <c r="N128" s="170"/>
      <c r="O128" s="170"/>
      <c r="P128" s="271"/>
    </row>
    <row r="129" spans="7:16" x14ac:dyDescent="0.25">
      <c r="G129" s="268"/>
      <c r="H129" s="33"/>
      <c r="I129" s="33"/>
      <c r="J129" s="33"/>
      <c r="K129" s="269"/>
      <c r="L129" s="205"/>
      <c r="M129" s="170"/>
      <c r="N129" s="170"/>
      <c r="O129" s="170"/>
      <c r="P129" s="271"/>
    </row>
    <row r="130" spans="7:16" x14ac:dyDescent="0.25">
      <c r="G130" s="268"/>
      <c r="H130" s="33"/>
      <c r="I130" s="33"/>
      <c r="J130" s="33"/>
      <c r="K130" s="269"/>
      <c r="L130" s="205"/>
      <c r="M130" s="170"/>
      <c r="N130" s="170"/>
      <c r="O130" s="170"/>
      <c r="P130" s="271"/>
    </row>
    <row r="131" spans="7:16" x14ac:dyDescent="0.25">
      <c r="G131" s="268"/>
      <c r="H131" s="33"/>
      <c r="I131" s="33"/>
      <c r="J131" s="33"/>
      <c r="K131" s="269"/>
      <c r="L131" s="205"/>
      <c r="M131" s="170"/>
      <c r="N131" s="170"/>
      <c r="O131" s="170"/>
      <c r="P131" s="271"/>
    </row>
    <row r="132" spans="7:16" x14ac:dyDescent="0.25">
      <c r="G132" s="268"/>
      <c r="H132" s="33"/>
      <c r="I132" s="33"/>
      <c r="J132" s="33"/>
      <c r="K132" s="269"/>
      <c r="L132" s="205"/>
      <c r="M132" s="170"/>
      <c r="N132" s="170"/>
      <c r="O132" s="170"/>
      <c r="P132" s="271"/>
    </row>
    <row r="133" spans="7:16" x14ac:dyDescent="0.25">
      <c r="G133" s="268"/>
      <c r="H133" s="33"/>
      <c r="I133" s="33"/>
      <c r="J133" s="33"/>
      <c r="K133" s="269"/>
      <c r="L133" s="205"/>
      <c r="M133" s="170"/>
      <c r="N133" s="170"/>
      <c r="O133" s="170"/>
      <c r="P133" s="271"/>
    </row>
    <row r="134" spans="7:16" x14ac:dyDescent="0.25">
      <c r="G134" s="268"/>
      <c r="H134" s="33"/>
      <c r="I134" s="33"/>
      <c r="J134" s="33"/>
      <c r="K134" s="269"/>
      <c r="L134" s="205"/>
      <c r="M134" s="170"/>
      <c r="N134" s="170"/>
      <c r="O134" s="170"/>
      <c r="P134" s="271"/>
    </row>
    <row r="135" spans="7:16" x14ac:dyDescent="0.25">
      <c r="G135" s="268"/>
      <c r="H135" s="33"/>
      <c r="I135" s="33"/>
      <c r="J135" s="33"/>
      <c r="K135" s="269"/>
      <c r="L135" s="205"/>
      <c r="M135" s="170"/>
      <c r="N135" s="170"/>
      <c r="O135" s="170"/>
      <c r="P135" s="271"/>
    </row>
    <row r="136" spans="7:16" x14ac:dyDescent="0.25">
      <c r="G136" s="268"/>
      <c r="H136" s="33"/>
      <c r="I136" s="33"/>
      <c r="J136" s="33"/>
      <c r="K136" s="269"/>
      <c r="L136" s="205"/>
      <c r="M136" s="170"/>
      <c r="N136" s="170"/>
      <c r="O136" s="170"/>
      <c r="P136" s="271"/>
    </row>
    <row r="137" spans="7:16" x14ac:dyDescent="0.25">
      <c r="G137" s="268"/>
      <c r="H137" s="33"/>
      <c r="I137" s="33"/>
      <c r="J137" s="33"/>
      <c r="K137" s="269"/>
      <c r="L137" s="205"/>
      <c r="M137" s="170"/>
      <c r="N137" s="170"/>
      <c r="O137" s="170"/>
      <c r="P137" s="271"/>
    </row>
    <row r="138" spans="7:16" x14ac:dyDescent="0.25">
      <c r="G138" s="268"/>
      <c r="H138" s="33"/>
      <c r="I138" s="33"/>
      <c r="J138" s="33"/>
      <c r="K138" s="269"/>
      <c r="L138" s="205"/>
      <c r="M138" s="170"/>
      <c r="N138" s="170"/>
      <c r="O138" s="170"/>
      <c r="P138" s="271"/>
    </row>
    <row r="139" spans="7:16" x14ac:dyDescent="0.25">
      <c r="G139" s="268"/>
      <c r="H139" s="33"/>
      <c r="I139" s="33"/>
      <c r="J139" s="33"/>
      <c r="K139" s="269"/>
      <c r="L139" s="205"/>
      <c r="M139" s="170"/>
      <c r="N139" s="170"/>
      <c r="O139" s="170"/>
      <c r="P139" s="271"/>
    </row>
    <row r="140" spans="7:16" x14ac:dyDescent="0.25">
      <c r="G140" s="268"/>
      <c r="H140" s="33"/>
      <c r="I140" s="33"/>
      <c r="J140" s="33"/>
      <c r="K140" s="269"/>
      <c r="L140" s="205"/>
      <c r="M140" s="170"/>
      <c r="N140" s="170"/>
      <c r="O140" s="170"/>
      <c r="P140" s="271"/>
    </row>
    <row r="141" spans="7:16" x14ac:dyDescent="0.25">
      <c r="G141" s="268"/>
      <c r="H141" s="33"/>
      <c r="I141" s="33"/>
      <c r="J141" s="33"/>
      <c r="K141" s="269"/>
      <c r="L141" s="205"/>
      <c r="M141" s="170"/>
      <c r="N141" s="170"/>
      <c r="O141" s="170"/>
      <c r="P141" s="271"/>
    </row>
    <row r="142" spans="7:16" x14ac:dyDescent="0.25">
      <c r="G142" s="268"/>
      <c r="H142" s="33"/>
      <c r="I142" s="33"/>
      <c r="J142" s="33"/>
      <c r="K142" s="269"/>
      <c r="L142" s="205"/>
      <c r="M142" s="170"/>
      <c r="N142" s="170"/>
      <c r="O142" s="170"/>
      <c r="P142" s="271"/>
    </row>
    <row r="143" spans="7:16" x14ac:dyDescent="0.25">
      <c r="G143" s="268"/>
      <c r="H143" s="33"/>
      <c r="I143" s="33"/>
      <c r="J143" s="33"/>
      <c r="K143" s="269"/>
      <c r="L143" s="205"/>
      <c r="M143" s="170"/>
      <c r="N143" s="170"/>
      <c r="O143" s="170"/>
      <c r="P143" s="271"/>
    </row>
    <row r="144" spans="7:16" x14ac:dyDescent="0.25">
      <c r="G144" s="268"/>
      <c r="H144" s="33"/>
      <c r="I144" s="33"/>
      <c r="J144" s="33"/>
      <c r="K144" s="269"/>
      <c r="L144" s="205"/>
      <c r="M144" s="170"/>
      <c r="N144" s="170"/>
      <c r="O144" s="170"/>
      <c r="P144" s="271"/>
    </row>
    <row r="145" spans="7:16" x14ac:dyDescent="0.25">
      <c r="G145" s="268"/>
      <c r="H145" s="33"/>
      <c r="I145" s="33"/>
      <c r="J145" s="33"/>
      <c r="K145" s="269"/>
      <c r="L145" s="205"/>
      <c r="M145" s="170"/>
      <c r="N145" s="170"/>
      <c r="O145" s="170"/>
      <c r="P145" s="271"/>
    </row>
    <row r="146" spans="7:16" x14ac:dyDescent="0.25">
      <c r="G146" s="268"/>
      <c r="H146" s="33"/>
      <c r="I146" s="33"/>
      <c r="J146" s="33"/>
      <c r="K146" s="269"/>
      <c r="L146" s="205"/>
      <c r="M146" s="170"/>
      <c r="N146" s="170"/>
      <c r="O146" s="170"/>
      <c r="P146" s="271"/>
    </row>
    <row r="147" spans="7:16" x14ac:dyDescent="0.25">
      <c r="G147" s="268"/>
      <c r="H147" s="33"/>
      <c r="I147" s="33"/>
      <c r="J147" s="33"/>
      <c r="K147" s="269"/>
      <c r="L147" s="205"/>
      <c r="M147" s="170"/>
      <c r="N147" s="170"/>
      <c r="O147" s="170"/>
      <c r="P147" s="271"/>
    </row>
    <row r="148" spans="7:16" x14ac:dyDescent="0.25">
      <c r="G148" s="268"/>
      <c r="H148" s="33"/>
      <c r="I148" s="33"/>
      <c r="J148" s="33"/>
      <c r="K148" s="269"/>
      <c r="L148" s="205"/>
      <c r="M148" s="170"/>
      <c r="N148" s="170"/>
      <c r="O148" s="170"/>
      <c r="P148" s="271"/>
    </row>
    <row r="149" spans="7:16" x14ac:dyDescent="0.25">
      <c r="G149" s="268"/>
      <c r="H149" s="33"/>
      <c r="I149" s="33"/>
      <c r="J149" s="33"/>
      <c r="K149" s="269"/>
      <c r="L149" s="205"/>
      <c r="M149" s="170"/>
      <c r="N149" s="170"/>
      <c r="O149" s="170"/>
      <c r="P149" s="271"/>
    </row>
    <row r="150" spans="7:16" x14ac:dyDescent="0.25">
      <c r="G150" s="268"/>
      <c r="H150" s="33"/>
      <c r="I150" s="33"/>
      <c r="J150" s="33"/>
      <c r="K150" s="269"/>
      <c r="L150" s="205"/>
      <c r="M150" s="170"/>
      <c r="N150" s="170"/>
      <c r="O150" s="170"/>
      <c r="P150" s="271"/>
    </row>
    <row r="151" spans="7:16" x14ac:dyDescent="0.25">
      <c r="G151" s="268"/>
      <c r="H151" s="33"/>
      <c r="I151" s="33"/>
      <c r="J151" s="33"/>
      <c r="K151" s="269"/>
      <c r="L151" s="205"/>
      <c r="M151" s="170"/>
      <c r="N151" s="170"/>
      <c r="O151" s="170"/>
      <c r="P151" s="271"/>
    </row>
    <row r="152" spans="7:16" x14ac:dyDescent="0.25">
      <c r="G152" s="268"/>
      <c r="H152" s="33"/>
      <c r="I152" s="33"/>
      <c r="J152" s="33"/>
      <c r="K152" s="269"/>
      <c r="L152" s="205"/>
      <c r="M152" s="170"/>
      <c r="N152" s="170"/>
      <c r="O152" s="170"/>
      <c r="P152" s="271"/>
    </row>
    <row r="153" spans="7:16" x14ac:dyDescent="0.25">
      <c r="G153" s="268"/>
      <c r="H153" s="33"/>
      <c r="I153" s="33"/>
      <c r="J153" s="33"/>
      <c r="K153" s="269"/>
      <c r="L153" s="205"/>
      <c r="M153" s="170"/>
      <c r="N153" s="170"/>
      <c r="O153" s="170"/>
      <c r="P153" s="271"/>
    </row>
    <row r="154" spans="7:16" x14ac:dyDescent="0.25">
      <c r="G154" s="268"/>
      <c r="H154" s="33"/>
      <c r="I154" s="33"/>
      <c r="J154" s="33"/>
      <c r="K154" s="269"/>
      <c r="L154" s="205"/>
      <c r="M154" s="170"/>
      <c r="N154" s="170"/>
      <c r="O154" s="170"/>
      <c r="P154" s="271"/>
    </row>
    <row r="155" spans="7:16" x14ac:dyDescent="0.25">
      <c r="G155" s="268"/>
      <c r="H155" s="33"/>
      <c r="I155" s="33"/>
      <c r="J155" s="33"/>
      <c r="K155" s="269"/>
      <c r="L155" s="205"/>
      <c r="M155" s="170"/>
      <c r="N155" s="170"/>
      <c r="O155" s="170"/>
      <c r="P155" s="271"/>
    </row>
    <row r="156" spans="7:16" x14ac:dyDescent="0.25">
      <c r="G156" s="268"/>
      <c r="H156" s="33"/>
      <c r="I156" s="33"/>
      <c r="J156" s="33"/>
      <c r="K156" s="269"/>
      <c r="L156" s="205"/>
      <c r="M156" s="170"/>
      <c r="N156" s="170"/>
      <c r="O156" s="170"/>
      <c r="P156" s="271"/>
    </row>
    <row r="157" spans="7:16" x14ac:dyDescent="0.25">
      <c r="G157" s="268"/>
      <c r="H157" s="33"/>
      <c r="I157" s="33"/>
      <c r="J157" s="33"/>
      <c r="K157" s="269"/>
      <c r="L157" s="205"/>
      <c r="M157" s="170"/>
      <c r="N157" s="170"/>
      <c r="O157" s="170"/>
      <c r="P157" s="271"/>
    </row>
    <row r="158" spans="7:16" x14ac:dyDescent="0.25">
      <c r="G158" s="268"/>
      <c r="H158" s="33"/>
      <c r="I158" s="33"/>
      <c r="J158" s="33"/>
      <c r="K158" s="269"/>
      <c r="L158" s="205"/>
      <c r="M158" s="170"/>
      <c r="N158" s="170"/>
      <c r="O158" s="170"/>
      <c r="P158" s="271"/>
    </row>
    <row r="159" spans="7:16" x14ac:dyDescent="0.25">
      <c r="G159" s="268"/>
      <c r="H159" s="33"/>
      <c r="I159" s="33"/>
      <c r="J159" s="33"/>
      <c r="K159" s="269"/>
      <c r="L159" s="205"/>
      <c r="M159" s="170"/>
      <c r="N159" s="170"/>
      <c r="O159" s="170"/>
      <c r="P159" s="271"/>
    </row>
    <row r="160" spans="7:16" x14ac:dyDescent="0.25">
      <c r="G160" s="268"/>
      <c r="H160" s="33"/>
      <c r="I160" s="33"/>
      <c r="J160" s="33"/>
      <c r="K160" s="269"/>
      <c r="L160" s="205"/>
      <c r="M160" s="170"/>
      <c r="N160" s="170"/>
      <c r="O160" s="170"/>
      <c r="P160" s="271"/>
    </row>
    <row r="161" spans="7:16" x14ac:dyDescent="0.25">
      <c r="G161" s="268"/>
      <c r="H161" s="33"/>
      <c r="I161" s="33"/>
      <c r="J161" s="33"/>
      <c r="K161" s="269"/>
      <c r="L161" s="205"/>
      <c r="M161" s="170"/>
      <c r="N161" s="170"/>
      <c r="O161" s="170"/>
      <c r="P161" s="271"/>
    </row>
    <row r="162" spans="7:16" x14ac:dyDescent="0.25">
      <c r="G162" s="268"/>
      <c r="H162" s="33"/>
      <c r="I162" s="33"/>
      <c r="J162" s="33"/>
      <c r="K162" s="269"/>
      <c r="L162" s="205"/>
      <c r="M162" s="170"/>
      <c r="N162" s="170"/>
      <c r="O162" s="170"/>
      <c r="P162" s="271"/>
    </row>
    <row r="163" spans="7:16" x14ac:dyDescent="0.25">
      <c r="G163" s="268"/>
      <c r="H163" s="33"/>
      <c r="I163" s="33"/>
      <c r="J163" s="33"/>
      <c r="K163" s="269"/>
      <c r="L163" s="205"/>
      <c r="M163" s="170"/>
      <c r="N163" s="170"/>
      <c r="O163" s="170"/>
      <c r="P163" s="271"/>
    </row>
    <row r="164" spans="7:16" x14ac:dyDescent="0.25">
      <c r="G164" s="268"/>
      <c r="H164" s="33"/>
      <c r="I164" s="33"/>
      <c r="J164" s="33"/>
      <c r="K164" s="269"/>
      <c r="L164" s="205"/>
      <c r="M164" s="170"/>
      <c r="N164" s="170"/>
      <c r="O164" s="170"/>
      <c r="P164" s="271"/>
    </row>
    <row r="165" spans="7:16" x14ac:dyDescent="0.25">
      <c r="G165" s="268"/>
      <c r="H165" s="33"/>
      <c r="I165" s="33"/>
      <c r="J165" s="33"/>
      <c r="K165" s="269"/>
      <c r="L165" s="205"/>
      <c r="M165" s="170"/>
      <c r="N165" s="170"/>
      <c r="O165" s="170"/>
      <c r="P165" s="271"/>
    </row>
    <row r="166" spans="7:16" x14ac:dyDescent="0.25">
      <c r="G166" s="268"/>
      <c r="H166" s="33"/>
      <c r="I166" s="33"/>
      <c r="J166" s="33"/>
      <c r="K166" s="269"/>
      <c r="L166" s="205"/>
      <c r="M166" s="170"/>
      <c r="N166" s="170"/>
      <c r="O166" s="170"/>
      <c r="P166" s="271"/>
    </row>
    <row r="167" spans="7:16" x14ac:dyDescent="0.25">
      <c r="G167" s="268"/>
      <c r="H167" s="33"/>
      <c r="I167" s="33"/>
      <c r="J167" s="33"/>
      <c r="K167" s="269"/>
      <c r="L167" s="205"/>
      <c r="M167" s="170"/>
      <c r="N167" s="170"/>
      <c r="O167" s="170"/>
      <c r="P167" s="271"/>
    </row>
    <row r="168" spans="7:16" x14ac:dyDescent="0.25">
      <c r="G168" s="268"/>
      <c r="H168" s="33"/>
      <c r="I168" s="33"/>
      <c r="J168" s="33"/>
      <c r="K168" s="269"/>
      <c r="L168" s="205"/>
      <c r="M168" s="170"/>
      <c r="N168" s="170"/>
      <c r="O168" s="170"/>
      <c r="P168" s="271"/>
    </row>
    <row r="169" spans="7:16" x14ac:dyDescent="0.25">
      <c r="G169" s="268"/>
      <c r="H169" s="33"/>
      <c r="I169" s="33"/>
      <c r="J169" s="33"/>
      <c r="K169" s="269"/>
      <c r="L169" s="205"/>
      <c r="M169" s="170"/>
      <c r="N169" s="170"/>
      <c r="O169" s="170"/>
      <c r="P169" s="271"/>
    </row>
    <row r="170" spans="7:16" x14ac:dyDescent="0.25">
      <c r="G170" s="268"/>
      <c r="H170" s="33"/>
      <c r="I170" s="33"/>
      <c r="J170" s="33"/>
      <c r="K170" s="269"/>
      <c r="L170" s="205"/>
      <c r="M170" s="170"/>
      <c r="N170" s="170"/>
      <c r="O170" s="170"/>
      <c r="P170" s="271"/>
    </row>
    <row r="171" spans="7:16" x14ac:dyDescent="0.25">
      <c r="G171" s="268"/>
      <c r="H171" s="33"/>
      <c r="I171" s="33"/>
      <c r="J171" s="33"/>
      <c r="K171" s="269"/>
      <c r="L171" s="205"/>
      <c r="M171" s="170"/>
      <c r="N171" s="170"/>
      <c r="O171" s="170"/>
      <c r="P171" s="271"/>
    </row>
    <row r="172" spans="7:16" x14ac:dyDescent="0.25">
      <c r="G172" s="268"/>
      <c r="H172" s="33"/>
      <c r="I172" s="33"/>
      <c r="J172" s="33"/>
      <c r="K172" s="269"/>
      <c r="L172" s="205"/>
      <c r="M172" s="170"/>
      <c r="N172" s="170"/>
      <c r="O172" s="170"/>
      <c r="P172" s="271"/>
    </row>
    <row r="173" spans="7:16" x14ac:dyDescent="0.25">
      <c r="G173" s="268"/>
      <c r="H173" s="33"/>
      <c r="I173" s="33"/>
      <c r="J173" s="33"/>
      <c r="K173" s="269"/>
      <c r="L173" s="205"/>
      <c r="M173" s="170"/>
      <c r="N173" s="170"/>
      <c r="O173" s="170"/>
      <c r="P173" s="271"/>
    </row>
    <row r="174" spans="7:16" x14ac:dyDescent="0.25">
      <c r="G174" s="268"/>
      <c r="H174" s="33"/>
      <c r="I174" s="33"/>
      <c r="J174" s="33"/>
      <c r="K174" s="269"/>
      <c r="L174" s="205"/>
      <c r="M174" s="170"/>
      <c r="N174" s="170"/>
      <c r="O174" s="170"/>
      <c r="P174" s="271"/>
    </row>
    <row r="175" spans="7:16" x14ac:dyDescent="0.25">
      <c r="G175" s="268"/>
      <c r="H175" s="33"/>
      <c r="I175" s="33"/>
      <c r="J175" s="33"/>
      <c r="K175" s="269"/>
      <c r="L175" s="205"/>
      <c r="M175" s="170"/>
      <c r="N175" s="170"/>
      <c r="O175" s="170"/>
      <c r="P175" s="271"/>
    </row>
    <row r="176" spans="7:16" x14ac:dyDescent="0.25">
      <c r="G176" s="268"/>
      <c r="H176" s="33"/>
      <c r="I176" s="33"/>
      <c r="J176" s="33"/>
      <c r="K176" s="269"/>
      <c r="L176" s="205"/>
      <c r="M176" s="170"/>
      <c r="N176" s="170"/>
      <c r="O176" s="170"/>
      <c r="P176" s="271"/>
    </row>
    <row r="177" spans="7:16" x14ac:dyDescent="0.25">
      <c r="G177" s="268"/>
      <c r="H177" s="33"/>
      <c r="I177" s="33"/>
      <c r="J177" s="33"/>
      <c r="K177" s="269"/>
      <c r="L177" s="205"/>
      <c r="M177" s="170"/>
      <c r="N177" s="170"/>
      <c r="O177" s="170"/>
      <c r="P177" s="271"/>
    </row>
    <row r="178" spans="7:16" x14ac:dyDescent="0.25">
      <c r="G178" s="268"/>
      <c r="H178" s="33"/>
      <c r="I178" s="33"/>
      <c r="J178" s="33"/>
      <c r="K178" s="269"/>
      <c r="L178" s="205"/>
      <c r="M178" s="170"/>
      <c r="N178" s="170"/>
      <c r="O178" s="170"/>
      <c r="P178" s="271"/>
    </row>
    <row r="179" spans="7:16" x14ac:dyDescent="0.25">
      <c r="G179" s="268"/>
      <c r="H179" s="33"/>
      <c r="I179" s="33"/>
      <c r="J179" s="33"/>
      <c r="K179" s="269"/>
      <c r="L179" s="205"/>
      <c r="M179" s="170"/>
      <c r="N179" s="170"/>
      <c r="O179" s="170"/>
      <c r="P179" s="271"/>
    </row>
    <row r="180" spans="7:16" x14ac:dyDescent="0.25">
      <c r="G180" s="268"/>
      <c r="H180" s="33"/>
      <c r="I180" s="33"/>
      <c r="J180" s="33"/>
      <c r="K180" s="269"/>
      <c r="L180" s="205"/>
      <c r="M180" s="170"/>
      <c r="N180" s="170"/>
      <c r="O180" s="170"/>
      <c r="P180" s="271"/>
    </row>
    <row r="181" spans="7:16" x14ac:dyDescent="0.25">
      <c r="G181" s="268"/>
      <c r="H181" s="33"/>
      <c r="I181" s="33"/>
      <c r="J181" s="33"/>
      <c r="K181" s="269"/>
      <c r="L181" s="205"/>
      <c r="M181" s="170"/>
      <c r="N181" s="170"/>
      <c r="O181" s="170"/>
      <c r="P181" s="271"/>
    </row>
    <row r="182" spans="7:16" x14ac:dyDescent="0.25">
      <c r="G182" s="268"/>
      <c r="H182" s="33"/>
      <c r="I182" s="33"/>
      <c r="J182" s="33"/>
      <c r="K182" s="269"/>
      <c r="L182" s="205"/>
      <c r="M182" s="170"/>
      <c r="N182" s="170"/>
      <c r="O182" s="170"/>
      <c r="P182" s="271"/>
    </row>
    <row r="183" spans="7:16" x14ac:dyDescent="0.25">
      <c r="G183" s="268"/>
      <c r="H183" s="33"/>
      <c r="I183" s="33"/>
      <c r="J183" s="33"/>
      <c r="K183" s="269"/>
      <c r="L183" s="205"/>
      <c r="M183" s="170"/>
      <c r="N183" s="170"/>
      <c r="O183" s="170"/>
      <c r="P183" s="271"/>
    </row>
    <row r="184" spans="7:16" x14ac:dyDescent="0.25">
      <c r="G184" s="268"/>
      <c r="H184" s="33"/>
      <c r="I184" s="33"/>
      <c r="J184" s="33"/>
      <c r="K184" s="269"/>
      <c r="L184" s="205"/>
      <c r="M184" s="170"/>
      <c r="N184" s="170"/>
      <c r="O184" s="170"/>
      <c r="P184" s="271"/>
    </row>
    <row r="185" spans="7:16" x14ac:dyDescent="0.25">
      <c r="G185" s="268"/>
      <c r="H185" s="33"/>
      <c r="I185" s="33"/>
      <c r="J185" s="33"/>
      <c r="K185" s="269"/>
      <c r="L185" s="205"/>
      <c r="M185" s="170"/>
      <c r="N185" s="170"/>
      <c r="O185" s="170"/>
      <c r="P185" s="271"/>
    </row>
    <row r="186" spans="7:16" x14ac:dyDescent="0.25">
      <c r="G186" s="268"/>
      <c r="H186" s="33"/>
      <c r="I186" s="33"/>
      <c r="J186" s="33"/>
      <c r="K186" s="269"/>
      <c r="L186" s="205"/>
      <c r="M186" s="170"/>
      <c r="N186" s="170"/>
      <c r="O186" s="170"/>
      <c r="P186" s="271"/>
    </row>
    <row r="187" spans="7:16" x14ac:dyDescent="0.25">
      <c r="G187" s="268"/>
      <c r="H187" s="33"/>
      <c r="I187" s="33"/>
      <c r="J187" s="33"/>
      <c r="K187" s="269"/>
      <c r="L187" s="205"/>
      <c r="M187" s="170"/>
      <c r="N187" s="170"/>
      <c r="O187" s="170"/>
      <c r="P187" s="271"/>
    </row>
    <row r="188" spans="7:16" x14ac:dyDescent="0.25">
      <c r="G188" s="268"/>
      <c r="H188" s="33"/>
      <c r="I188" s="33"/>
      <c r="J188" s="33"/>
      <c r="K188" s="269"/>
      <c r="L188" s="205"/>
      <c r="M188" s="170"/>
      <c r="N188" s="170"/>
      <c r="O188" s="170"/>
      <c r="P188" s="271"/>
    </row>
    <row r="189" spans="7:16" x14ac:dyDescent="0.25">
      <c r="G189" s="268"/>
      <c r="H189" s="33"/>
      <c r="I189" s="33"/>
      <c r="J189" s="33"/>
      <c r="K189" s="269"/>
      <c r="L189" s="205"/>
      <c r="M189" s="170"/>
      <c r="N189" s="170"/>
      <c r="O189" s="170"/>
      <c r="P189" s="271"/>
    </row>
    <row r="190" spans="7:16" x14ac:dyDescent="0.25">
      <c r="G190" s="268"/>
      <c r="H190" s="33"/>
      <c r="I190" s="33"/>
      <c r="J190" s="33"/>
      <c r="K190" s="269"/>
      <c r="L190" s="205"/>
      <c r="M190" s="170"/>
      <c r="N190" s="170"/>
      <c r="O190" s="170"/>
      <c r="P190" s="271"/>
    </row>
    <row r="191" spans="7:16" x14ac:dyDescent="0.25">
      <c r="G191" s="268"/>
      <c r="H191" s="33"/>
      <c r="I191" s="33"/>
      <c r="J191" s="33"/>
      <c r="K191" s="269"/>
      <c r="L191" s="205"/>
      <c r="M191" s="170"/>
      <c r="N191" s="170"/>
      <c r="O191" s="170"/>
      <c r="P191" s="271"/>
    </row>
    <row r="192" spans="7:16" x14ac:dyDescent="0.25">
      <c r="G192" s="268"/>
      <c r="H192" s="33"/>
      <c r="I192" s="33"/>
      <c r="J192" s="33"/>
      <c r="K192" s="269"/>
      <c r="L192" s="205"/>
      <c r="M192" s="170"/>
      <c r="N192" s="170"/>
      <c r="O192" s="170"/>
      <c r="P192" s="271"/>
    </row>
    <row r="193" spans="7:16" x14ac:dyDescent="0.25">
      <c r="G193" s="268"/>
      <c r="H193" s="33"/>
      <c r="I193" s="33"/>
      <c r="J193" s="33"/>
      <c r="K193" s="269"/>
      <c r="L193" s="205"/>
      <c r="M193" s="170"/>
      <c r="N193" s="170"/>
      <c r="O193" s="170"/>
      <c r="P193" s="271"/>
    </row>
    <row r="194" spans="7:16" x14ac:dyDescent="0.25">
      <c r="G194" s="268"/>
      <c r="H194" s="33"/>
      <c r="I194" s="33"/>
      <c r="J194" s="33"/>
      <c r="K194" s="269"/>
      <c r="L194" s="205"/>
      <c r="M194" s="170"/>
      <c r="N194" s="170"/>
      <c r="O194" s="170"/>
      <c r="P194" s="271"/>
    </row>
    <row r="195" spans="7:16" x14ac:dyDescent="0.25">
      <c r="G195" s="268"/>
      <c r="H195" s="33"/>
      <c r="I195" s="33"/>
      <c r="J195" s="33"/>
      <c r="K195" s="269"/>
      <c r="L195" s="205"/>
      <c r="M195" s="170"/>
      <c r="N195" s="170"/>
      <c r="O195" s="170"/>
      <c r="P195" s="271"/>
    </row>
    <row r="196" spans="7:16" x14ac:dyDescent="0.25">
      <c r="G196" s="268"/>
      <c r="H196" s="33"/>
      <c r="I196" s="33"/>
      <c r="J196" s="33"/>
      <c r="K196" s="269"/>
      <c r="L196" s="205"/>
      <c r="M196" s="170"/>
      <c r="N196" s="170"/>
      <c r="O196" s="170"/>
      <c r="P196" s="271"/>
    </row>
  </sheetData>
  <mergeCells count="5">
    <mergeCell ref="B1:E1"/>
    <mergeCell ref="G1:J1"/>
    <mergeCell ref="L1:O1"/>
    <mergeCell ref="Q1:T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loss statement</vt:lpstr>
      <vt:lpstr>investment</vt:lpstr>
      <vt:lpstr>incom statemnt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Darbin</dc:creator>
  <cp:lastModifiedBy>Darbin</cp:lastModifiedBy>
  <dcterms:created xsi:type="dcterms:W3CDTF">2016-02-14T03:26:53Z</dcterms:created>
  <dcterms:modified xsi:type="dcterms:W3CDTF">2016-02-16T02:10:53Z</dcterms:modified>
</cp:coreProperties>
</file>