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workspace\unique_seed_data\unique_seed_business_plan_2075-76\template\"/>
    </mc:Choice>
  </mc:AlternateContent>
  <bookViews>
    <workbookView xWindow="0" yWindow="0" windowWidth="23040" windowHeight="9192" tabRatio="740" firstSheet="1" activeTab="1"/>
  </bookViews>
  <sheets>
    <sheet name="projected_production" sheetId="1" r:id="rId1"/>
    <sheet name="projected_pl" sheetId="5" r:id="rId2"/>
    <sheet name="projected_fa" sheetId="10" r:id="rId3"/>
    <sheet name="income_statement" sheetId="6" r:id="rId4"/>
    <sheet name="direct_expenses" sheetId="7" r:id="rId5"/>
    <sheet name="indirect_expenses" sheetId="8" r:id="rId6"/>
    <sheet name="income_summary" sheetId="9" r:id="rId7"/>
    <sheet name="proposed_investment" sheetId="4" r:id="rId8"/>
    <sheet name="investment" sheetId="2" r:id="rId9"/>
  </sheets>
  <calcPr calcId="162913"/>
</workbook>
</file>

<file path=xl/calcChain.xml><?xml version="1.0" encoding="utf-8"?>
<calcChain xmlns="http://schemas.openxmlformats.org/spreadsheetml/2006/main">
  <c r="C19" i="5" l="1"/>
  <c r="D19" i="5"/>
  <c r="E19" i="5"/>
  <c r="F19" i="5"/>
  <c r="B19" i="5"/>
  <c r="C18" i="5"/>
  <c r="D18" i="5"/>
  <c r="E18" i="5"/>
  <c r="F18" i="5"/>
  <c r="B18" i="5"/>
  <c r="C16" i="5"/>
  <c r="D16" i="5"/>
  <c r="E16" i="5"/>
  <c r="F16" i="5"/>
  <c r="B16" i="5"/>
  <c r="C14" i="5"/>
  <c r="D14" i="5"/>
  <c r="E14" i="5"/>
  <c r="F14" i="5"/>
  <c r="F13" i="5"/>
  <c r="E13" i="5"/>
  <c r="D13" i="5"/>
  <c r="C13" i="5"/>
  <c r="R31" i="10"/>
  <c r="S31" i="10" s="1"/>
  <c r="R30" i="10"/>
  <c r="S30" i="10" s="1"/>
  <c r="R29" i="10"/>
  <c r="S29" i="10" s="1"/>
  <c r="R28" i="10"/>
  <c r="S28" i="10" s="1"/>
  <c r="R27" i="10"/>
  <c r="S27" i="10" s="1"/>
  <c r="R26" i="10"/>
  <c r="S26" i="10" s="1"/>
  <c r="R25" i="10"/>
  <c r="S25" i="10" s="1"/>
  <c r="R24" i="10"/>
  <c r="S24" i="10" s="1"/>
  <c r="R23" i="10"/>
  <c r="S23" i="10" s="1"/>
  <c r="R22" i="10"/>
  <c r="S22" i="10" s="1"/>
  <c r="R21" i="10"/>
  <c r="S21" i="10" s="1"/>
  <c r="R19" i="10"/>
  <c r="S19" i="10" s="1"/>
  <c r="R18" i="10"/>
  <c r="S18" i="10" s="1"/>
  <c r="R17" i="10"/>
  <c r="S17" i="10" s="1"/>
  <c r="R15" i="10"/>
  <c r="S15" i="10" s="1"/>
  <c r="R14" i="10"/>
  <c r="S14" i="10" s="1"/>
  <c r="R13" i="10"/>
  <c r="S13" i="10" s="1"/>
  <c r="R12" i="10"/>
  <c r="S12" i="10" s="1"/>
  <c r="R11" i="10"/>
  <c r="S11" i="10" s="1"/>
  <c r="R10" i="10"/>
  <c r="S10" i="10" s="1"/>
  <c r="R9" i="10"/>
  <c r="S9" i="10" s="1"/>
  <c r="R7" i="10"/>
  <c r="S7" i="10" s="1"/>
  <c r="R6" i="10"/>
  <c r="S6" i="10" s="1"/>
  <c r="R5" i="10"/>
  <c r="S5" i="10" s="1"/>
  <c r="P31" i="10"/>
  <c r="Q31" i="10" s="1"/>
  <c r="P30" i="10"/>
  <c r="Q30" i="10" s="1"/>
  <c r="Q29" i="10"/>
  <c r="P29" i="10"/>
  <c r="P28" i="10"/>
  <c r="Q28" i="10" s="1"/>
  <c r="P27" i="10"/>
  <c r="Q27" i="10" s="1"/>
  <c r="P26" i="10"/>
  <c r="Q26" i="10" s="1"/>
  <c r="Q25" i="10"/>
  <c r="P25" i="10"/>
  <c r="P24" i="10"/>
  <c r="Q24" i="10" s="1"/>
  <c r="P23" i="10"/>
  <c r="Q23" i="10" s="1"/>
  <c r="P22" i="10"/>
  <c r="Q22" i="10" s="1"/>
  <c r="Q21" i="10"/>
  <c r="P21" i="10"/>
  <c r="P19" i="10"/>
  <c r="Q19" i="10" s="1"/>
  <c r="P18" i="10"/>
  <c r="Q18" i="10" s="1"/>
  <c r="P17" i="10"/>
  <c r="Q17" i="10" s="1"/>
  <c r="Q15" i="10"/>
  <c r="P15" i="10"/>
  <c r="P14" i="10"/>
  <c r="Q14" i="10" s="1"/>
  <c r="P13" i="10"/>
  <c r="Q13" i="10" s="1"/>
  <c r="P12" i="10"/>
  <c r="Q12" i="10" s="1"/>
  <c r="Q11" i="10"/>
  <c r="P11" i="10"/>
  <c r="P10" i="10"/>
  <c r="Q10" i="10" s="1"/>
  <c r="P9" i="10"/>
  <c r="Q9" i="10" s="1"/>
  <c r="P7" i="10"/>
  <c r="Q7" i="10" s="1"/>
  <c r="Q6" i="10"/>
  <c r="P6" i="10"/>
  <c r="P5" i="10"/>
  <c r="Q5" i="10" s="1"/>
  <c r="Q32" i="10" s="1"/>
  <c r="N31" i="10"/>
  <c r="O31" i="10" s="1"/>
  <c r="N30" i="10"/>
  <c r="O30" i="10" s="1"/>
  <c r="N29" i="10"/>
  <c r="O29" i="10" s="1"/>
  <c r="O28" i="10"/>
  <c r="N28" i="10"/>
  <c r="N27" i="10"/>
  <c r="O27" i="10" s="1"/>
  <c r="N26" i="10"/>
  <c r="O26" i="10" s="1"/>
  <c r="N25" i="10"/>
  <c r="O25" i="10" s="1"/>
  <c r="O24" i="10"/>
  <c r="N24" i="10"/>
  <c r="N23" i="10"/>
  <c r="O23" i="10" s="1"/>
  <c r="N22" i="10"/>
  <c r="O22" i="10" s="1"/>
  <c r="N21" i="10"/>
  <c r="O21" i="10" s="1"/>
  <c r="O19" i="10"/>
  <c r="N19" i="10"/>
  <c r="N18" i="10"/>
  <c r="O18" i="10" s="1"/>
  <c r="N17" i="10"/>
  <c r="O17" i="10" s="1"/>
  <c r="N15" i="10"/>
  <c r="O15" i="10" s="1"/>
  <c r="O14" i="10"/>
  <c r="N14" i="10"/>
  <c r="N13" i="10"/>
  <c r="O13" i="10" s="1"/>
  <c r="N12" i="10"/>
  <c r="O12" i="10" s="1"/>
  <c r="N11" i="10"/>
  <c r="O11" i="10" s="1"/>
  <c r="O10" i="10"/>
  <c r="N10" i="10"/>
  <c r="N9" i="10"/>
  <c r="O9" i="10" s="1"/>
  <c r="N7" i="10"/>
  <c r="O7" i="10" s="1"/>
  <c r="N6" i="10"/>
  <c r="O6" i="10" s="1"/>
  <c r="O5" i="10"/>
  <c r="N5" i="10"/>
  <c r="N32" i="10" s="1"/>
  <c r="L9" i="10"/>
  <c r="L10" i="10"/>
  <c r="L11" i="10"/>
  <c r="L12" i="10"/>
  <c r="L13" i="10"/>
  <c r="L14" i="10"/>
  <c r="M14" i="10" s="1"/>
  <c r="L15" i="10"/>
  <c r="M15" i="10" s="1"/>
  <c r="L17" i="10"/>
  <c r="L18" i="10"/>
  <c r="L19" i="10"/>
  <c r="L21" i="10"/>
  <c r="L22" i="10"/>
  <c r="M22" i="10" s="1"/>
  <c r="L23" i="10"/>
  <c r="M23" i="10" s="1"/>
  <c r="L24" i="10"/>
  <c r="L25" i="10"/>
  <c r="L26" i="10"/>
  <c r="L27" i="10"/>
  <c r="L28" i="10"/>
  <c r="L29" i="10"/>
  <c r="L30" i="10"/>
  <c r="M30" i="10" s="1"/>
  <c r="L31" i="10"/>
  <c r="M31" i="10" s="1"/>
  <c r="L6" i="10"/>
  <c r="M6" i="10" s="1"/>
  <c r="L7" i="10"/>
  <c r="L5" i="10"/>
  <c r="M7" i="10"/>
  <c r="M9" i="10"/>
  <c r="M10" i="10"/>
  <c r="M11" i="10"/>
  <c r="M12" i="10"/>
  <c r="M13" i="10"/>
  <c r="M17" i="10"/>
  <c r="M18" i="10"/>
  <c r="M19" i="10"/>
  <c r="M21" i="10"/>
  <c r="M24" i="10"/>
  <c r="M25" i="10"/>
  <c r="M26" i="10"/>
  <c r="M27" i="10"/>
  <c r="M28" i="10"/>
  <c r="M29" i="10"/>
  <c r="C12" i="5"/>
  <c r="D12" i="5"/>
  <c r="E12" i="5"/>
  <c r="F12" i="5"/>
  <c r="B12" i="5"/>
  <c r="H32" i="10"/>
  <c r="D32" i="10"/>
  <c r="J31" i="10"/>
  <c r="I31" i="10"/>
  <c r="J30" i="10"/>
  <c r="I30" i="10"/>
  <c r="J29" i="10"/>
  <c r="I29" i="10"/>
  <c r="K29" i="10" s="1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19" i="10"/>
  <c r="I19" i="10"/>
  <c r="J18" i="10"/>
  <c r="I18" i="10"/>
  <c r="J17" i="10"/>
  <c r="I17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7" i="10"/>
  <c r="I7" i="10"/>
  <c r="G6" i="10"/>
  <c r="F6" i="10"/>
  <c r="F32" i="10" s="1"/>
  <c r="E6" i="10"/>
  <c r="J5" i="10"/>
  <c r="I5" i="10"/>
  <c r="S32" i="10" l="1"/>
  <c r="R32" i="10"/>
  <c r="P32" i="10"/>
  <c r="O32" i="10"/>
  <c r="L32" i="10"/>
  <c r="M5" i="10"/>
  <c r="J6" i="10"/>
  <c r="J32" i="10" s="1"/>
  <c r="B13" i="5" s="1"/>
  <c r="B14" i="5" s="1"/>
  <c r="K10" i="10"/>
  <c r="K28" i="10"/>
  <c r="K22" i="10"/>
  <c r="K18" i="10"/>
  <c r="K9" i="10"/>
  <c r="K14" i="10"/>
  <c r="K19" i="10"/>
  <c r="K24" i="10"/>
  <c r="K5" i="10"/>
  <c r="K13" i="10"/>
  <c r="K26" i="10"/>
  <c r="K30" i="10"/>
  <c r="I6" i="10"/>
  <c r="I32" i="10" s="1"/>
  <c r="K11" i="10"/>
  <c r="K27" i="10"/>
  <c r="K7" i="10"/>
  <c r="K15" i="10"/>
  <c r="K31" i="10"/>
  <c r="K23" i="10"/>
  <c r="K12" i="10"/>
  <c r="K21" i="10"/>
  <c r="K17" i="10"/>
  <c r="K25" i="10"/>
  <c r="E32" i="10"/>
  <c r="G32" i="10"/>
  <c r="F10" i="5"/>
  <c r="E10" i="5"/>
  <c r="D10" i="5"/>
  <c r="C10" i="5"/>
  <c r="B10" i="5"/>
  <c r="B6" i="5"/>
  <c r="F5" i="5"/>
  <c r="F6" i="5" s="1"/>
  <c r="E5" i="5"/>
  <c r="D5" i="5"/>
  <c r="C5" i="5"/>
  <c r="B5" i="5"/>
  <c r="F4" i="5"/>
  <c r="E4" i="5"/>
  <c r="E6" i="5" s="1"/>
  <c r="D4" i="5"/>
  <c r="D6" i="5" s="1"/>
  <c r="C4" i="5"/>
  <c r="C6" i="5" s="1"/>
  <c r="B4" i="5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C25" i="8"/>
  <c r="D25" i="8"/>
  <c r="D26" i="8" s="1"/>
  <c r="E25" i="8"/>
  <c r="F25" i="8"/>
  <c r="G25" i="8"/>
  <c r="G26" i="8" s="1"/>
  <c r="H25" i="8"/>
  <c r="I25" i="8"/>
  <c r="I26" i="8" s="1"/>
  <c r="J25" i="8"/>
  <c r="J26" i="8" s="1"/>
  <c r="K25" i="8"/>
  <c r="K26" i="8" s="1"/>
  <c r="L25" i="8"/>
  <c r="M25" i="8"/>
  <c r="N25" i="8"/>
  <c r="O25" i="8"/>
  <c r="O26" i="8" s="1"/>
  <c r="P25" i="8"/>
  <c r="Q25" i="8"/>
  <c r="Q26" i="8" s="1"/>
  <c r="R25" i="8"/>
  <c r="R26" i="8" s="1"/>
  <c r="S25" i="8"/>
  <c r="S26" i="8" s="1"/>
  <c r="T25" i="8"/>
  <c r="T26" i="8" s="1"/>
  <c r="U25" i="8"/>
  <c r="V25" i="8"/>
  <c r="W25" i="8"/>
  <c r="W26" i="8" s="1"/>
  <c r="X25" i="8"/>
  <c r="X26" i="8" s="1"/>
  <c r="Y25" i="8"/>
  <c r="Y26" i="8" s="1"/>
  <c r="Z25" i="8"/>
  <c r="C24" i="8"/>
  <c r="C27" i="8" s="1"/>
  <c r="D24" i="8"/>
  <c r="D27" i="8" s="1"/>
  <c r="E24" i="8"/>
  <c r="E27" i="8" s="1"/>
  <c r="F24" i="8"/>
  <c r="F27" i="8" s="1"/>
  <c r="G24" i="8"/>
  <c r="H24" i="8"/>
  <c r="I24" i="8"/>
  <c r="I27" i="8" s="1"/>
  <c r="J24" i="8"/>
  <c r="K24" i="8"/>
  <c r="L24" i="8"/>
  <c r="M24" i="8"/>
  <c r="M27" i="8" s="1"/>
  <c r="N24" i="8"/>
  <c r="N27" i="8" s="1"/>
  <c r="N31" i="8" s="1"/>
  <c r="O24" i="8"/>
  <c r="O27" i="8" s="1"/>
  <c r="P24" i="8"/>
  <c r="P27" i="8" s="1"/>
  <c r="P31" i="8" s="1"/>
  <c r="Q24" i="8"/>
  <c r="R24" i="8"/>
  <c r="S24" i="8"/>
  <c r="T24" i="8"/>
  <c r="U24" i="8"/>
  <c r="U27" i="8" s="1"/>
  <c r="U31" i="8" s="1"/>
  <c r="V24" i="8"/>
  <c r="V27" i="8" s="1"/>
  <c r="V31" i="8" s="1"/>
  <c r="W24" i="8"/>
  <c r="W27" i="8" s="1"/>
  <c r="X24" i="8"/>
  <c r="X27" i="8" s="1"/>
  <c r="X31" i="8" s="1"/>
  <c r="Y24" i="8"/>
  <c r="Z24" i="8"/>
  <c r="B28" i="8"/>
  <c r="B25" i="8"/>
  <c r="B24" i="8"/>
  <c r="J30" i="8"/>
  <c r="O30" i="8" s="1"/>
  <c r="T30" i="8" s="1"/>
  <c r="Y30" i="8" s="1"/>
  <c r="I30" i="8"/>
  <c r="N30" i="8" s="1"/>
  <c r="S30" i="8" s="1"/>
  <c r="X30" i="8" s="1"/>
  <c r="H30" i="8"/>
  <c r="M30" i="8" s="1"/>
  <c r="R30" i="8" s="1"/>
  <c r="W30" i="8" s="1"/>
  <c r="G30" i="8"/>
  <c r="K30" i="8" s="1"/>
  <c r="F30" i="8"/>
  <c r="Z29" i="8"/>
  <c r="U29" i="8"/>
  <c r="P29" i="8"/>
  <c r="K29" i="8"/>
  <c r="F29" i="8"/>
  <c r="C26" i="8"/>
  <c r="Z26" i="8"/>
  <c r="V26" i="8"/>
  <c r="U26" i="8"/>
  <c r="P26" i="8"/>
  <c r="N26" i="8"/>
  <c r="M26" i="8"/>
  <c r="M31" i="8" s="1"/>
  <c r="L26" i="8"/>
  <c r="H26" i="8"/>
  <c r="E26" i="8"/>
  <c r="E22" i="8"/>
  <c r="C22" i="8"/>
  <c r="B22" i="8"/>
  <c r="Z21" i="8"/>
  <c r="U21" i="8"/>
  <c r="P21" i="8"/>
  <c r="K21" i="8"/>
  <c r="F21" i="8"/>
  <c r="Z20" i="8"/>
  <c r="U20" i="8"/>
  <c r="P20" i="8"/>
  <c r="K20" i="8"/>
  <c r="F20" i="8"/>
  <c r="Z19" i="8"/>
  <c r="U19" i="8"/>
  <c r="P19" i="8"/>
  <c r="K19" i="8"/>
  <c r="F19" i="8"/>
  <c r="Z18" i="8"/>
  <c r="U18" i="8"/>
  <c r="O18" i="8"/>
  <c r="P18" i="8" s="1"/>
  <c r="K18" i="8"/>
  <c r="F18" i="8"/>
  <c r="Z17" i="8"/>
  <c r="U17" i="8"/>
  <c r="P17" i="8"/>
  <c r="K17" i="8"/>
  <c r="F17" i="8"/>
  <c r="Z16" i="8"/>
  <c r="U16" i="8"/>
  <c r="P16" i="8"/>
  <c r="K16" i="8"/>
  <c r="F16" i="8"/>
  <c r="Z15" i="8"/>
  <c r="U15" i="8"/>
  <c r="P15" i="8"/>
  <c r="K15" i="8"/>
  <c r="F15" i="8"/>
  <c r="Z14" i="8"/>
  <c r="U14" i="8"/>
  <c r="P14" i="8"/>
  <c r="K14" i="8"/>
  <c r="F14" i="8"/>
  <c r="Z13" i="8"/>
  <c r="U13" i="8"/>
  <c r="P13" i="8"/>
  <c r="K13" i="8"/>
  <c r="F13" i="8"/>
  <c r="Z12" i="8"/>
  <c r="U12" i="8"/>
  <c r="P12" i="8"/>
  <c r="H12" i="8"/>
  <c r="F12" i="8"/>
  <c r="Z11" i="8"/>
  <c r="U11" i="8"/>
  <c r="P11" i="8"/>
  <c r="H11" i="8"/>
  <c r="I11" i="8" s="1"/>
  <c r="K11" i="8" s="1"/>
  <c r="F11" i="8"/>
  <c r="G10" i="8"/>
  <c r="L10" i="8" s="1"/>
  <c r="F10" i="8"/>
  <c r="T9" i="8"/>
  <c r="Y9" i="8" s="1"/>
  <c r="M9" i="8"/>
  <c r="N9" i="8" s="1"/>
  <c r="K9" i="8"/>
  <c r="F9" i="8"/>
  <c r="J8" i="8"/>
  <c r="O8" i="8" s="1"/>
  <c r="T8" i="8" s="1"/>
  <c r="Y8" i="8" s="1"/>
  <c r="D8" i="8"/>
  <c r="G8" i="8" s="1"/>
  <c r="H7" i="8"/>
  <c r="I7" i="8" s="1"/>
  <c r="L7" i="8" s="1"/>
  <c r="F7" i="8"/>
  <c r="O6" i="8"/>
  <c r="T6" i="8" s="1"/>
  <c r="Y6" i="8" s="1"/>
  <c r="H6" i="8"/>
  <c r="O5" i="8"/>
  <c r="T5" i="8" s="1"/>
  <c r="Y5" i="8" s="1"/>
  <c r="I5" i="8"/>
  <c r="L5" i="8" s="1"/>
  <c r="H5" i="8"/>
  <c r="O4" i="8"/>
  <c r="T4" i="8" s="1"/>
  <c r="Y4" i="8" s="1"/>
  <c r="H4" i="8"/>
  <c r="B15" i="7"/>
  <c r="Y13" i="7"/>
  <c r="Z13" i="7" s="1"/>
  <c r="V12" i="7"/>
  <c r="T13" i="7"/>
  <c r="U13" i="7" s="1"/>
  <c r="Z12" i="7" s="1"/>
  <c r="Q12" i="7"/>
  <c r="O13" i="7"/>
  <c r="P13" i="7" s="1"/>
  <c r="L12" i="7"/>
  <c r="J13" i="7"/>
  <c r="K13" i="7" s="1"/>
  <c r="F12" i="7"/>
  <c r="G12" i="7"/>
  <c r="K12" i="7" s="1"/>
  <c r="E13" i="7"/>
  <c r="B12" i="7"/>
  <c r="B14" i="7" s="1"/>
  <c r="B11" i="7"/>
  <c r="Z10" i="7"/>
  <c r="U10" i="7"/>
  <c r="P10" i="7"/>
  <c r="K10" i="7"/>
  <c r="F10" i="7"/>
  <c r="Z9" i="7"/>
  <c r="U9" i="7"/>
  <c r="P9" i="7"/>
  <c r="K9" i="7"/>
  <c r="F9" i="7"/>
  <c r="Z8" i="7"/>
  <c r="U8" i="7"/>
  <c r="P8" i="7"/>
  <c r="K8" i="7"/>
  <c r="F8" i="7"/>
  <c r="Z7" i="7"/>
  <c r="U7" i="7"/>
  <c r="P7" i="7"/>
  <c r="K7" i="7"/>
  <c r="F7" i="7"/>
  <c r="J6" i="7"/>
  <c r="O6" i="7" s="1"/>
  <c r="T6" i="7" s="1"/>
  <c r="Y6" i="7" s="1"/>
  <c r="I6" i="7"/>
  <c r="N6" i="7" s="1"/>
  <c r="S6" i="7" s="1"/>
  <c r="X6" i="7" s="1"/>
  <c r="H6" i="7"/>
  <c r="M6" i="7" s="1"/>
  <c r="R6" i="7" s="1"/>
  <c r="W6" i="7" s="1"/>
  <c r="G6" i="7"/>
  <c r="L6" i="7" s="1"/>
  <c r="F6" i="7"/>
  <c r="J5" i="7"/>
  <c r="O5" i="7" s="1"/>
  <c r="T5" i="7" s="1"/>
  <c r="Y5" i="7" s="1"/>
  <c r="C5" i="7"/>
  <c r="D5" i="7" s="1"/>
  <c r="G5" i="7" s="1"/>
  <c r="J4" i="7"/>
  <c r="O4" i="7" s="1"/>
  <c r="T4" i="7" s="1"/>
  <c r="Y4" i="7" s="1"/>
  <c r="C4" i="7"/>
  <c r="D3" i="7"/>
  <c r="G3" i="7" s="1"/>
  <c r="H3" i="7" s="1"/>
  <c r="C3" i="7"/>
  <c r="E3" i="7" s="1"/>
  <c r="E11" i="7" s="1"/>
  <c r="V26" i="6"/>
  <c r="X28" i="6" s="1"/>
  <c r="Y27" i="6"/>
  <c r="Z27" i="6" s="1"/>
  <c r="Y25" i="6"/>
  <c r="Z25" i="6" s="1"/>
  <c r="W24" i="6"/>
  <c r="Z24" i="6" s="1"/>
  <c r="Y22" i="6"/>
  <c r="V21" i="6"/>
  <c r="V28" i="6" s="1"/>
  <c r="Y20" i="6"/>
  <c r="Z20" i="6" s="1"/>
  <c r="W19" i="6"/>
  <c r="Z19" i="6" s="1"/>
  <c r="T27" i="6"/>
  <c r="U27" i="6" s="1"/>
  <c r="T25" i="6"/>
  <c r="U25" i="6" s="1"/>
  <c r="Q26" i="6"/>
  <c r="S28" i="6" s="1"/>
  <c r="R24" i="6"/>
  <c r="T22" i="6"/>
  <c r="U22" i="6" s="1"/>
  <c r="Q21" i="6"/>
  <c r="Q28" i="6" s="1"/>
  <c r="T20" i="6"/>
  <c r="U20" i="6" s="1"/>
  <c r="R19" i="6"/>
  <c r="R28" i="6" s="1"/>
  <c r="O27" i="6"/>
  <c r="P27" i="6" s="1"/>
  <c r="L26" i="6"/>
  <c r="P26" i="6" s="1"/>
  <c r="O25" i="6"/>
  <c r="M24" i="6"/>
  <c r="P24" i="6" s="1"/>
  <c r="O22" i="6"/>
  <c r="P22" i="6" s="1"/>
  <c r="L21" i="6"/>
  <c r="P21" i="6" s="1"/>
  <c r="O20" i="6"/>
  <c r="P20" i="6" s="1"/>
  <c r="M19" i="6"/>
  <c r="G26" i="6"/>
  <c r="I28" i="6" s="1"/>
  <c r="J27" i="6"/>
  <c r="K27" i="6" s="1"/>
  <c r="J25" i="6"/>
  <c r="K25" i="6" s="1"/>
  <c r="H24" i="6"/>
  <c r="K24" i="6" s="1"/>
  <c r="J22" i="6"/>
  <c r="E27" i="6"/>
  <c r="F27" i="6" s="1"/>
  <c r="K22" i="6"/>
  <c r="G21" i="6"/>
  <c r="K21" i="6" s="1"/>
  <c r="J20" i="6"/>
  <c r="H19" i="6"/>
  <c r="B26" i="6"/>
  <c r="F26" i="6"/>
  <c r="E25" i="6"/>
  <c r="F25" i="6"/>
  <c r="C24" i="6"/>
  <c r="F24" i="6"/>
  <c r="E22" i="6"/>
  <c r="B21" i="6"/>
  <c r="F21" i="6" s="1"/>
  <c r="E20" i="6"/>
  <c r="F20" i="6" s="1"/>
  <c r="C19" i="6"/>
  <c r="W15" i="6"/>
  <c r="Z15" i="6" s="1"/>
  <c r="X14" i="6"/>
  <c r="Z14" i="6" s="1"/>
  <c r="W13" i="6"/>
  <c r="Z13" i="6" s="1"/>
  <c r="Y12" i="6"/>
  <c r="Z12" i="6" s="1"/>
  <c r="R15" i="6"/>
  <c r="U15" i="6" s="1"/>
  <c r="S14" i="6"/>
  <c r="S16" i="6" s="1"/>
  <c r="R13" i="6"/>
  <c r="U13" i="6" s="1"/>
  <c r="T12" i="6"/>
  <c r="U12" i="6" s="1"/>
  <c r="M15" i="6"/>
  <c r="P15" i="6" s="1"/>
  <c r="N14" i="6"/>
  <c r="P14" i="6" s="1"/>
  <c r="M13" i="6"/>
  <c r="O12" i="6"/>
  <c r="O16" i="6" s="1"/>
  <c r="H15" i="6"/>
  <c r="K15" i="6" s="1"/>
  <c r="I14" i="6"/>
  <c r="K14" i="6" s="1"/>
  <c r="H13" i="6"/>
  <c r="K13" i="6" s="1"/>
  <c r="J12" i="6"/>
  <c r="K12" i="6" s="1"/>
  <c r="C15" i="6"/>
  <c r="F15" i="6"/>
  <c r="D14" i="6"/>
  <c r="F14" i="6" s="1"/>
  <c r="C13" i="6"/>
  <c r="F13" i="6" s="1"/>
  <c r="E12" i="6"/>
  <c r="E16" i="6" s="1"/>
  <c r="W10" i="6"/>
  <c r="Z10" i="6"/>
  <c r="X9" i="6"/>
  <c r="Z9" i="6" s="1"/>
  <c r="W8" i="6"/>
  <c r="Z8" i="6" s="1"/>
  <c r="Y7" i="6"/>
  <c r="Z7" i="6" s="1"/>
  <c r="R10" i="6"/>
  <c r="U10" i="6" s="1"/>
  <c r="S9" i="6"/>
  <c r="R8" i="6"/>
  <c r="U8" i="6" s="1"/>
  <c r="T7" i="6"/>
  <c r="P7" i="6"/>
  <c r="M10" i="6"/>
  <c r="P10" i="6" s="1"/>
  <c r="N9" i="6"/>
  <c r="N16" i="6" s="1"/>
  <c r="M8" i="6"/>
  <c r="O7" i="6"/>
  <c r="K10" i="6"/>
  <c r="H10" i="6"/>
  <c r="I9" i="6"/>
  <c r="K9" i="6" s="1"/>
  <c r="J7" i="6"/>
  <c r="H8" i="6"/>
  <c r="E7" i="6"/>
  <c r="F7" i="6" s="1"/>
  <c r="C10" i="6"/>
  <c r="F10" i="6" s="1"/>
  <c r="B16" i="6"/>
  <c r="D9" i="6"/>
  <c r="F9" i="6" s="1"/>
  <c r="C8" i="6"/>
  <c r="F8" i="6" s="1"/>
  <c r="P25" i="6"/>
  <c r="U24" i="6"/>
  <c r="F22" i="6"/>
  <c r="U19" i="6"/>
  <c r="K19" i="6"/>
  <c r="F19" i="6"/>
  <c r="V16" i="6"/>
  <c r="Q16" i="6"/>
  <c r="L16" i="6"/>
  <c r="I16" i="6"/>
  <c r="G16" i="6"/>
  <c r="P13" i="6"/>
  <c r="P12" i="6"/>
  <c r="F12" i="6"/>
  <c r="U9" i="6"/>
  <c r="P9" i="6"/>
  <c r="M32" i="10" l="1"/>
  <c r="K6" i="10"/>
  <c r="K32" i="10" s="1"/>
  <c r="G31" i="8"/>
  <c r="L31" i="8"/>
  <c r="S31" i="8"/>
  <c r="Y27" i="8"/>
  <c r="Y31" i="8" s="1"/>
  <c r="I31" i="8"/>
  <c r="E14" i="7"/>
  <c r="E15" i="7" s="1"/>
  <c r="E5" i="9" s="1"/>
  <c r="T27" i="8"/>
  <c r="T31" i="8" s="1"/>
  <c r="L27" i="8"/>
  <c r="S27" i="8"/>
  <c r="K27" i="8"/>
  <c r="K31" i="8" s="1"/>
  <c r="W31" i="8"/>
  <c r="O31" i="8"/>
  <c r="Z27" i="8"/>
  <c r="Z31" i="8" s="1"/>
  <c r="R27" i="8"/>
  <c r="R31" i="8" s="1"/>
  <c r="J27" i="8"/>
  <c r="J31" i="8" s="1"/>
  <c r="H27" i="8"/>
  <c r="H31" i="8" s="1"/>
  <c r="G27" i="8"/>
  <c r="Q27" i="8"/>
  <c r="Q31" i="8" s="1"/>
  <c r="D31" i="8"/>
  <c r="D32" i="8" s="1"/>
  <c r="D3" i="9" s="1"/>
  <c r="D4" i="9" s="1"/>
  <c r="C31" i="8"/>
  <c r="C32" i="8" s="1"/>
  <c r="C3" i="9" s="1"/>
  <c r="C4" i="9" s="1"/>
  <c r="L30" i="8"/>
  <c r="Q30" i="8" s="1"/>
  <c r="V30" i="8" s="1"/>
  <c r="Z30" i="8" s="1"/>
  <c r="H10" i="8"/>
  <c r="M10" i="8" s="1"/>
  <c r="R10" i="8" s="1"/>
  <c r="W10" i="8" s="1"/>
  <c r="M7" i="8"/>
  <c r="N7" i="8" s="1"/>
  <c r="G22" i="8"/>
  <c r="G32" i="8" s="1"/>
  <c r="G3" i="9" s="1"/>
  <c r="G4" i="9" s="1"/>
  <c r="H8" i="8"/>
  <c r="I8" i="8" s="1"/>
  <c r="L8" i="8" s="1"/>
  <c r="Q9" i="8"/>
  <c r="P9" i="8"/>
  <c r="M5" i="8"/>
  <c r="N5" i="8" s="1"/>
  <c r="Q5" i="8" s="1"/>
  <c r="P5" i="8"/>
  <c r="Q10" i="8"/>
  <c r="K12" i="8"/>
  <c r="I4" i="8"/>
  <c r="K4" i="8" s="1"/>
  <c r="K7" i="8"/>
  <c r="D22" i="8"/>
  <c r="F22" i="8" s="1"/>
  <c r="F8" i="8"/>
  <c r="B26" i="8"/>
  <c r="F26" i="8" s="1"/>
  <c r="F31" i="8" s="1"/>
  <c r="E31" i="8"/>
  <c r="E32" i="8" s="1"/>
  <c r="E3" i="9" s="1"/>
  <c r="E4" i="9" s="1"/>
  <c r="B27" i="8"/>
  <c r="K5" i="8"/>
  <c r="I12" i="8"/>
  <c r="I6" i="8"/>
  <c r="L6" i="8" s="1"/>
  <c r="U12" i="7"/>
  <c r="P12" i="7"/>
  <c r="F13" i="7"/>
  <c r="F5" i="7"/>
  <c r="H5" i="7"/>
  <c r="I5" i="7" s="1"/>
  <c r="L5" i="7" s="1"/>
  <c r="I3" i="7"/>
  <c r="Q6" i="7"/>
  <c r="P6" i="7"/>
  <c r="C11" i="7"/>
  <c r="C14" i="7" s="1"/>
  <c r="C15" i="7" s="1"/>
  <c r="D4" i="7"/>
  <c r="G4" i="7" s="1"/>
  <c r="G11" i="7" s="1"/>
  <c r="F3" i="7"/>
  <c r="K6" i="7"/>
  <c r="Z26" i="6"/>
  <c r="Y28" i="6"/>
  <c r="Z21" i="6"/>
  <c r="W28" i="6"/>
  <c r="Z22" i="6"/>
  <c r="U26" i="6"/>
  <c r="U21" i="6"/>
  <c r="T28" i="6"/>
  <c r="N28" i="6"/>
  <c r="M28" i="6"/>
  <c r="L28" i="6"/>
  <c r="P19" i="6"/>
  <c r="P28" i="6" s="1"/>
  <c r="O28" i="6"/>
  <c r="H28" i="6"/>
  <c r="K26" i="6"/>
  <c r="K28" i="6" s="1"/>
  <c r="J28" i="6"/>
  <c r="K20" i="6"/>
  <c r="G28" i="6"/>
  <c r="D28" i="6"/>
  <c r="C28" i="6"/>
  <c r="B28" i="6"/>
  <c r="E28" i="6"/>
  <c r="F28" i="6"/>
  <c r="Y16" i="6"/>
  <c r="U14" i="6"/>
  <c r="T16" i="6"/>
  <c r="M16" i="6"/>
  <c r="P16" i="6" s="1"/>
  <c r="J16" i="6"/>
  <c r="X16" i="6"/>
  <c r="W16" i="6"/>
  <c r="R16" i="6"/>
  <c r="U7" i="6"/>
  <c r="P8" i="6"/>
  <c r="H16" i="6"/>
  <c r="K7" i="6"/>
  <c r="K8" i="6"/>
  <c r="D16" i="6"/>
  <c r="C16" i="6"/>
  <c r="F16" i="6"/>
  <c r="J97" i="1"/>
  <c r="J98" i="1"/>
  <c r="G98" i="1"/>
  <c r="H98" i="1"/>
  <c r="I98" i="1"/>
  <c r="F98" i="1"/>
  <c r="C98" i="1"/>
  <c r="D98" i="1"/>
  <c r="E98" i="1"/>
  <c r="B98" i="1"/>
  <c r="I97" i="1"/>
  <c r="I96" i="1"/>
  <c r="I95" i="1"/>
  <c r="I94" i="1"/>
  <c r="I93" i="1"/>
  <c r="G97" i="1"/>
  <c r="F97" i="1"/>
  <c r="C97" i="1"/>
  <c r="B97" i="1"/>
  <c r="E97" i="1"/>
  <c r="E96" i="1"/>
  <c r="E95" i="1"/>
  <c r="E94" i="1"/>
  <c r="E93" i="1"/>
  <c r="D97" i="1"/>
  <c r="Y26" i="1"/>
  <c r="AC24" i="1"/>
  <c r="F79" i="1"/>
  <c r="AC19" i="1"/>
  <c r="AD36" i="1"/>
  <c r="AC36" i="1"/>
  <c r="AA38" i="1"/>
  <c r="AD38" i="1" s="1"/>
  <c r="Y37" i="1"/>
  <c r="Y39" i="1" s="1"/>
  <c r="W38" i="1"/>
  <c r="W39" i="1" s="1"/>
  <c r="U37" i="1"/>
  <c r="S38" i="1"/>
  <c r="Q37" i="1"/>
  <c r="M37" i="1"/>
  <c r="I37" i="1"/>
  <c r="I39" i="1" s="1"/>
  <c r="G38" i="1"/>
  <c r="G39" i="1" s="1"/>
  <c r="S39" i="1"/>
  <c r="P39" i="1"/>
  <c r="O39" i="1"/>
  <c r="L39" i="1"/>
  <c r="J39" i="1"/>
  <c r="H39" i="1"/>
  <c r="V38" i="1"/>
  <c r="V39" i="1" s="1"/>
  <c r="O38" i="1"/>
  <c r="N38" i="1"/>
  <c r="N39" i="1" s="1"/>
  <c r="K38" i="1"/>
  <c r="K39" i="1" s="1"/>
  <c r="Y36" i="1"/>
  <c r="U36" i="1"/>
  <c r="Q36" i="1"/>
  <c r="M36" i="1"/>
  <c r="I36" i="1"/>
  <c r="AB34" i="1"/>
  <c r="Z34" i="1"/>
  <c r="W33" i="1"/>
  <c r="V34" i="1"/>
  <c r="S33" i="1"/>
  <c r="R34" i="1"/>
  <c r="O33" i="1"/>
  <c r="N34" i="1"/>
  <c r="K33" i="1"/>
  <c r="J34" i="1"/>
  <c r="G33" i="1"/>
  <c r="F34" i="1"/>
  <c r="AD30" i="1"/>
  <c r="AB30" i="1"/>
  <c r="AB29" i="1"/>
  <c r="AD28" i="1"/>
  <c r="AC28" i="1"/>
  <c r="AA30" i="1"/>
  <c r="Y29" i="1"/>
  <c r="W30" i="1"/>
  <c r="U29" i="1"/>
  <c r="S30" i="1"/>
  <c r="Q29" i="1"/>
  <c r="O30" i="1"/>
  <c r="M29" i="1"/>
  <c r="I29" i="1"/>
  <c r="AB26" i="1"/>
  <c r="W25" i="1"/>
  <c r="U26" i="1"/>
  <c r="S25" i="1"/>
  <c r="Q26" i="1"/>
  <c r="O25" i="1"/>
  <c r="M26" i="1"/>
  <c r="K25" i="1"/>
  <c r="C5" i="9" l="1"/>
  <c r="B31" i="8"/>
  <c r="B32" i="8" s="1"/>
  <c r="B3" i="9" s="1"/>
  <c r="B4" i="9" s="1"/>
  <c r="B5" i="9" s="1"/>
  <c r="H22" i="8"/>
  <c r="H32" i="8" s="1"/>
  <c r="H3" i="9" s="1"/>
  <c r="H4" i="9" s="1"/>
  <c r="P30" i="8"/>
  <c r="U30" i="8"/>
  <c r="I10" i="8"/>
  <c r="N10" i="8" s="1"/>
  <c r="Q7" i="8"/>
  <c r="O7" i="8"/>
  <c r="P7" i="8"/>
  <c r="F32" i="8"/>
  <c r="F3" i="9" s="1"/>
  <c r="F4" i="9" s="1"/>
  <c r="M8" i="8"/>
  <c r="N8" i="8" s="1"/>
  <c r="Q8" i="8" s="1"/>
  <c r="L4" i="8"/>
  <c r="R9" i="8"/>
  <c r="S9" i="8" s="1"/>
  <c r="V9" i="8" s="1"/>
  <c r="V10" i="8"/>
  <c r="M6" i="8"/>
  <c r="N6" i="8" s="1"/>
  <c r="Q6" i="8" s="1"/>
  <c r="K6" i="8"/>
  <c r="R5" i="8"/>
  <c r="S5" i="8" s="1"/>
  <c r="V5" i="8" s="1"/>
  <c r="K8" i="8"/>
  <c r="G14" i="7"/>
  <c r="G15" i="7" s="1"/>
  <c r="G5" i="9" s="1"/>
  <c r="V6" i="7"/>
  <c r="Z6" i="7" s="1"/>
  <c r="U6" i="7"/>
  <c r="H4" i="7"/>
  <c r="J3" i="7"/>
  <c r="L3" i="7"/>
  <c r="M5" i="7"/>
  <c r="N5" i="7" s="1"/>
  <c r="Q5" i="7" s="1"/>
  <c r="K5" i="7"/>
  <c r="F4" i="7"/>
  <c r="F11" i="7" s="1"/>
  <c r="F14" i="7" s="1"/>
  <c r="F15" i="7" s="1"/>
  <c r="F5" i="9" s="1"/>
  <c r="F7" i="9" s="1"/>
  <c r="F8" i="9" s="1"/>
  <c r="D11" i="7"/>
  <c r="D14" i="7" s="1"/>
  <c r="D15" i="7" s="1"/>
  <c r="D5" i="9" s="1"/>
  <c r="Z28" i="6"/>
  <c r="U28" i="6"/>
  <c r="U16" i="6"/>
  <c r="K16" i="6"/>
  <c r="Z16" i="6"/>
  <c r="AB38" i="1"/>
  <c r="AB37" i="1"/>
  <c r="U39" i="1"/>
  <c r="Q39" i="1"/>
  <c r="M39" i="1"/>
  <c r="I26" i="1"/>
  <c r="AA21" i="1"/>
  <c r="AB21" i="1" s="1"/>
  <c r="AB20" i="1"/>
  <c r="AD19" i="1"/>
  <c r="Y20" i="1"/>
  <c r="S21" i="1"/>
  <c r="S22" i="1" s="1"/>
  <c r="O21" i="1"/>
  <c r="O22" i="1" s="1"/>
  <c r="K21" i="1"/>
  <c r="K22" i="1" s="1"/>
  <c r="G21" i="1"/>
  <c r="G22" i="1" s="1"/>
  <c r="Z22" i="1"/>
  <c r="X22" i="1"/>
  <c r="V22" i="1"/>
  <c r="T22" i="1"/>
  <c r="R22" i="1"/>
  <c r="P22" i="1"/>
  <c r="N22" i="1"/>
  <c r="M22" i="1"/>
  <c r="L22" i="1"/>
  <c r="J22" i="1"/>
  <c r="H22" i="1"/>
  <c r="W21" i="1"/>
  <c r="W22" i="1" s="1"/>
  <c r="Q20" i="1"/>
  <c r="Q22" i="1" s="1"/>
  <c r="M20" i="1"/>
  <c r="I20" i="1"/>
  <c r="I22" i="1" s="1"/>
  <c r="Y19" i="1"/>
  <c r="U19" i="1"/>
  <c r="U20" i="1" s="1"/>
  <c r="U22" i="1" s="1"/>
  <c r="Q19" i="1"/>
  <c r="M19" i="1"/>
  <c r="I19" i="1"/>
  <c r="D22" i="1"/>
  <c r="X17" i="1"/>
  <c r="T17" i="1"/>
  <c r="P17" i="1"/>
  <c r="L17" i="1"/>
  <c r="H17" i="1"/>
  <c r="D17" i="1"/>
  <c r="AB17" i="1" s="1"/>
  <c r="AA13" i="1"/>
  <c r="U9" i="1"/>
  <c r="AD11" i="1"/>
  <c r="I22" i="8" l="1"/>
  <c r="I32" i="8" s="1"/>
  <c r="I3" i="9" s="1"/>
  <c r="I4" i="9" s="1"/>
  <c r="J10" i="8"/>
  <c r="O10" i="8" s="1"/>
  <c r="W5" i="8"/>
  <c r="X5" i="8" s="1"/>
  <c r="W9" i="8"/>
  <c r="X9" i="8" s="1"/>
  <c r="U9" i="8"/>
  <c r="R6" i="8"/>
  <c r="S6" i="8" s="1"/>
  <c r="V6" i="8" s="1"/>
  <c r="R8" i="8"/>
  <c r="S8" i="8" s="1"/>
  <c r="V8" i="8" s="1"/>
  <c r="U8" i="8"/>
  <c r="T7" i="8"/>
  <c r="U7" i="8" s="1"/>
  <c r="R7" i="8"/>
  <c r="S7" i="8" s="1"/>
  <c r="V7" i="8" s="1"/>
  <c r="S10" i="8"/>
  <c r="M4" i="8"/>
  <c r="L22" i="8"/>
  <c r="L32" i="8" s="1"/>
  <c r="L3" i="9" s="1"/>
  <c r="L4" i="9" s="1"/>
  <c r="P6" i="8"/>
  <c r="P8" i="8"/>
  <c r="U5" i="8"/>
  <c r="P5" i="7"/>
  <c r="J11" i="7"/>
  <c r="J14" i="7" s="1"/>
  <c r="J15" i="7" s="1"/>
  <c r="K3" i="7"/>
  <c r="I4" i="7"/>
  <c r="H11" i="7"/>
  <c r="H14" i="7" s="1"/>
  <c r="H15" i="7" s="1"/>
  <c r="H5" i="9" s="1"/>
  <c r="M3" i="7"/>
  <c r="R5" i="7"/>
  <c r="S5" i="7" s="1"/>
  <c r="V5" i="7" s="1"/>
  <c r="AD21" i="1"/>
  <c r="Y22" i="1"/>
  <c r="AD13" i="1"/>
  <c r="Y9" i="1"/>
  <c r="Q9" i="1"/>
  <c r="AA39" i="1"/>
  <c r="Z36" i="1"/>
  <c r="Z37" i="1" s="1"/>
  <c r="Z39" i="1" s="1"/>
  <c r="Y35" i="1"/>
  <c r="X35" i="1"/>
  <c r="AA32" i="1"/>
  <c r="AA31" i="1"/>
  <c r="Z28" i="1"/>
  <c r="Y28" i="1"/>
  <c r="Y31" i="1" s="1"/>
  <c r="Z27" i="1"/>
  <c r="X27" i="1"/>
  <c r="Y25" i="1"/>
  <c r="AA24" i="1"/>
  <c r="AA22" i="1"/>
  <c r="AA18" i="1"/>
  <c r="Y18" i="1"/>
  <c r="X18" i="1"/>
  <c r="Z15" i="1"/>
  <c r="Z16" i="1" s="1"/>
  <c r="AA14" i="1"/>
  <c r="Y11" i="1"/>
  <c r="Y12" i="1" s="1"/>
  <c r="Z10" i="1"/>
  <c r="X10" i="1"/>
  <c r="AA7" i="1"/>
  <c r="AA8" i="1" s="1"/>
  <c r="AB23" i="1"/>
  <c r="T10" i="8" l="1"/>
  <c r="Y10" i="8" s="1"/>
  <c r="O22" i="8"/>
  <c r="O32" i="8" s="1"/>
  <c r="O3" i="9" s="1"/>
  <c r="O4" i="9" s="1"/>
  <c r="J22" i="8"/>
  <c r="J32" i="8" s="1"/>
  <c r="J3" i="9" s="1"/>
  <c r="J4" i="9" s="1"/>
  <c r="J5" i="9" s="1"/>
  <c r="K10" i="8"/>
  <c r="K22" i="8" s="1"/>
  <c r="K32" i="8" s="1"/>
  <c r="K3" i="9" s="1"/>
  <c r="K4" i="9" s="1"/>
  <c r="Z5" i="8"/>
  <c r="P4" i="8"/>
  <c r="P22" i="8" s="1"/>
  <c r="P32" i="8" s="1"/>
  <c r="P3" i="9" s="1"/>
  <c r="P4" i="9" s="1"/>
  <c r="X10" i="8"/>
  <c r="Z10" i="8" s="1"/>
  <c r="U10" i="8"/>
  <c r="Z9" i="8"/>
  <c r="W8" i="8"/>
  <c r="X8" i="8" s="1"/>
  <c r="W6" i="8"/>
  <c r="X6" i="8" s="1"/>
  <c r="W7" i="8"/>
  <c r="X7" i="8" s="1"/>
  <c r="Y7" i="8"/>
  <c r="Y22" i="8" s="1"/>
  <c r="Y32" i="8" s="1"/>
  <c r="Y3" i="9" s="1"/>
  <c r="Y4" i="9" s="1"/>
  <c r="T22" i="8"/>
  <c r="T32" i="8" s="1"/>
  <c r="T3" i="9" s="1"/>
  <c r="T4" i="9" s="1"/>
  <c r="N4" i="8"/>
  <c r="M22" i="8"/>
  <c r="M32" i="8" s="1"/>
  <c r="M3" i="9" s="1"/>
  <c r="M4" i="9" s="1"/>
  <c r="P10" i="8"/>
  <c r="U6" i="8"/>
  <c r="U5" i="7"/>
  <c r="W5" i="7"/>
  <c r="X5" i="7" s="1"/>
  <c r="N3" i="7"/>
  <c r="L4" i="7"/>
  <c r="K4" i="7"/>
  <c r="K11" i="7" s="1"/>
  <c r="I11" i="7"/>
  <c r="I14" i="7" s="1"/>
  <c r="I15" i="7" s="1"/>
  <c r="I5" i="9" s="1"/>
  <c r="H97" i="1"/>
  <c r="AA33" i="1"/>
  <c r="AB33" i="1" s="1"/>
  <c r="AC32" i="1"/>
  <c r="AA27" i="1"/>
  <c r="AA25" i="1"/>
  <c r="AB25" i="1" s="1"/>
  <c r="Y14" i="1"/>
  <c r="X73" i="1"/>
  <c r="AA10" i="1"/>
  <c r="W13" i="1"/>
  <c r="S13" i="1"/>
  <c r="S14" i="1" s="1"/>
  <c r="O13" i="1"/>
  <c r="O14" i="1" s="1"/>
  <c r="K13" i="1"/>
  <c r="G13" i="1"/>
  <c r="U11" i="1"/>
  <c r="Q11" i="1"/>
  <c r="Q12" i="1" s="1"/>
  <c r="M11" i="1"/>
  <c r="C94" i="1" s="1"/>
  <c r="I11" i="1"/>
  <c r="I12" i="1" s="1"/>
  <c r="I14" i="1" s="1"/>
  <c r="G30" i="1"/>
  <c r="G31" i="1" s="1"/>
  <c r="K30" i="1"/>
  <c r="K31" i="1" s="1"/>
  <c r="O31" i="1"/>
  <c r="S31" i="1"/>
  <c r="V28" i="1"/>
  <c r="U28" i="1"/>
  <c r="R28" i="1"/>
  <c r="Z29" i="1" s="1"/>
  <c r="Z31" i="1" s="1"/>
  <c r="Q28" i="1"/>
  <c r="G95" i="1" s="1"/>
  <c r="N28" i="1"/>
  <c r="N29" i="1" s="1"/>
  <c r="N31" i="1" s="1"/>
  <c r="M28" i="1"/>
  <c r="G94" i="1" s="1"/>
  <c r="I28" i="1"/>
  <c r="G93" i="1" s="1"/>
  <c r="Z6" i="8" l="1"/>
  <c r="Z8" i="8"/>
  <c r="Q4" i="8"/>
  <c r="N22" i="8"/>
  <c r="N32" i="8" s="1"/>
  <c r="N3" i="9" s="1"/>
  <c r="N4" i="9" s="1"/>
  <c r="Z7" i="8"/>
  <c r="K14" i="7"/>
  <c r="K15" i="7" s="1"/>
  <c r="K5" i="9" s="1"/>
  <c r="K6" i="9" s="1"/>
  <c r="K7" i="9" s="1"/>
  <c r="K8" i="9" s="1"/>
  <c r="Z5" i="7"/>
  <c r="M4" i="7"/>
  <c r="L11" i="7"/>
  <c r="L14" i="7" s="1"/>
  <c r="L15" i="7" s="1"/>
  <c r="L5" i="9" s="1"/>
  <c r="Q3" i="7"/>
  <c r="O3" i="7"/>
  <c r="AA73" i="1"/>
  <c r="AA35" i="1"/>
  <c r="AC11" i="1"/>
  <c r="AB13" i="1"/>
  <c r="G96" i="1"/>
  <c r="U12" i="1"/>
  <c r="I92" i="1"/>
  <c r="I31" i="1"/>
  <c r="W14" i="1"/>
  <c r="C95" i="1"/>
  <c r="C96" i="1"/>
  <c r="C93" i="1"/>
  <c r="M12" i="1"/>
  <c r="M14" i="1" s="1"/>
  <c r="M31" i="1"/>
  <c r="Q31" i="1"/>
  <c r="U31" i="1"/>
  <c r="V29" i="1"/>
  <c r="V31" i="1" s="1"/>
  <c r="C82" i="1"/>
  <c r="K14" i="1"/>
  <c r="U14" i="1"/>
  <c r="Q14" i="1"/>
  <c r="E37" i="1"/>
  <c r="E70" i="2"/>
  <c r="AC53" i="2"/>
  <c r="AB53" i="2"/>
  <c r="AA53" i="2"/>
  <c r="Z53" i="2"/>
  <c r="X53" i="2"/>
  <c r="W53" i="2"/>
  <c r="V53" i="2"/>
  <c r="U53" i="2"/>
  <c r="S53" i="2"/>
  <c r="R53" i="2"/>
  <c r="Q53" i="2"/>
  <c r="P53" i="2"/>
  <c r="N53" i="2"/>
  <c r="M53" i="2"/>
  <c r="L53" i="2"/>
  <c r="K53" i="2"/>
  <c r="AD52" i="2"/>
  <c r="Y52" i="2"/>
  <c r="T52" i="2"/>
  <c r="O52" i="2"/>
  <c r="AE52" i="2" s="1"/>
  <c r="J52" i="2"/>
  <c r="D52" i="2"/>
  <c r="E52" i="2" s="1"/>
  <c r="AD51" i="2"/>
  <c r="Y51" i="2"/>
  <c r="T51" i="2"/>
  <c r="O51" i="2"/>
  <c r="J51" i="2"/>
  <c r="E51" i="2"/>
  <c r="AD50" i="2"/>
  <c r="Y50" i="2"/>
  <c r="Y53" i="2" s="1"/>
  <c r="T50" i="2"/>
  <c r="T53" i="2" s="1"/>
  <c r="O50" i="2"/>
  <c r="J50" i="2"/>
  <c r="AD49" i="2"/>
  <c r="Y49" i="2"/>
  <c r="T49" i="2"/>
  <c r="O49" i="2"/>
  <c r="AD48" i="2"/>
  <c r="Y48" i="2"/>
  <c r="T48" i="2"/>
  <c r="O48" i="2"/>
  <c r="J48" i="2"/>
  <c r="E48" i="2"/>
  <c r="AD47" i="2"/>
  <c r="Y47" i="2"/>
  <c r="T47" i="2"/>
  <c r="O47" i="2"/>
  <c r="J47" i="2"/>
  <c r="D47" i="2"/>
  <c r="E47" i="2" s="1"/>
  <c r="AD46" i="2"/>
  <c r="Y46" i="2"/>
  <c r="T46" i="2"/>
  <c r="O46" i="2"/>
  <c r="J46" i="2"/>
  <c r="E46" i="2"/>
  <c r="AD45" i="2"/>
  <c r="Y45" i="2"/>
  <c r="T45" i="2"/>
  <c r="O45" i="2"/>
  <c r="J45" i="2"/>
  <c r="E45" i="2"/>
  <c r="AD44" i="2"/>
  <c r="Y44" i="2"/>
  <c r="T44" i="2"/>
  <c r="O44" i="2"/>
  <c r="J44" i="2"/>
  <c r="D44" i="2"/>
  <c r="E44" i="2" s="1"/>
  <c r="AD43" i="2"/>
  <c r="Y43" i="2"/>
  <c r="T43" i="2"/>
  <c r="O43" i="2"/>
  <c r="J43" i="2"/>
  <c r="E43" i="2"/>
  <c r="AD42" i="2"/>
  <c r="Y42" i="2"/>
  <c r="T42" i="2"/>
  <c r="O42" i="2"/>
  <c r="J42" i="2"/>
  <c r="E42" i="2"/>
  <c r="D42" i="2"/>
  <c r="AD41" i="2"/>
  <c r="Y41" i="2"/>
  <c r="T41" i="2"/>
  <c r="O41" i="2"/>
  <c r="J41" i="2"/>
  <c r="AC40" i="2"/>
  <c r="AB40" i="2"/>
  <c r="AA40" i="2"/>
  <c r="Z40" i="2"/>
  <c r="X40" i="2"/>
  <c r="W40" i="2"/>
  <c r="V40" i="2"/>
  <c r="U40" i="2"/>
  <c r="S40" i="2"/>
  <c r="R40" i="2"/>
  <c r="Q40" i="2"/>
  <c r="P40" i="2"/>
  <c r="N40" i="2"/>
  <c r="M40" i="2"/>
  <c r="L40" i="2"/>
  <c r="K40" i="2"/>
  <c r="I40" i="2"/>
  <c r="H40" i="2"/>
  <c r="G40" i="2"/>
  <c r="F40" i="2"/>
  <c r="AD39" i="2"/>
  <c r="Y39" i="2"/>
  <c r="T39" i="2"/>
  <c r="O39" i="2"/>
  <c r="J39" i="2"/>
  <c r="E39" i="2"/>
  <c r="AD38" i="2"/>
  <c r="Y38" i="2"/>
  <c r="T38" i="2"/>
  <c r="O38" i="2"/>
  <c r="AE38" i="2" s="1"/>
  <c r="J38" i="2"/>
  <c r="E38" i="2"/>
  <c r="AD37" i="2"/>
  <c r="Y37" i="2"/>
  <c r="T37" i="2"/>
  <c r="O37" i="2"/>
  <c r="J37" i="2"/>
  <c r="E37" i="2"/>
  <c r="AD36" i="2"/>
  <c r="Y36" i="2"/>
  <c r="T36" i="2"/>
  <c r="O36" i="2"/>
  <c r="J36" i="2"/>
  <c r="E36" i="2"/>
  <c r="AD35" i="2"/>
  <c r="Y35" i="2"/>
  <c r="T35" i="2"/>
  <c r="O35" i="2"/>
  <c r="J35" i="2"/>
  <c r="E35" i="2"/>
  <c r="AD34" i="2"/>
  <c r="Y34" i="2"/>
  <c r="T34" i="2"/>
  <c r="O34" i="2"/>
  <c r="AE34" i="2" s="1"/>
  <c r="J34" i="2"/>
  <c r="E34" i="2"/>
  <c r="AD33" i="2"/>
  <c r="Y33" i="2"/>
  <c r="T33" i="2"/>
  <c r="O33" i="2"/>
  <c r="J33" i="2"/>
  <c r="E33" i="2"/>
  <c r="AD32" i="2"/>
  <c r="Y32" i="2"/>
  <c r="T32" i="2"/>
  <c r="O32" i="2"/>
  <c r="J32" i="2"/>
  <c r="AC31" i="2"/>
  <c r="AB31" i="2"/>
  <c r="AA31" i="2"/>
  <c r="Z31" i="2"/>
  <c r="X31" i="2"/>
  <c r="W31" i="2"/>
  <c r="V31" i="2"/>
  <c r="U31" i="2"/>
  <c r="S31" i="2"/>
  <c r="R31" i="2"/>
  <c r="Q31" i="2"/>
  <c r="P31" i="2"/>
  <c r="N31" i="2"/>
  <c r="M31" i="2"/>
  <c r="L31" i="2"/>
  <c r="K31" i="2"/>
  <c r="I31" i="2"/>
  <c r="H31" i="2"/>
  <c r="G31" i="2"/>
  <c r="F31" i="2"/>
  <c r="AD30" i="2"/>
  <c r="Y30" i="2"/>
  <c r="T30" i="2"/>
  <c r="O30" i="2"/>
  <c r="J30" i="2"/>
  <c r="D30" i="2"/>
  <c r="E30" i="2" s="1"/>
  <c r="AD29" i="2"/>
  <c r="AE29" i="2" s="1"/>
  <c r="Y29" i="2"/>
  <c r="T29" i="2"/>
  <c r="O29" i="2"/>
  <c r="J29" i="2"/>
  <c r="D29" i="2"/>
  <c r="E29" i="2" s="1"/>
  <c r="Y28" i="2"/>
  <c r="T28" i="2"/>
  <c r="O28" i="2"/>
  <c r="E28" i="2"/>
  <c r="AD27" i="2"/>
  <c r="Y27" i="2"/>
  <c r="T27" i="2"/>
  <c r="O27" i="2"/>
  <c r="J27" i="2"/>
  <c r="D27" i="2"/>
  <c r="E27" i="2" s="1"/>
  <c r="AD25" i="2"/>
  <c r="Y25" i="2"/>
  <c r="T25" i="2"/>
  <c r="O25" i="2"/>
  <c r="AE25" i="2" s="1"/>
  <c r="J25" i="2"/>
  <c r="D25" i="2"/>
  <c r="E25" i="2" s="1"/>
  <c r="AD24" i="2"/>
  <c r="Y24" i="2"/>
  <c r="T24" i="2"/>
  <c r="O24" i="2"/>
  <c r="J24" i="2"/>
  <c r="E24" i="2"/>
  <c r="D24" i="2"/>
  <c r="AD23" i="2"/>
  <c r="Y23" i="2"/>
  <c r="T23" i="2"/>
  <c r="O23" i="2"/>
  <c r="J23" i="2"/>
  <c r="E23" i="2"/>
  <c r="D23" i="2"/>
  <c r="O22" i="2"/>
  <c r="E22" i="2"/>
  <c r="AD21" i="2"/>
  <c r="Y21" i="2"/>
  <c r="T21" i="2"/>
  <c r="O21" i="2"/>
  <c r="J21" i="2"/>
  <c r="E21" i="2"/>
  <c r="D21" i="2"/>
  <c r="AD20" i="2"/>
  <c r="Y20" i="2"/>
  <c r="AE20" i="2" s="1"/>
  <c r="T20" i="2"/>
  <c r="O20" i="2"/>
  <c r="J20" i="2"/>
  <c r="E20" i="2"/>
  <c r="D20" i="2"/>
  <c r="AD19" i="2"/>
  <c r="Y19" i="2"/>
  <c r="T19" i="2"/>
  <c r="O19" i="2"/>
  <c r="J19" i="2"/>
  <c r="D19" i="2"/>
  <c r="E19" i="2" s="1"/>
  <c r="AD18" i="2"/>
  <c r="Y18" i="2"/>
  <c r="T18" i="2"/>
  <c r="O18" i="2"/>
  <c r="J18" i="2"/>
  <c r="D18" i="2"/>
  <c r="E18" i="2" s="1"/>
  <c r="E31" i="2" s="1"/>
  <c r="AD17" i="2"/>
  <c r="Y17" i="2"/>
  <c r="T17" i="2"/>
  <c r="O17" i="2"/>
  <c r="J17" i="2"/>
  <c r="AD16" i="2"/>
  <c r="Y16" i="2"/>
  <c r="T16" i="2"/>
  <c r="O16" i="2"/>
  <c r="AE16" i="2" s="1"/>
  <c r="J16" i="2"/>
  <c r="AC15" i="2"/>
  <c r="AB15" i="2"/>
  <c r="AA15" i="2"/>
  <c r="Z15" i="2"/>
  <c r="X15" i="2"/>
  <c r="W15" i="2"/>
  <c r="V15" i="2"/>
  <c r="U15" i="2"/>
  <c r="S15" i="2"/>
  <c r="R15" i="2"/>
  <c r="Q15" i="2"/>
  <c r="P15" i="2"/>
  <c r="O15" i="2"/>
  <c r="C60" i="2" s="1"/>
  <c r="AD14" i="2"/>
  <c r="Y14" i="2"/>
  <c r="T14" i="2"/>
  <c r="O14" i="2"/>
  <c r="J14" i="2"/>
  <c r="D14" i="2"/>
  <c r="E14" i="2" s="1"/>
  <c r="AD13" i="2"/>
  <c r="Y13" i="2"/>
  <c r="T13" i="2"/>
  <c r="O13" i="2"/>
  <c r="J13" i="2"/>
  <c r="D13" i="2"/>
  <c r="E13" i="2" s="1"/>
  <c r="AD12" i="2"/>
  <c r="Y12" i="2"/>
  <c r="T12" i="2"/>
  <c r="O12" i="2"/>
  <c r="J12" i="2"/>
  <c r="D12" i="2"/>
  <c r="AD10" i="2"/>
  <c r="Y10" i="2"/>
  <c r="T10" i="2"/>
  <c r="O10" i="2"/>
  <c r="AE10" i="2" s="1"/>
  <c r="J10" i="2"/>
  <c r="D10" i="2"/>
  <c r="E10" i="2" s="1"/>
  <c r="E15" i="2" s="1"/>
  <c r="AD9" i="2"/>
  <c r="Y9" i="2"/>
  <c r="T9" i="2"/>
  <c r="O9" i="2"/>
  <c r="E9" i="2"/>
  <c r="AD8" i="2"/>
  <c r="Y8" i="2"/>
  <c r="T8" i="2"/>
  <c r="O8" i="2"/>
  <c r="J8" i="2"/>
  <c r="AD7" i="2"/>
  <c r="Y7" i="2"/>
  <c r="T7" i="2"/>
  <c r="O7" i="2"/>
  <c r="AD6" i="2"/>
  <c r="Y6" i="2"/>
  <c r="T6" i="2"/>
  <c r="O6" i="2"/>
  <c r="J6" i="2"/>
  <c r="B59" i="2" s="1"/>
  <c r="D6" i="2"/>
  <c r="E6" i="2" s="1"/>
  <c r="AD5" i="2"/>
  <c r="Y5" i="2"/>
  <c r="AE5" i="2" s="1"/>
  <c r="C92" i="1"/>
  <c r="F39" i="1"/>
  <c r="U35" i="1"/>
  <c r="T35" i="1"/>
  <c r="Q35" i="1"/>
  <c r="P35" i="1"/>
  <c r="M35" i="1"/>
  <c r="L35" i="1"/>
  <c r="I35" i="1"/>
  <c r="H35" i="1"/>
  <c r="E35" i="1"/>
  <c r="D35" i="1"/>
  <c r="V35" i="1"/>
  <c r="R35" i="1"/>
  <c r="N35" i="1"/>
  <c r="W32" i="1"/>
  <c r="S32" i="1"/>
  <c r="H95" i="1" s="1"/>
  <c r="O32" i="1"/>
  <c r="H94" i="1" s="1"/>
  <c r="K32" i="1"/>
  <c r="H93" i="1" s="1"/>
  <c r="G32" i="1"/>
  <c r="F30" i="1"/>
  <c r="J28" i="1"/>
  <c r="J29" i="1" s="1"/>
  <c r="J31" i="1" s="1"/>
  <c r="G92" i="1"/>
  <c r="V27" i="1"/>
  <c r="T27" i="1"/>
  <c r="R27" i="1"/>
  <c r="P27" i="1"/>
  <c r="N27" i="1"/>
  <c r="L27" i="1"/>
  <c r="J27" i="1"/>
  <c r="H27" i="1"/>
  <c r="F27" i="1"/>
  <c r="Q27" i="1"/>
  <c r="E26" i="1"/>
  <c r="U25" i="1"/>
  <c r="M25" i="1"/>
  <c r="I25" i="1"/>
  <c r="W24" i="1"/>
  <c r="S24" i="1"/>
  <c r="F95" i="1" s="1"/>
  <c r="O24" i="1"/>
  <c r="F94" i="1" s="1"/>
  <c r="K24" i="1"/>
  <c r="K27" i="1" s="1"/>
  <c r="G24" i="1"/>
  <c r="F22" i="1"/>
  <c r="E92" i="1"/>
  <c r="W18" i="1"/>
  <c r="U18" i="1"/>
  <c r="S18" i="1"/>
  <c r="Q18" i="1"/>
  <c r="O18" i="1"/>
  <c r="M18" i="1"/>
  <c r="K18" i="1"/>
  <c r="I18" i="1"/>
  <c r="G18" i="1"/>
  <c r="E18" i="1"/>
  <c r="T18" i="1"/>
  <c r="P18" i="1"/>
  <c r="L18" i="1"/>
  <c r="V15" i="1"/>
  <c r="R15" i="1"/>
  <c r="N15" i="1"/>
  <c r="J15" i="1"/>
  <c r="F15" i="1"/>
  <c r="F16" i="1" s="1"/>
  <c r="G14" i="1"/>
  <c r="F14" i="1"/>
  <c r="E12" i="1"/>
  <c r="AB12" i="1" s="1"/>
  <c r="V10" i="1"/>
  <c r="T10" i="1"/>
  <c r="R10" i="1"/>
  <c r="P10" i="1"/>
  <c r="N10" i="1"/>
  <c r="L10" i="1"/>
  <c r="J10" i="1"/>
  <c r="H10" i="1"/>
  <c r="F10" i="1"/>
  <c r="U10" i="1"/>
  <c r="Q10" i="1"/>
  <c r="M9" i="1"/>
  <c r="M10" i="1" s="1"/>
  <c r="I9" i="1"/>
  <c r="I10" i="1" s="1"/>
  <c r="E9" i="1"/>
  <c r="W7" i="1"/>
  <c r="S7" i="1"/>
  <c r="S8" i="1" s="1"/>
  <c r="O7" i="1"/>
  <c r="K7" i="1"/>
  <c r="K8" i="1" s="1"/>
  <c r="K10" i="1" s="1"/>
  <c r="G7" i="1"/>
  <c r="Q22" i="8" l="1"/>
  <c r="Q32" i="8" s="1"/>
  <c r="Q3" i="9" s="1"/>
  <c r="Q4" i="9" s="1"/>
  <c r="R4" i="8"/>
  <c r="O11" i="7"/>
  <c r="O14" i="7" s="1"/>
  <c r="O15" i="7" s="1"/>
  <c r="O5" i="9" s="1"/>
  <c r="P3" i="7"/>
  <c r="R3" i="7"/>
  <c r="N4" i="7"/>
  <c r="P4" i="7" s="1"/>
  <c r="M11" i="7"/>
  <c r="M14" i="7" s="1"/>
  <c r="M15" i="7" s="1"/>
  <c r="M5" i="9" s="1"/>
  <c r="AC15" i="1"/>
  <c r="D78" i="1" s="1"/>
  <c r="V16" i="1"/>
  <c r="AC7" i="1"/>
  <c r="W8" i="1"/>
  <c r="AB9" i="1"/>
  <c r="B82" i="1" s="1"/>
  <c r="D93" i="1"/>
  <c r="J16" i="1"/>
  <c r="AB16" i="1" s="1"/>
  <c r="D94" i="1"/>
  <c r="N16" i="1"/>
  <c r="D95" i="1"/>
  <c r="R16" i="1"/>
  <c r="E82" i="1"/>
  <c r="W31" i="1"/>
  <c r="I83" i="1"/>
  <c r="B92" i="1"/>
  <c r="Y10" i="1"/>
  <c r="H92" i="1"/>
  <c r="Z35" i="1"/>
  <c r="I82" i="1"/>
  <c r="D83" i="1"/>
  <c r="E14" i="1"/>
  <c r="AB14" i="1"/>
  <c r="W27" i="1"/>
  <c r="B96" i="1"/>
  <c r="B78" i="1"/>
  <c r="D18" i="1"/>
  <c r="D82" i="1"/>
  <c r="E10" i="1"/>
  <c r="H83" i="1"/>
  <c r="F35" i="1"/>
  <c r="H82" i="1"/>
  <c r="D92" i="1"/>
  <c r="J92" i="1" s="1"/>
  <c r="Z18" i="1"/>
  <c r="E78" i="1"/>
  <c r="F92" i="1"/>
  <c r="Y27" i="1"/>
  <c r="E27" i="1"/>
  <c r="F31" i="1"/>
  <c r="G82" i="1"/>
  <c r="E39" i="1"/>
  <c r="R29" i="1"/>
  <c r="R31" i="1" s="1"/>
  <c r="B94" i="1"/>
  <c r="J94" i="1" s="1"/>
  <c r="O8" i="1"/>
  <c r="O10" i="1" s="1"/>
  <c r="U27" i="1"/>
  <c r="U73" i="1" s="1"/>
  <c r="I27" i="1"/>
  <c r="I73" i="1" s="1"/>
  <c r="S35" i="1"/>
  <c r="E29" i="1"/>
  <c r="J18" i="1"/>
  <c r="M27" i="1"/>
  <c r="M73" i="1" s="1"/>
  <c r="G25" i="1"/>
  <c r="G8" i="1"/>
  <c r="R18" i="1"/>
  <c r="F82" i="1"/>
  <c r="G78" i="1"/>
  <c r="AE18" i="2"/>
  <c r="AE28" i="2"/>
  <c r="J40" i="2"/>
  <c r="B62" i="2" s="1"/>
  <c r="F62" i="2" s="1"/>
  <c r="T40" i="2"/>
  <c r="AD40" i="2"/>
  <c r="AE45" i="2"/>
  <c r="AE48" i="2"/>
  <c r="J53" i="2"/>
  <c r="H18" i="1"/>
  <c r="H73" i="1" s="1"/>
  <c r="E20" i="1"/>
  <c r="K35" i="1"/>
  <c r="K73" i="1" s="1"/>
  <c r="J15" i="2"/>
  <c r="B60" i="2" s="1"/>
  <c r="Y15" i="2"/>
  <c r="AE17" i="2"/>
  <c r="AE27" i="2"/>
  <c r="O31" i="2"/>
  <c r="C61" i="2" s="1"/>
  <c r="Y31" i="2"/>
  <c r="J49" i="2"/>
  <c r="B63" i="2" s="1"/>
  <c r="F63" i="2" s="1"/>
  <c r="O53" i="2"/>
  <c r="E49" i="2"/>
  <c r="AE14" i="2"/>
  <c r="AE24" i="2"/>
  <c r="AE33" i="2"/>
  <c r="AE37" i="2"/>
  <c r="AE44" i="2"/>
  <c r="F66" i="2"/>
  <c r="W10" i="1"/>
  <c r="AE6" i="2"/>
  <c r="AE8" i="2"/>
  <c r="AE23" i="2"/>
  <c r="AE30" i="2"/>
  <c r="AE32" i="2"/>
  <c r="E40" i="2"/>
  <c r="AE36" i="2"/>
  <c r="O40" i="2"/>
  <c r="Y40" i="2"/>
  <c r="AE42" i="2"/>
  <c r="AD53" i="2"/>
  <c r="C83" i="1"/>
  <c r="O27" i="1"/>
  <c r="AE7" i="2"/>
  <c r="AE13" i="2"/>
  <c r="T15" i="2"/>
  <c r="T54" i="2" s="1"/>
  <c r="AD15" i="2"/>
  <c r="AE21" i="2"/>
  <c r="J31" i="2"/>
  <c r="B61" i="2" s="1"/>
  <c r="F61" i="2" s="1"/>
  <c r="T31" i="2"/>
  <c r="AD31" i="2"/>
  <c r="AE41" i="2"/>
  <c r="AE43" i="2"/>
  <c r="AE47" i="2"/>
  <c r="E53" i="2"/>
  <c r="AE9" i="2"/>
  <c r="AE12" i="2"/>
  <c r="AE19" i="2"/>
  <c r="AE35" i="2"/>
  <c r="AE39" i="2"/>
  <c r="AE46" i="2"/>
  <c r="AE51" i="2"/>
  <c r="F67" i="2"/>
  <c r="F68" i="2"/>
  <c r="F69" i="2"/>
  <c r="F60" i="2"/>
  <c r="AE15" i="2"/>
  <c r="AE31" i="2"/>
  <c r="O54" i="2"/>
  <c r="C65" i="2"/>
  <c r="F65" i="2" s="1"/>
  <c r="E54" i="2"/>
  <c r="AE49" i="2"/>
  <c r="Y54" i="2"/>
  <c r="F59" i="2"/>
  <c r="AE40" i="2"/>
  <c r="J54" i="2"/>
  <c r="B64" i="2"/>
  <c r="F64" i="2" s="1"/>
  <c r="AD54" i="2"/>
  <c r="AE53" i="2"/>
  <c r="D70" i="2"/>
  <c r="AE50" i="2"/>
  <c r="P73" i="1"/>
  <c r="T73" i="1"/>
  <c r="Q73" i="1"/>
  <c r="L73" i="1"/>
  <c r="B83" i="1"/>
  <c r="S10" i="1"/>
  <c r="V18" i="1"/>
  <c r="E83" i="1"/>
  <c r="S27" i="1"/>
  <c r="G27" i="1"/>
  <c r="G83" i="1"/>
  <c r="D31" i="1"/>
  <c r="W35" i="1"/>
  <c r="B93" i="1"/>
  <c r="F93" i="1"/>
  <c r="B95" i="1"/>
  <c r="J95" i="1" s="1"/>
  <c r="F96" i="1"/>
  <c r="C78" i="1"/>
  <c r="F78" i="1"/>
  <c r="I78" i="1"/>
  <c r="N18" i="1"/>
  <c r="F83" i="1"/>
  <c r="H78" i="1"/>
  <c r="O35" i="1"/>
  <c r="J35" i="1"/>
  <c r="D96" i="1"/>
  <c r="H96" i="1"/>
  <c r="R22" i="8" l="1"/>
  <c r="R32" i="8" s="1"/>
  <c r="R3" i="9" s="1"/>
  <c r="R4" i="9" s="1"/>
  <c r="S4" i="8"/>
  <c r="U4" i="8"/>
  <c r="U22" i="8" s="1"/>
  <c r="U32" i="8" s="1"/>
  <c r="U3" i="9" s="1"/>
  <c r="U4" i="9" s="1"/>
  <c r="Q4" i="7"/>
  <c r="N11" i="7"/>
  <c r="N14" i="7" s="1"/>
  <c r="N15" i="7" s="1"/>
  <c r="N5" i="9" s="1"/>
  <c r="S3" i="7"/>
  <c r="P11" i="7"/>
  <c r="P14" i="7" s="1"/>
  <c r="P15" i="7" s="1"/>
  <c r="P5" i="9" s="1"/>
  <c r="P6" i="9" s="1"/>
  <c r="P7" i="9" s="1"/>
  <c r="P8" i="9" s="1"/>
  <c r="AB39" i="1"/>
  <c r="AB27" i="1"/>
  <c r="AB35" i="1"/>
  <c r="AB8" i="1"/>
  <c r="Y73" i="1"/>
  <c r="E22" i="1"/>
  <c r="AB22" i="1"/>
  <c r="E31" i="1"/>
  <c r="AB31" i="1"/>
  <c r="AD73" i="1"/>
  <c r="AC73" i="1"/>
  <c r="G10" i="1"/>
  <c r="AB10" i="1"/>
  <c r="AB18" i="1"/>
  <c r="Z73" i="1"/>
  <c r="J96" i="1"/>
  <c r="J93" i="1"/>
  <c r="R78" i="1"/>
  <c r="C80" i="1" s="1"/>
  <c r="V73" i="1"/>
  <c r="S73" i="1"/>
  <c r="W73" i="1"/>
  <c r="O73" i="1"/>
  <c r="AE54" i="2"/>
  <c r="C70" i="2"/>
  <c r="D73" i="1"/>
  <c r="R73" i="1"/>
  <c r="B70" i="2"/>
  <c r="F70" i="2"/>
  <c r="G35" i="1"/>
  <c r="G73" i="1" s="1"/>
  <c r="J73" i="1"/>
  <c r="N73" i="1"/>
  <c r="F18" i="1"/>
  <c r="F73" i="1" s="1"/>
  <c r="V4" i="8" l="1"/>
  <c r="S22" i="8"/>
  <c r="S32" i="8" s="1"/>
  <c r="S3" i="9" s="1"/>
  <c r="S4" i="9" s="1"/>
  <c r="R4" i="7"/>
  <c r="Q11" i="7"/>
  <c r="Q14" i="7" s="1"/>
  <c r="Q15" i="7" s="1"/>
  <c r="Q5" i="9" s="1"/>
  <c r="V3" i="7"/>
  <c r="T3" i="7"/>
  <c r="U3" i="7"/>
  <c r="E79" i="1"/>
  <c r="E84" i="1" s="1"/>
  <c r="E73" i="1"/>
  <c r="AB73" i="1"/>
  <c r="B79" i="1"/>
  <c r="B84" i="1" s="1"/>
  <c r="I79" i="1"/>
  <c r="I84" i="1" s="1"/>
  <c r="E80" i="1"/>
  <c r="G80" i="1"/>
  <c r="H80" i="1"/>
  <c r="B80" i="1"/>
  <c r="F80" i="1"/>
  <c r="D80" i="1"/>
  <c r="I80" i="1"/>
  <c r="D79" i="1"/>
  <c r="G79" i="1"/>
  <c r="C79" i="1"/>
  <c r="H79" i="1"/>
  <c r="W4" i="8" l="1"/>
  <c r="V22" i="8"/>
  <c r="V32" i="8" s="1"/>
  <c r="V3" i="9" s="1"/>
  <c r="V4" i="9" s="1"/>
  <c r="Y3" i="7"/>
  <c r="Y11" i="7" s="1"/>
  <c r="T11" i="7"/>
  <c r="T14" i="7" s="1"/>
  <c r="T15" i="7" s="1"/>
  <c r="T5" i="9" s="1"/>
  <c r="T6" i="9" s="1"/>
  <c r="W3" i="7"/>
  <c r="S4" i="7"/>
  <c r="R11" i="7"/>
  <c r="R14" i="7" s="1"/>
  <c r="R15" i="7" s="1"/>
  <c r="R5" i="9" s="1"/>
  <c r="U4" i="7"/>
  <c r="U11" i="7" s="1"/>
  <c r="U14" i="7" s="1"/>
  <c r="U15" i="7" s="1"/>
  <c r="U5" i="9" s="1"/>
  <c r="U6" i="9" s="1"/>
  <c r="U7" i="9" s="1"/>
  <c r="U8" i="9" s="1"/>
  <c r="R79" i="1"/>
  <c r="I86" i="1"/>
  <c r="I85" i="1"/>
  <c r="E86" i="1"/>
  <c r="E85" i="1"/>
  <c r="G84" i="1"/>
  <c r="F84" i="1"/>
  <c r="H84" i="1"/>
  <c r="C84" i="1"/>
  <c r="D84" i="1"/>
  <c r="B86" i="1"/>
  <c r="B85" i="1"/>
  <c r="X4" i="8" l="1"/>
  <c r="W22" i="8"/>
  <c r="W32" i="8" s="1"/>
  <c r="W3" i="9" s="1"/>
  <c r="W4" i="9" s="1"/>
  <c r="Y14" i="7"/>
  <c r="Y15" i="7" s="1"/>
  <c r="Y5" i="9" s="1"/>
  <c r="Y6" i="9" s="1"/>
  <c r="X3" i="7"/>
  <c r="V4" i="7"/>
  <c r="S11" i="7"/>
  <c r="S14" i="7" s="1"/>
  <c r="S15" i="7" s="1"/>
  <c r="S5" i="9" s="1"/>
  <c r="S6" i="9" s="1"/>
  <c r="E81" i="1"/>
  <c r="I81" i="1"/>
  <c r="D81" i="1"/>
  <c r="F81" i="1"/>
  <c r="G81" i="1"/>
  <c r="H81" i="1"/>
  <c r="B81" i="1"/>
  <c r="C81" i="1"/>
  <c r="H86" i="1"/>
  <c r="H85" i="1"/>
  <c r="G86" i="1"/>
  <c r="G85" i="1"/>
  <c r="C86" i="1"/>
  <c r="C85" i="1"/>
  <c r="F86" i="1"/>
  <c r="F85" i="1"/>
  <c r="D86" i="1"/>
  <c r="D85" i="1"/>
  <c r="X22" i="8" l="1"/>
  <c r="X32" i="8" s="1"/>
  <c r="X3" i="9" s="1"/>
  <c r="X4" i="9" s="1"/>
  <c r="Z4" i="8"/>
  <c r="Z22" i="8" s="1"/>
  <c r="Z32" i="8" s="1"/>
  <c r="Z3" i="9" s="1"/>
  <c r="Z4" i="9" s="1"/>
  <c r="W4" i="7"/>
  <c r="V11" i="7"/>
  <c r="V14" i="7" s="1"/>
  <c r="V15" i="7" s="1"/>
  <c r="V5" i="9" s="1"/>
  <c r="V6" i="9" s="1"/>
  <c r="Z3" i="7"/>
  <c r="X4" i="7" l="1"/>
  <c r="X11" i="7" s="1"/>
  <c r="W11" i="7"/>
  <c r="W14" i="7" l="1"/>
  <c r="W15" i="7" s="1"/>
  <c r="W5" i="9" s="1"/>
  <c r="Z4" i="7"/>
  <c r="Z11" i="7" s="1"/>
  <c r="Z14" i="7" s="1"/>
  <c r="Z15" i="7" s="1"/>
  <c r="Z5" i="9" s="1"/>
  <c r="Z6" i="9" s="1"/>
  <c r="Z7" i="9" s="1"/>
  <c r="Z8" i="9" s="1"/>
  <c r="X14" i="7"/>
  <c r="X15" i="7" s="1"/>
  <c r="X5" i="9" s="1"/>
  <c r="X6" i="9" s="1"/>
</calcChain>
</file>

<file path=xl/sharedStrings.xml><?xml version="1.0" encoding="utf-8"?>
<sst xmlns="http://schemas.openxmlformats.org/spreadsheetml/2006/main" count="743" uniqueCount="330">
  <si>
    <t>Buying price</t>
  </si>
  <si>
    <t>Quarter 1</t>
  </si>
  <si>
    <t>Quarter 2</t>
  </si>
  <si>
    <t>Quarter 3</t>
  </si>
  <si>
    <t>Quarter 4</t>
  </si>
  <si>
    <t>Quarter 5</t>
  </si>
  <si>
    <t>Quarter 6</t>
  </si>
  <si>
    <t>Quarter 7</t>
  </si>
  <si>
    <t>Quarter 8</t>
  </si>
  <si>
    <t>Quarter 9</t>
  </si>
  <si>
    <t>Quarter 10</t>
  </si>
  <si>
    <t>Quarter 11</t>
  </si>
  <si>
    <t>Quarter 12</t>
  </si>
  <si>
    <t>Quarter 13</t>
  </si>
  <si>
    <t>Quarter 14</t>
  </si>
  <si>
    <t>Quarter 15</t>
  </si>
  <si>
    <t>Quarter 16</t>
  </si>
  <si>
    <t>Quarter 17</t>
  </si>
  <si>
    <t>Quarter 18</t>
  </si>
  <si>
    <t>Quarter 19</t>
  </si>
  <si>
    <t>Quarter 20</t>
  </si>
  <si>
    <t xml:space="preserve">Cash status </t>
  </si>
  <si>
    <t>Total Sales</t>
  </si>
  <si>
    <t xml:space="preserve">Stock balance </t>
  </si>
  <si>
    <t>per t</t>
  </si>
  <si>
    <t>July/Sept</t>
  </si>
  <si>
    <t>Oct/Dec</t>
  </si>
  <si>
    <t>Jan/Mar</t>
  </si>
  <si>
    <t>April/June</t>
  </si>
  <si>
    <t>Rs, 000)</t>
  </si>
  <si>
    <t>Rs,000</t>
  </si>
  <si>
    <t>Rs, 000</t>
  </si>
  <si>
    <t>t</t>
  </si>
  <si>
    <t>Source seed (t)</t>
  </si>
  <si>
    <t>Rice</t>
  </si>
  <si>
    <t>Sales</t>
  </si>
  <si>
    <t>Purchased (5% more than sales)</t>
  </si>
  <si>
    <t>Profit</t>
  </si>
  <si>
    <t>Wheat</t>
  </si>
  <si>
    <t xml:space="preserve">Purchased </t>
  </si>
  <si>
    <t xml:space="preserve">Maize </t>
  </si>
  <si>
    <t xml:space="preserve">Lentil </t>
  </si>
  <si>
    <t>Truthfully labelled seed (t)</t>
  </si>
  <si>
    <t>Purchased (10% more than sales)</t>
  </si>
  <si>
    <t xml:space="preserve">Wheat </t>
  </si>
  <si>
    <t>Purchased (7% more than sales)</t>
  </si>
  <si>
    <t>Maize</t>
  </si>
  <si>
    <t>Purchased (8% more than sales)</t>
  </si>
  <si>
    <t>VEGETABLES</t>
  </si>
  <si>
    <t>Cauliflower (OP)</t>
  </si>
  <si>
    <t>profit</t>
  </si>
  <si>
    <t xml:space="preserve">cucumber </t>
  </si>
  <si>
    <t>pea</t>
  </si>
  <si>
    <t>radish</t>
  </si>
  <si>
    <t>cow pea</t>
  </si>
  <si>
    <t xml:space="preserve">rajma </t>
  </si>
  <si>
    <t>okra</t>
  </si>
  <si>
    <t>hybrid maize</t>
  </si>
  <si>
    <t>Balance</t>
  </si>
  <si>
    <t>Source seed</t>
  </si>
  <si>
    <t>TL seed</t>
  </si>
  <si>
    <t>Trading Summary</t>
  </si>
  <si>
    <t xml:space="preserve">Rice </t>
  </si>
  <si>
    <t>Maize (OP) -t post rainy season maize</t>
  </si>
  <si>
    <t>Lentil (t)</t>
  </si>
  <si>
    <t>Sales target (t)</t>
  </si>
  <si>
    <t>Sales (NRs, 000)</t>
  </si>
  <si>
    <t>% of sales (vol)</t>
  </si>
  <si>
    <t>% of sales (Resource)</t>
  </si>
  <si>
    <t>Purchases (NRs, 000)</t>
  </si>
  <si>
    <t>Final stock (t)</t>
  </si>
  <si>
    <t>Gross profit</t>
  </si>
  <si>
    <t>% margin</t>
  </si>
  <si>
    <t>profit per tonne</t>
  </si>
  <si>
    <t>Years</t>
  </si>
  <si>
    <t>Y2</t>
  </si>
  <si>
    <t>Y3</t>
  </si>
  <si>
    <t>Y4</t>
  </si>
  <si>
    <t>Y5</t>
  </si>
  <si>
    <t>Total</t>
  </si>
  <si>
    <t>Investment</t>
  </si>
  <si>
    <t>Grand</t>
  </si>
  <si>
    <t>Particulars</t>
  </si>
  <si>
    <t>Unit</t>
  </si>
  <si>
    <t xml:space="preserve">Quantity </t>
  </si>
  <si>
    <t>Rate</t>
  </si>
  <si>
    <t>year1</t>
  </si>
  <si>
    <t>Year 2</t>
  </si>
  <si>
    <t>Year 3</t>
  </si>
  <si>
    <t>Year4</t>
  </si>
  <si>
    <t>Year 5</t>
  </si>
  <si>
    <t>A. Fixed capital</t>
  </si>
  <si>
    <t>1. Land Including its Development</t>
  </si>
  <si>
    <t>ha</t>
  </si>
  <si>
    <t>2.  Building &amp; Sheds</t>
  </si>
  <si>
    <t>a. Building with 6 Office rooms &amp; labs</t>
  </si>
  <si>
    <t>b. packaging unit</t>
  </si>
  <si>
    <t>Sq.feet</t>
  </si>
  <si>
    <t>c. store house</t>
  </si>
  <si>
    <t>Sq. feet</t>
  </si>
  <si>
    <t xml:space="preserve">d. Threshing/dring floor </t>
  </si>
  <si>
    <t>Sq. meter</t>
  </si>
  <si>
    <t>e. Care taker Room</t>
  </si>
  <si>
    <t>f. Fencing (partial)</t>
  </si>
  <si>
    <t>Total Building and Shed</t>
  </si>
  <si>
    <t>3.  Machinery &amp; Equipments</t>
  </si>
  <si>
    <t xml:space="preserve">  a.Boring &amp; Irrigation Equipment </t>
  </si>
  <si>
    <t xml:space="preserve">  b. Processing Equipments sets    </t>
  </si>
  <si>
    <t>Set</t>
  </si>
  <si>
    <t xml:space="preserve">  c. Sewing Machine </t>
  </si>
  <si>
    <t>No.</t>
  </si>
  <si>
    <t xml:space="preserve">  d. Weighing Machine  Classical</t>
  </si>
  <si>
    <t>e. soil testing kit</t>
  </si>
  <si>
    <t>no.</t>
  </si>
  <si>
    <t xml:space="preserve">  f. Divider </t>
  </si>
  <si>
    <t xml:space="preserve">  g. Moisture Metre </t>
  </si>
  <si>
    <t xml:space="preserve"> h. Germinator</t>
  </si>
  <si>
    <t xml:space="preserve"> i. Freeze </t>
  </si>
  <si>
    <t>j. lab chemicals</t>
  </si>
  <si>
    <t>set</t>
  </si>
  <si>
    <t xml:space="preserve"> k. Hand Tools</t>
  </si>
  <si>
    <t xml:space="preserve">  l. Thresher Machine</t>
  </si>
  <si>
    <t>Total Mechanery and Equipment</t>
  </si>
  <si>
    <t>4. Furnitures &amp; Fixtures</t>
  </si>
  <si>
    <t>a. Office tables &amp; Chairs</t>
  </si>
  <si>
    <t>b. Daraj</t>
  </si>
  <si>
    <t>c. Rack &amp; Others</t>
  </si>
  <si>
    <t>d. Fixture</t>
  </si>
  <si>
    <t>e. woode crate</t>
  </si>
  <si>
    <t>f.Others</t>
  </si>
  <si>
    <t>g. Curtaining and Carpeting</t>
  </si>
  <si>
    <t>Total  Furnitures &amp; Fixtures</t>
  </si>
  <si>
    <t>5. Office Equipments</t>
  </si>
  <si>
    <t>a. Telephone/Fax</t>
  </si>
  <si>
    <t>b. Computer Laptop</t>
  </si>
  <si>
    <t>c. Computer Desktop</t>
  </si>
  <si>
    <t>d. Printer</t>
  </si>
  <si>
    <t>f. Digital Camera</t>
  </si>
  <si>
    <t xml:space="preserve">h. Calculator </t>
  </si>
  <si>
    <t xml:space="preserve">i. Ceiling Fan  </t>
  </si>
  <si>
    <t>Total Office Equipments</t>
  </si>
  <si>
    <t>6. Vehicles</t>
  </si>
  <si>
    <t xml:space="preserve">a. Motorbike </t>
  </si>
  <si>
    <t>b. Mini Truck</t>
  </si>
  <si>
    <t>Total Vehicles</t>
  </si>
  <si>
    <t>Total Investment in Assets</t>
  </si>
  <si>
    <t>Summary of investment</t>
  </si>
  <si>
    <t>Fixed Capital</t>
  </si>
  <si>
    <t>Year 1</t>
  </si>
  <si>
    <t>Year 4</t>
  </si>
  <si>
    <t>Land including its development</t>
  </si>
  <si>
    <t>Building and shed</t>
  </si>
  <si>
    <t>Machinery and equipment</t>
  </si>
  <si>
    <t>Office equipment</t>
  </si>
  <si>
    <t>Motorbike</t>
  </si>
  <si>
    <t>Minitruck</t>
  </si>
  <si>
    <t>Seed purchase</t>
  </si>
  <si>
    <t>Adminstrative cost including depreciation and insurance</t>
  </si>
  <si>
    <t>Production staff</t>
  </si>
  <si>
    <t>Selling and distribution cost</t>
  </si>
  <si>
    <t>Income from seed sale</t>
  </si>
  <si>
    <t xml:space="preserve">Maize (OP) </t>
  </si>
  <si>
    <t>Truthfully labelled seed</t>
  </si>
  <si>
    <t>Maize (OP) - post rainy season maize</t>
  </si>
  <si>
    <t>Total income from seed sale (A)</t>
  </si>
  <si>
    <t>Seed purchasing cost</t>
  </si>
  <si>
    <t>Total seed purchasing cost (B)</t>
  </si>
  <si>
    <t>Plant breeder @80000/month</t>
  </si>
  <si>
    <t>Technician @20000/month</t>
  </si>
  <si>
    <t>Daily labor</t>
  </si>
  <si>
    <t>Travel and subsistance allowance</t>
  </si>
  <si>
    <t>Farmers' trainings/demonstrations</t>
  </si>
  <si>
    <t>Collaboration and networking</t>
  </si>
  <si>
    <t>Breeding works</t>
  </si>
  <si>
    <t xml:space="preserve">Gross Profit(A-F) </t>
  </si>
  <si>
    <t>General Manager (GM) @65000/month</t>
  </si>
  <si>
    <t>Store Manager @20000/month</t>
  </si>
  <si>
    <t>seed processing manager@20000/month</t>
  </si>
  <si>
    <t>Marketing Supervisor @15000/month</t>
  </si>
  <si>
    <t>Admin and Account Officer @25000/month</t>
  </si>
  <si>
    <t>Security Guard @8000/month</t>
  </si>
  <si>
    <t>Driver @15000/month</t>
  </si>
  <si>
    <t>Staff meeting cost @3000/month</t>
  </si>
  <si>
    <t>Communication (Phone/ Fax, Photocopy, E-mail)</t>
  </si>
  <si>
    <t>Company brochure and website</t>
  </si>
  <si>
    <t xml:space="preserve">Printing &amp; Stationery cost </t>
  </si>
  <si>
    <t>Electricity and water</t>
  </si>
  <si>
    <t>Wooden plate for store room</t>
  </si>
  <si>
    <t>Land registration, working policy development, Audit and Company renewal</t>
  </si>
  <si>
    <t>Insurance</t>
  </si>
  <si>
    <t>Depreciation of fixed assets (annual)</t>
  </si>
  <si>
    <t>Others</t>
  </si>
  <si>
    <t xml:space="preserve">Total </t>
  </si>
  <si>
    <t>Selling and Distribution Cost</t>
  </si>
  <si>
    <t>Processing cost (2% of total purchase)</t>
  </si>
  <si>
    <t>Packaging cost (3% of total sales)</t>
  </si>
  <si>
    <t>Transportation cost (products collection) (3% of total purchase)</t>
  </si>
  <si>
    <t>Transportation cost (products distribution) (2% of total sales)</t>
  </si>
  <si>
    <t>Advertisements and Publicity cost (0.2% of total sales)</t>
  </si>
  <si>
    <t>Cost for lab items (glass ware, filter papers, gloves, apron, mask, etc.)</t>
  </si>
  <si>
    <t>Fuel cost (vehicle, generator, etc.)</t>
  </si>
  <si>
    <t>Total Selling and Distribution cost</t>
  </si>
  <si>
    <t>Contingency (5%)</t>
  </si>
  <si>
    <t>Provision for Tax (25%)</t>
  </si>
  <si>
    <t>VEGETABLE</t>
  </si>
  <si>
    <t>cauliflower</t>
  </si>
  <si>
    <t>cucumber</t>
  </si>
  <si>
    <t>cowpea</t>
  </si>
  <si>
    <t>maize hybrid</t>
  </si>
  <si>
    <t>Year 1  (July 2017 to June 2018)</t>
  </si>
  <si>
    <t>Year 2  (July 2018 to June 2019)</t>
  </si>
  <si>
    <t>Year 3  (July 2019 to June 2020)</t>
  </si>
  <si>
    <t>Year 4  (July 2020 to June 2021)</t>
  </si>
  <si>
    <t>Year 5  (July 2021 to June 2022)</t>
  </si>
  <si>
    <t>Selling price</t>
  </si>
  <si>
    <t>Lentil</t>
  </si>
  <si>
    <t>Totals</t>
  </si>
  <si>
    <t>Rice (ton)</t>
  </si>
  <si>
    <t>Maintenance breeding</t>
  </si>
  <si>
    <t>Land purchase</t>
  </si>
  <si>
    <t>Capacity building</t>
  </si>
  <si>
    <t>Hybridization</t>
  </si>
  <si>
    <r>
      <t>Year 1  (</t>
    </r>
    <r>
      <rPr>
        <sz val="10"/>
        <rFont val="Arial"/>
        <family val="2"/>
      </rPr>
      <t>July 2017 to June 2018)</t>
    </r>
  </si>
  <si>
    <r>
      <t>Year 2  (</t>
    </r>
    <r>
      <rPr>
        <sz val="10"/>
        <rFont val="Arial"/>
        <family val="2"/>
      </rPr>
      <t>July 2018 to June 2019)</t>
    </r>
  </si>
  <si>
    <r>
      <t>Year 3  (</t>
    </r>
    <r>
      <rPr>
        <sz val="10"/>
        <rFont val="Arial"/>
        <family val="2"/>
      </rPr>
      <t>July 2019 to June 2020)</t>
    </r>
  </si>
  <si>
    <r>
      <t>Year 4  (</t>
    </r>
    <r>
      <rPr>
        <sz val="10"/>
        <rFont val="Arial"/>
        <family val="2"/>
      </rPr>
      <t>July 2020 to June 2021)</t>
    </r>
  </si>
  <si>
    <r>
      <t>Year 5  (</t>
    </r>
    <r>
      <rPr>
        <sz val="10"/>
        <rFont val="Arial"/>
        <family val="2"/>
      </rPr>
      <t>July 2021 to June 2022)</t>
    </r>
  </si>
  <si>
    <t>Year 6 (July 2022 to June 2023)</t>
  </si>
  <si>
    <t>Y6</t>
  </si>
  <si>
    <t>Y1 (Base year)</t>
  </si>
  <si>
    <t>Around NRs. 30 million</t>
  </si>
  <si>
    <t>Around 15% of annual expenditure</t>
  </si>
  <si>
    <t>Around 10% of annual expenditure</t>
  </si>
  <si>
    <t>Direct Income</t>
  </si>
  <si>
    <t xml:space="preserve">Net Sales </t>
  </si>
  <si>
    <t xml:space="preserve">Less : Cost of goods sold </t>
  </si>
  <si>
    <t>Gross profit/(Loss)</t>
  </si>
  <si>
    <t>Less : Indirect Expenses</t>
  </si>
  <si>
    <t>Earning Before Depreciation, Interest &amp; Tax (EBDIT)</t>
  </si>
  <si>
    <t>Less : Depreciation Expenses</t>
  </si>
  <si>
    <t>Earning Before Interest &amp; Tax (EBIT)</t>
  </si>
  <si>
    <t>Less : Bank Interest Expenses</t>
  </si>
  <si>
    <t>Earning Before  Tax (EBT)</t>
  </si>
  <si>
    <t>Less: Loss on sale of Fixed Assets</t>
  </si>
  <si>
    <t>Less : Provision for Income Tax</t>
  </si>
  <si>
    <t xml:space="preserve">Earning After  Tax (EAT) </t>
  </si>
  <si>
    <t>Year 0 (July 2017 to June 2018)</t>
  </si>
  <si>
    <r>
      <t>Year 1  (</t>
    </r>
    <r>
      <rPr>
        <sz val="10"/>
        <rFont val="Arial"/>
        <family val="2"/>
      </rPr>
      <t>July 2018 to June 2019)</t>
    </r>
  </si>
  <si>
    <r>
      <t>Year 2  (</t>
    </r>
    <r>
      <rPr>
        <sz val="10"/>
        <rFont val="Arial"/>
        <family val="2"/>
      </rPr>
      <t>July 2019 to June 2020)</t>
    </r>
  </si>
  <si>
    <r>
      <t>Year 3  (</t>
    </r>
    <r>
      <rPr>
        <sz val="10"/>
        <rFont val="Arial"/>
        <family val="2"/>
      </rPr>
      <t>July 2020 to June 2021)</t>
    </r>
  </si>
  <si>
    <r>
      <t>Year 4  (</t>
    </r>
    <r>
      <rPr>
        <sz val="10"/>
        <rFont val="Arial"/>
        <family val="2"/>
      </rPr>
      <t>July 2021 to June 2022)</t>
    </r>
  </si>
  <si>
    <r>
      <t>Year 5  (</t>
    </r>
    <r>
      <rPr>
        <sz val="10"/>
        <rFont val="Arial"/>
        <family val="2"/>
      </rPr>
      <t>July 2022 to June 2023)</t>
    </r>
  </si>
  <si>
    <t>Opening stock</t>
  </si>
  <si>
    <t>Closing stock</t>
  </si>
  <si>
    <t>Total direct costs</t>
  </si>
  <si>
    <t>Year 1_total</t>
  </si>
  <si>
    <t>Year 2_total</t>
  </si>
  <si>
    <t>Year 3_total</t>
  </si>
  <si>
    <t>Year 4_total</t>
  </si>
  <si>
    <t>Year 5_total</t>
  </si>
  <si>
    <t>Cost of Goods Sold</t>
  </si>
  <si>
    <t>Administrative Expenses</t>
  </si>
  <si>
    <t>Total of Admininstrative, selling and distribution cost</t>
  </si>
  <si>
    <t>Net profit after Tax</t>
  </si>
  <si>
    <t># Contingency: 5% of indirect cost (Administrative, selling and marketing expenses)</t>
  </si>
  <si>
    <t># Net profit: Gross profit (Income from sales-Direct cost)-Grand total of indirect costs</t>
  </si>
  <si>
    <t>Grand total of indirect costs (Administrative, selling and marketing)</t>
  </si>
  <si>
    <t>Net profit before Tax</t>
  </si>
  <si>
    <t>Cumulative profit transferred to B/s</t>
  </si>
  <si>
    <t># All amounts are in '000 s figure</t>
  </si>
  <si>
    <t>Block</t>
  </si>
  <si>
    <t>Total as on 32.03.2075</t>
  </si>
  <si>
    <t>Net Block as on 32.03.2075</t>
  </si>
  <si>
    <t>A</t>
  </si>
  <si>
    <t>Land &amp; Building</t>
  </si>
  <si>
    <t>Land</t>
  </si>
  <si>
    <t>Godown and office Building</t>
  </si>
  <si>
    <t>Laboratory</t>
  </si>
  <si>
    <t>B</t>
  </si>
  <si>
    <t>Office Equipment and Furniture</t>
  </si>
  <si>
    <t>Furniture &amp; Fixtures</t>
  </si>
  <si>
    <t>Computer</t>
  </si>
  <si>
    <t>Projector</t>
  </si>
  <si>
    <t>Humidifier</t>
  </si>
  <si>
    <t>Camera</t>
  </si>
  <si>
    <t>CCTV Camera</t>
  </si>
  <si>
    <t>Air Conditioner</t>
  </si>
  <si>
    <t>C</t>
  </si>
  <si>
    <t>Vechicles</t>
  </si>
  <si>
    <t>Scorpio Pickup</t>
  </si>
  <si>
    <t>Power Tillar and Reaper</t>
  </si>
  <si>
    <t>Two Wheeler</t>
  </si>
  <si>
    <t>D</t>
  </si>
  <si>
    <t>Plant &amp; Machinary</t>
  </si>
  <si>
    <t>Weighing Balance Machine</t>
  </si>
  <si>
    <t>Grading Machine</t>
  </si>
  <si>
    <t>Generator</t>
  </si>
  <si>
    <t>Wooden Crate</t>
  </si>
  <si>
    <t>Bicycle</t>
  </si>
  <si>
    <t>Air Compressor Machine</t>
  </si>
  <si>
    <t>Refrigerator</t>
  </si>
  <si>
    <t>Seed Germinator</t>
  </si>
  <si>
    <t>Seed Packing Machine</t>
  </si>
  <si>
    <t>Water Tank</t>
  </si>
  <si>
    <t>Lab Tools</t>
  </si>
  <si>
    <t>Total Fixed Assets</t>
  </si>
  <si>
    <t>Rate of Depreciation</t>
  </si>
  <si>
    <t>Depreciation during the year 1 (base year)</t>
  </si>
  <si>
    <t>Add_Opening Balance</t>
  </si>
  <si>
    <t>Add_Q1</t>
  </si>
  <si>
    <t>Add_Q2</t>
  </si>
  <si>
    <t>Add_Q3</t>
  </si>
  <si>
    <t>Add_Q4</t>
  </si>
  <si>
    <t># Gross Block: Addition during the year quarters + Opening balance</t>
  </si>
  <si>
    <t>Administrative, selling and marketing expenses (Indirect expenses)</t>
  </si>
  <si>
    <t>Program Expenses (Indirect expenses)</t>
  </si>
  <si>
    <t>Program Income (Indirect income)</t>
  </si>
  <si>
    <t>Add: Indirect income</t>
  </si>
  <si>
    <t>Y2_depreciation</t>
  </si>
  <si>
    <t>Y3_depreciation</t>
  </si>
  <si>
    <t>Y4_depreciation</t>
  </si>
  <si>
    <t>Y5_depreciation</t>
  </si>
  <si>
    <t>Y2_Net Block</t>
  </si>
  <si>
    <t>Y3_Net Block</t>
  </si>
  <si>
    <t>Y4_Net Block</t>
  </si>
  <si>
    <t>Y5_Net Block</t>
  </si>
  <si>
    <t># Indirect income heads have to be added</t>
  </si>
  <si>
    <t># Bank interest expenses will have to be taken into account</t>
  </si>
  <si>
    <t># 20 percent of Earning Before Tax</t>
  </si>
  <si>
    <t># From annual depreciation of fixed assets (projected without asset addition)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</si>
</sst>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color indexed="19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48"/>
      <name val="Arial"/>
      <family val="2"/>
    </font>
    <font>
      <sz val="10"/>
      <color indexed="53"/>
      <name val="Arial"/>
      <family val="2"/>
    </font>
    <font>
      <b/>
      <sz val="10"/>
      <color indexed="53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4"/>
      <color indexed="17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2"/>
      <color indexed="12"/>
      <name val="Arial"/>
      <family val="2"/>
    </font>
    <font>
      <b/>
      <sz val="11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14" borderId="33" applyNumberFormat="0" applyAlignment="0" applyProtection="0"/>
    <xf numFmtId="0" fontId="26" fillId="15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7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0" fontId="5" fillId="4" borderId="0" xfId="0" applyFont="1" applyFill="1"/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4" borderId="0" xfId="0" applyFont="1" applyFill="1"/>
    <xf numFmtId="0" fontId="4" fillId="4" borderId="1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17" fontId="0" fillId="4" borderId="1" xfId="0" applyNumberFormat="1" applyFont="1" applyFill="1" applyBorder="1" applyAlignment="1">
      <alignment horizontal="center"/>
    </xf>
    <xf numFmtId="17" fontId="0" fillId="4" borderId="4" xfId="0" applyNumberFormat="1" applyFont="1" applyFill="1" applyBorder="1" applyAlignment="1">
      <alignment horizontal="center"/>
    </xf>
    <xf numFmtId="0" fontId="0" fillId="4" borderId="1" xfId="0" applyFont="1" applyFill="1" applyBorder="1"/>
    <xf numFmtId="0" fontId="0" fillId="4" borderId="0" xfId="0" applyFont="1" applyFill="1" applyBorder="1"/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43" fontId="7" fillId="6" borderId="7" xfId="1" applyFont="1" applyFill="1" applyBorder="1"/>
    <xf numFmtId="43" fontId="4" fillId="6" borderId="7" xfId="1" applyFont="1" applyFill="1" applyBorder="1"/>
    <xf numFmtId="43" fontId="4" fillId="6" borderId="5" xfId="1" applyFont="1" applyFill="1" applyBorder="1"/>
    <xf numFmtId="43" fontId="6" fillId="6" borderId="7" xfId="1" applyFont="1" applyFill="1" applyBorder="1"/>
    <xf numFmtId="0" fontId="0" fillId="5" borderId="0" xfId="0" applyFill="1"/>
    <xf numFmtId="43" fontId="8" fillId="0" borderId="7" xfId="1" applyFont="1" applyFill="1" applyBorder="1" applyAlignment="1">
      <alignment wrapText="1"/>
    </xf>
    <xf numFmtId="43" fontId="0" fillId="0" borderId="7" xfId="1" applyFont="1" applyBorder="1"/>
    <xf numFmtId="43" fontId="4" fillId="0" borderId="7" xfId="1" applyFont="1" applyFill="1" applyBorder="1" applyAlignment="1">
      <alignment wrapText="1"/>
    </xf>
    <xf numFmtId="43" fontId="0" fillId="7" borderId="7" xfId="1" applyFont="1" applyFill="1" applyBorder="1"/>
    <xf numFmtId="43" fontId="0" fillId="0" borderId="7" xfId="1" applyFont="1" applyFill="1" applyBorder="1"/>
    <xf numFmtId="0" fontId="0" fillId="0" borderId="7" xfId="0" applyBorder="1"/>
    <xf numFmtId="43" fontId="4" fillId="7" borderId="7" xfId="1" applyFont="1" applyFill="1" applyBorder="1" applyAlignment="1"/>
    <xf numFmtId="43" fontId="7" fillId="9" borderId="7" xfId="1" applyFont="1" applyFill="1" applyBorder="1"/>
    <xf numFmtId="43" fontId="0" fillId="9" borderId="7" xfId="1" applyFont="1" applyFill="1" applyBorder="1"/>
    <xf numFmtId="43" fontId="4" fillId="9" borderId="7" xfId="1" applyFont="1" applyFill="1" applyBorder="1"/>
    <xf numFmtId="0" fontId="0" fillId="7" borderId="7" xfId="0" applyFill="1" applyBorder="1"/>
    <xf numFmtId="43" fontId="7" fillId="7" borderId="7" xfId="1" applyFont="1" applyFill="1" applyBorder="1"/>
    <xf numFmtId="43" fontId="5" fillId="10" borderId="7" xfId="1" applyFont="1" applyFill="1" applyBorder="1"/>
    <xf numFmtId="43" fontId="6" fillId="10" borderId="7" xfId="1" applyFont="1" applyFill="1" applyBorder="1"/>
    <xf numFmtId="0" fontId="6" fillId="10" borderId="7" xfId="0" applyFont="1" applyFill="1" applyBorder="1"/>
    <xf numFmtId="43" fontId="5" fillId="7" borderId="7" xfId="1" applyFont="1" applyFill="1" applyBorder="1"/>
    <xf numFmtId="43" fontId="6" fillId="7" borderId="7" xfId="1" applyFont="1" applyFill="1" applyBorder="1"/>
    <xf numFmtId="0" fontId="6" fillId="7" borderId="7" xfId="0" applyFont="1" applyFill="1" applyBorder="1"/>
    <xf numFmtId="43" fontId="6" fillId="0" borderId="7" xfId="1" applyFont="1" applyFill="1" applyBorder="1"/>
    <xf numFmtId="0" fontId="0" fillId="10" borderId="7" xfId="0" applyFill="1" applyBorder="1"/>
    <xf numFmtId="43" fontId="7" fillId="8" borderId="7" xfId="1" applyFont="1" applyFill="1" applyBorder="1"/>
    <xf numFmtId="43" fontId="0" fillId="8" borderId="7" xfId="1" applyFont="1" applyFill="1" applyBorder="1"/>
    <xf numFmtId="0" fontId="0" fillId="4" borderId="0" xfId="0" applyFill="1"/>
    <xf numFmtId="0" fontId="7" fillId="11" borderId="0" xfId="0" applyFont="1" applyFill="1" applyBorder="1" applyAlignment="1"/>
    <xf numFmtId="0" fontId="0" fillId="11" borderId="0" xfId="0" applyFill="1" applyBorder="1" applyAlignment="1"/>
    <xf numFmtId="0" fontId="7" fillId="4" borderId="0" xfId="0" applyFont="1" applyFill="1" applyBorder="1" applyAlignment="1"/>
    <xf numFmtId="0" fontId="0" fillId="4" borderId="0" xfId="0" applyFill="1" applyBorder="1" applyAlignment="1"/>
    <xf numFmtId="0" fontId="7" fillId="4" borderId="7" xfId="0" applyFont="1" applyFill="1" applyBorder="1"/>
    <xf numFmtId="0" fontId="3" fillId="11" borderId="7" xfId="0" applyFont="1" applyFill="1" applyBorder="1" applyAlignment="1">
      <alignment horizontal="center" wrapText="1"/>
    </xf>
    <xf numFmtId="0" fontId="0" fillId="11" borderId="7" xfId="0" applyFill="1" applyBorder="1"/>
    <xf numFmtId="0" fontId="4" fillId="4" borderId="7" xfId="0" applyFont="1" applyFill="1" applyBorder="1" applyAlignment="1">
      <alignment wrapText="1"/>
    </xf>
    <xf numFmtId="0" fontId="4" fillId="4" borderId="7" xfId="0" applyFont="1" applyFill="1" applyBorder="1"/>
    <xf numFmtId="3" fontId="4" fillId="11" borderId="7" xfId="0" applyNumberFormat="1" applyFont="1" applyFill="1" applyBorder="1" applyAlignment="1">
      <alignment horizontal="center"/>
    </xf>
    <xf numFmtId="3" fontId="0" fillId="4" borderId="7" xfId="0" applyNumberFormat="1" applyFill="1" applyBorder="1"/>
    <xf numFmtId="0" fontId="0" fillId="4" borderId="7" xfId="0" applyFill="1" applyBorder="1"/>
    <xf numFmtId="3" fontId="0" fillId="11" borderId="7" xfId="0" applyNumberFormat="1" applyFill="1" applyBorder="1"/>
    <xf numFmtId="4" fontId="0" fillId="11" borderId="7" xfId="0" applyNumberFormat="1" applyFill="1" applyBorder="1"/>
    <xf numFmtId="43" fontId="0" fillId="11" borderId="7" xfId="0" applyNumberFormat="1" applyFill="1" applyBorder="1"/>
    <xf numFmtId="43" fontId="0" fillId="4" borderId="7" xfId="0" applyNumberFormat="1" applyFill="1" applyBorder="1"/>
    <xf numFmtId="9" fontId="0" fillId="11" borderId="7" xfId="0" applyNumberFormat="1" applyFill="1" applyBorder="1"/>
    <xf numFmtId="1" fontId="0" fillId="11" borderId="7" xfId="0" applyNumberFormat="1" applyFill="1" applyBorder="1"/>
    <xf numFmtId="0" fontId="0" fillId="5" borderId="0" xfId="0" applyFill="1" applyBorder="1"/>
    <xf numFmtId="1" fontId="0" fillId="5" borderId="0" xfId="0" applyNumberFormat="1" applyFill="1" applyBorder="1"/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7" fontId="10" fillId="4" borderId="7" xfId="0" applyNumberFormat="1" applyFont="1" applyFill="1" applyBorder="1"/>
    <xf numFmtId="17" fontId="5" fillId="4" borderId="7" xfId="0" applyNumberFormat="1" applyFont="1" applyFill="1" applyBorder="1"/>
    <xf numFmtId="17" fontId="0" fillId="4" borderId="7" xfId="0" applyNumberFormat="1" applyFill="1" applyBorder="1"/>
    <xf numFmtId="17" fontId="5" fillId="4" borderId="0" xfId="0" applyNumberFormat="1" applyFont="1" applyFill="1" applyBorder="1"/>
    <xf numFmtId="17" fontId="5" fillId="4" borderId="4" xfId="0" applyNumberFormat="1" applyFont="1" applyFill="1" applyBorder="1"/>
    <xf numFmtId="0" fontId="2" fillId="4" borderId="7" xfId="0" applyFont="1" applyFill="1" applyBorder="1" applyAlignment="1">
      <alignment horizontal="left"/>
    </xf>
    <xf numFmtId="17" fontId="10" fillId="4" borderId="7" xfId="0" applyNumberFormat="1" applyFont="1" applyFill="1" applyBorder="1" applyAlignment="1">
      <alignment horizontal="center"/>
    </xf>
    <xf numFmtId="17" fontId="11" fillId="4" borderId="7" xfId="0" applyNumberFormat="1" applyFont="1" applyFill="1" applyBorder="1" applyAlignment="1">
      <alignment horizontal="center"/>
    </xf>
    <xf numFmtId="17" fontId="11" fillId="4" borderId="0" xfId="0" applyNumberFormat="1" applyFont="1" applyFill="1" applyBorder="1" applyAlignment="1">
      <alignment horizontal="center"/>
    </xf>
    <xf numFmtId="17" fontId="11" fillId="4" borderId="4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4" fontId="4" fillId="4" borderId="2" xfId="0" applyNumberFormat="1" applyFont="1" applyFill="1" applyBorder="1" applyAlignment="1">
      <alignment horizontal="right"/>
    </xf>
    <xf numFmtId="0" fontId="4" fillId="12" borderId="10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164" fontId="4" fillId="12" borderId="11" xfId="1" applyNumberFormat="1" applyFont="1" applyFill="1" applyBorder="1" applyAlignment="1">
      <alignment horizontal="left"/>
    </xf>
    <xf numFmtId="164" fontId="4" fillId="12" borderId="11" xfId="1" applyNumberFormat="1" applyFont="1" applyFill="1" applyBorder="1" applyAlignment="1">
      <alignment horizontal="right"/>
    </xf>
    <xf numFmtId="164" fontId="6" fillId="12" borderId="11" xfId="1" applyNumberFormat="1" applyFont="1" applyFill="1" applyBorder="1"/>
    <xf numFmtId="164" fontId="5" fillId="12" borderId="11" xfId="1" applyNumberFormat="1" applyFont="1" applyFill="1" applyBorder="1"/>
    <xf numFmtId="164" fontId="5" fillId="12" borderId="12" xfId="1" applyNumberFormat="1" applyFont="1" applyFill="1" applyBorder="1"/>
    <xf numFmtId="164" fontId="5" fillId="12" borderId="13" xfId="1" applyNumberFormat="1" applyFont="1" applyFill="1" applyBorder="1"/>
    <xf numFmtId="0" fontId="12" fillId="12" borderId="14" xfId="0" applyFont="1" applyFill="1" applyBorder="1" applyAlignment="1">
      <alignment horizontal="left"/>
    </xf>
    <xf numFmtId="0" fontId="4" fillId="12" borderId="7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/>
    </xf>
    <xf numFmtId="164" fontId="13" fillId="12" borderId="7" xfId="1" applyNumberFormat="1" applyFont="1" applyFill="1" applyBorder="1" applyAlignment="1">
      <alignment horizontal="left"/>
    </xf>
    <xf numFmtId="164" fontId="4" fillId="12" borderId="7" xfId="1" applyNumberFormat="1" applyFont="1" applyFill="1" applyBorder="1" applyAlignment="1">
      <alignment horizontal="right"/>
    </xf>
    <xf numFmtId="164" fontId="6" fillId="12" borderId="7" xfId="1" applyNumberFormat="1" applyFont="1" applyFill="1" applyBorder="1"/>
    <xf numFmtId="164" fontId="5" fillId="12" borderId="7" xfId="1" applyNumberFormat="1" applyFont="1" applyFill="1" applyBorder="1"/>
    <xf numFmtId="164" fontId="5" fillId="12" borderId="15" xfId="1" applyNumberFormat="1" applyFont="1" applyFill="1" applyBorder="1"/>
    <xf numFmtId="0" fontId="4" fillId="12" borderId="14" xfId="0" applyFont="1" applyFill="1" applyBorder="1" applyAlignment="1">
      <alignment horizontal="left"/>
    </xf>
    <xf numFmtId="164" fontId="6" fillId="12" borderId="15" xfId="1" applyNumberFormat="1" applyFont="1" applyFill="1" applyBorder="1"/>
    <xf numFmtId="0" fontId="3" fillId="12" borderId="7" xfId="0" applyFont="1" applyFill="1" applyBorder="1" applyAlignment="1">
      <alignment horizontal="center"/>
    </xf>
    <xf numFmtId="0" fontId="14" fillId="12" borderId="7" xfId="0" applyFont="1" applyFill="1" applyBorder="1" applyAlignment="1">
      <alignment horizontal="center"/>
    </xf>
    <xf numFmtId="164" fontId="14" fillId="12" borderId="7" xfId="1" applyNumberFormat="1" applyFont="1" applyFill="1" applyBorder="1" applyAlignment="1">
      <alignment horizontal="left"/>
    </xf>
    <xf numFmtId="0" fontId="4" fillId="12" borderId="14" xfId="0" applyFont="1" applyFill="1" applyBorder="1" applyAlignment="1">
      <alignment horizontal="left" indent="1"/>
    </xf>
    <xf numFmtId="164" fontId="13" fillId="12" borderId="7" xfId="1" applyNumberFormat="1" applyFont="1" applyFill="1" applyBorder="1" applyAlignment="1">
      <alignment horizontal="left" indent="1"/>
    </xf>
    <xf numFmtId="0" fontId="15" fillId="12" borderId="14" xfId="0" applyFont="1" applyFill="1" applyBorder="1" applyAlignment="1">
      <alignment horizontal="left" indent="1"/>
    </xf>
    <xf numFmtId="0" fontId="15" fillId="12" borderId="7" xfId="0" applyFont="1" applyFill="1" applyBorder="1" applyAlignment="1">
      <alignment horizontal="center"/>
    </xf>
    <xf numFmtId="164" fontId="15" fillId="12" borderId="7" xfId="1" applyNumberFormat="1" applyFont="1" applyFill="1" applyBorder="1" applyAlignment="1">
      <alignment horizontal="left" indent="1"/>
    </xf>
    <xf numFmtId="164" fontId="15" fillId="12" borderId="7" xfId="1" applyNumberFormat="1" applyFont="1" applyFill="1" applyBorder="1" applyAlignment="1">
      <alignment horizontal="right"/>
    </xf>
    <xf numFmtId="164" fontId="16" fillId="12" borderId="7" xfId="1" applyNumberFormat="1" applyFont="1" applyFill="1" applyBorder="1"/>
    <xf numFmtId="164" fontId="17" fillId="12" borderId="7" xfId="1" applyNumberFormat="1" applyFont="1" applyFill="1" applyBorder="1"/>
    <xf numFmtId="164" fontId="17" fillId="12" borderId="11" xfId="1" applyNumberFormat="1" applyFont="1" applyFill="1" applyBorder="1"/>
    <xf numFmtId="164" fontId="17" fillId="12" borderId="12" xfId="1" applyNumberFormat="1" applyFont="1" applyFill="1" applyBorder="1"/>
    <xf numFmtId="164" fontId="16" fillId="12" borderId="15" xfId="1" applyNumberFormat="1" applyFont="1" applyFill="1" applyBorder="1"/>
    <xf numFmtId="0" fontId="3" fillId="12" borderId="14" xfId="0" applyFont="1" applyFill="1" applyBorder="1" applyAlignment="1">
      <alignment horizontal="left"/>
    </xf>
    <xf numFmtId="164" fontId="3" fillId="12" borderId="7" xfId="1" applyNumberFormat="1" applyFont="1" applyFill="1" applyBorder="1" applyAlignment="1">
      <alignment horizontal="right"/>
    </xf>
    <xf numFmtId="164" fontId="5" fillId="12" borderId="16" xfId="1" applyNumberFormat="1" applyFont="1" applyFill="1" applyBorder="1"/>
    <xf numFmtId="164" fontId="5" fillId="12" borderId="5" xfId="1" applyNumberFormat="1" applyFont="1" applyFill="1" applyBorder="1"/>
    <xf numFmtId="0" fontId="3" fillId="12" borderId="17" xfId="0" applyFont="1" applyFill="1" applyBorder="1" applyAlignment="1">
      <alignment horizontal="left"/>
    </xf>
    <xf numFmtId="0" fontId="3" fillId="12" borderId="16" xfId="0" applyFont="1" applyFill="1" applyBorder="1" applyAlignment="1">
      <alignment horizontal="center"/>
    </xf>
    <xf numFmtId="164" fontId="3" fillId="12" borderId="16" xfId="1" applyNumberFormat="1" applyFont="1" applyFill="1" applyBorder="1" applyAlignment="1">
      <alignment horizontal="left"/>
    </xf>
    <xf numFmtId="164" fontId="3" fillId="12" borderId="16" xfId="1" applyNumberFormat="1" applyFont="1" applyFill="1" applyBorder="1"/>
    <xf numFmtId="0" fontId="12" fillId="12" borderId="18" xfId="0" applyFont="1" applyFill="1" applyBorder="1" applyAlignment="1">
      <alignment horizontal="left"/>
    </xf>
    <xf numFmtId="0" fontId="3" fillId="12" borderId="5" xfId="0" applyFont="1" applyFill="1" applyBorder="1" applyAlignment="1">
      <alignment horizontal="center"/>
    </xf>
    <xf numFmtId="164" fontId="3" fillId="12" borderId="5" xfId="1" applyNumberFormat="1" applyFont="1" applyFill="1" applyBorder="1" applyAlignment="1">
      <alignment horizontal="left"/>
    </xf>
    <xf numFmtId="164" fontId="4" fillId="12" borderId="5" xfId="1" applyNumberFormat="1" applyFont="1" applyFill="1" applyBorder="1" applyAlignment="1">
      <alignment horizontal="right"/>
    </xf>
    <xf numFmtId="164" fontId="6" fillId="12" borderId="5" xfId="1" applyNumberFormat="1" applyFont="1" applyFill="1" applyBorder="1"/>
    <xf numFmtId="164" fontId="5" fillId="12" borderId="6" xfId="1" applyNumberFormat="1" applyFont="1" applyFill="1" applyBorder="1"/>
    <xf numFmtId="164" fontId="5" fillId="12" borderId="19" xfId="1" applyNumberFormat="1" applyFont="1" applyFill="1" applyBorder="1"/>
    <xf numFmtId="164" fontId="4" fillId="12" borderId="7" xfId="1" applyNumberFormat="1" applyFont="1" applyFill="1" applyBorder="1" applyAlignment="1">
      <alignment horizontal="left" indent="1"/>
    </xf>
    <xf numFmtId="0" fontId="3" fillId="12" borderId="18" xfId="0" applyFont="1" applyFill="1" applyBorder="1" applyAlignment="1">
      <alignment horizontal="left"/>
    </xf>
    <xf numFmtId="164" fontId="3" fillId="12" borderId="7" xfId="1" applyNumberFormat="1" applyFont="1" applyFill="1" applyBorder="1" applyAlignment="1">
      <alignment horizontal="left"/>
    </xf>
    <xf numFmtId="164" fontId="3" fillId="12" borderId="7" xfId="1" applyNumberFormat="1" applyFont="1" applyFill="1" applyBorder="1"/>
    <xf numFmtId="164" fontId="4" fillId="12" borderId="7" xfId="1" applyNumberFormat="1" applyFont="1" applyFill="1" applyBorder="1" applyAlignment="1">
      <alignment horizontal="left"/>
    </xf>
    <xf numFmtId="164" fontId="4" fillId="12" borderId="7" xfId="1" applyNumberFormat="1" applyFont="1" applyFill="1" applyBorder="1"/>
    <xf numFmtId="0" fontId="3" fillId="12" borderId="20" xfId="0" applyFont="1" applyFill="1" applyBorder="1" applyAlignment="1">
      <alignment horizontal="left" indent="1"/>
    </xf>
    <xf numFmtId="0" fontId="3" fillId="12" borderId="2" xfId="0" applyFont="1" applyFill="1" applyBorder="1" applyAlignment="1">
      <alignment horizontal="center"/>
    </xf>
    <xf numFmtId="164" fontId="3" fillId="12" borderId="2" xfId="1" applyNumberFormat="1" applyFont="1" applyFill="1" applyBorder="1" applyAlignment="1">
      <alignment horizontal="left" indent="1"/>
    </xf>
    <xf numFmtId="164" fontId="3" fillId="12" borderId="2" xfId="1" applyNumberFormat="1" applyFont="1" applyFill="1" applyBorder="1" applyAlignment="1">
      <alignment horizontal="right"/>
    </xf>
    <xf numFmtId="164" fontId="5" fillId="12" borderId="2" xfId="1" applyNumberFormat="1" applyFont="1" applyFill="1" applyBorder="1"/>
    <xf numFmtId="0" fontId="3" fillId="12" borderId="21" xfId="0" applyFont="1" applyFill="1" applyBorder="1" applyAlignment="1">
      <alignment horizontal="left" indent="1"/>
    </xf>
    <xf numFmtId="0" fontId="4" fillId="12" borderId="22" xfId="0" applyFont="1" applyFill="1" applyBorder="1" applyAlignment="1">
      <alignment horizontal="center"/>
    </xf>
    <xf numFmtId="164" fontId="4" fillId="12" borderId="22" xfId="1" applyNumberFormat="1" applyFont="1" applyFill="1" applyBorder="1" applyAlignment="1">
      <alignment horizontal="left" indent="1"/>
    </xf>
    <xf numFmtId="164" fontId="3" fillId="12" borderId="22" xfId="1" applyNumberFormat="1" applyFont="1" applyFill="1" applyBorder="1" applyAlignment="1">
      <alignment horizontal="right"/>
    </xf>
    <xf numFmtId="164" fontId="6" fillId="12" borderId="22" xfId="1" applyNumberFormat="1" applyFont="1" applyFill="1" applyBorder="1"/>
    <xf numFmtId="164" fontId="5" fillId="12" borderId="22" xfId="1" applyNumberFormat="1" applyFont="1" applyFill="1" applyBorder="1"/>
    <xf numFmtId="0" fontId="4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center"/>
    </xf>
    <xf numFmtId="164" fontId="4" fillId="0" borderId="0" xfId="1" applyNumberFormat="1" applyFont="1" applyBorder="1" applyAlignment="1">
      <alignment horizontal="left" indent="1"/>
    </xf>
    <xf numFmtId="164" fontId="4" fillId="0" borderId="0" xfId="1" applyNumberFormat="1" applyFont="1" applyBorder="1" applyAlignment="1">
      <alignment horizontal="right"/>
    </xf>
    <xf numFmtId="164" fontId="0" fillId="0" borderId="0" xfId="1" applyNumberFormat="1" applyFont="1"/>
    <xf numFmtId="164" fontId="5" fillId="0" borderId="0" xfId="1" applyNumberFormat="1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0" xfId="0" applyFont="1"/>
    <xf numFmtId="0" fontId="18" fillId="0" borderId="0" xfId="0" applyFont="1" applyBorder="1"/>
    <xf numFmtId="0" fontId="5" fillId="5" borderId="7" xfId="0" applyFont="1" applyFill="1" applyBorder="1" applyAlignment="1">
      <alignment wrapText="1"/>
    </xf>
    <xf numFmtId="0" fontId="0" fillId="5" borderId="7" xfId="0" applyFill="1" applyBorder="1" applyAlignment="1">
      <alignment wrapText="1"/>
    </xf>
    <xf numFmtId="164" fontId="0" fillId="5" borderId="7" xfId="0" applyNumberFormat="1" applyFill="1" applyBorder="1" applyAlignment="1">
      <alignment wrapText="1"/>
    </xf>
    <xf numFmtId="0" fontId="0" fillId="5" borderId="7" xfId="0" applyFill="1" applyBorder="1" applyAlignment="1">
      <alignment horizontal="center" wrapText="1"/>
    </xf>
    <xf numFmtId="164" fontId="0" fillId="0" borderId="0" xfId="0" applyNumberFormat="1"/>
    <xf numFmtId="164" fontId="0" fillId="5" borderId="7" xfId="0" applyNumberFormat="1" applyFill="1" applyBorder="1" applyAlignment="1">
      <alignment horizontal="center" wrapText="1"/>
    </xf>
    <xf numFmtId="0" fontId="0" fillId="5" borderId="7" xfId="0" applyFont="1" applyFill="1" applyBorder="1" applyAlignment="1">
      <alignment wrapText="1"/>
    </xf>
    <xf numFmtId="3" fontId="0" fillId="5" borderId="7" xfId="0" applyNumberFormat="1" applyFill="1" applyBorder="1" applyAlignment="1">
      <alignment wrapText="1"/>
    </xf>
    <xf numFmtId="3" fontId="0" fillId="5" borderId="7" xfId="0" applyNumberFormat="1" applyFill="1" applyBorder="1" applyAlignment="1">
      <alignment horizontal="center" wrapText="1"/>
    </xf>
    <xf numFmtId="1" fontId="0" fillId="5" borderId="7" xfId="0" applyNumberFormat="1" applyFill="1" applyBorder="1" applyAlignment="1">
      <alignment wrapText="1"/>
    </xf>
    <xf numFmtId="1" fontId="0" fillId="5" borderId="7" xfId="0" applyNumberFormat="1" applyFill="1" applyBorder="1" applyAlignment="1">
      <alignment horizontal="center" wrapText="1"/>
    </xf>
    <xf numFmtId="0" fontId="5" fillId="5" borderId="7" xfId="0" applyFont="1" applyFill="1" applyBorder="1"/>
    <xf numFmtId="164" fontId="0" fillId="5" borderId="7" xfId="0" applyNumberFormat="1" applyFill="1" applyBorder="1"/>
    <xf numFmtId="0" fontId="3" fillId="0" borderId="12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7" fontId="5" fillId="0" borderId="4" xfId="0" applyNumberFormat="1" applyFont="1" applyBorder="1"/>
    <xf numFmtId="17" fontId="5" fillId="0" borderId="0" xfId="0" applyNumberFormat="1" applyFont="1" applyBorder="1"/>
    <xf numFmtId="17" fontId="5" fillId="0" borderId="14" xfId="0" applyNumberFormat="1" applyFont="1" applyBorder="1"/>
    <xf numFmtId="17" fontId="5" fillId="0" borderId="7" xfId="0" applyNumberFormat="1" applyFont="1" applyBorder="1"/>
    <xf numFmtId="17" fontId="5" fillId="0" borderId="9" xfId="0" applyNumberFormat="1" applyFont="1" applyBorder="1"/>
    <xf numFmtId="17" fontId="5" fillId="0" borderId="28" xfId="0" applyNumberFormat="1" applyFont="1" applyBorder="1"/>
    <xf numFmtId="17" fontId="5" fillId="0" borderId="29" xfId="0" applyNumberFormat="1" applyFont="1" applyBorder="1"/>
    <xf numFmtId="17" fontId="5" fillId="0" borderId="30" xfId="0" applyNumberFormat="1" applyFont="1" applyBorder="1"/>
    <xf numFmtId="17" fontId="5" fillId="0" borderId="25" xfId="0" applyNumberFormat="1" applyFont="1" applyBorder="1"/>
    <xf numFmtId="17" fontId="5" fillId="0" borderId="10" xfId="0" applyNumberFormat="1" applyFont="1" applyBorder="1"/>
    <xf numFmtId="17" fontId="5" fillId="0" borderId="11" xfId="0" applyNumberFormat="1" applyFont="1" applyBorder="1"/>
    <xf numFmtId="17" fontId="5" fillId="0" borderId="12" xfId="0" applyNumberFormat="1" applyFont="1" applyBorder="1"/>
    <xf numFmtId="17" fontId="5" fillId="0" borderId="24" xfId="0" applyNumberFormat="1" applyFont="1" applyBorder="1"/>
    <xf numFmtId="17" fontId="5" fillId="0" borderId="13" xfId="0" applyNumberFormat="1" applyFont="1" applyBorder="1"/>
    <xf numFmtId="0" fontId="0" fillId="0" borderId="28" xfId="0" applyBorder="1"/>
    <xf numFmtId="17" fontId="0" fillId="0" borderId="4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" fontId="0" fillId="0" borderId="14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5" fillId="0" borderId="9" xfId="0" applyNumberFormat="1" applyFont="1" applyBorder="1" applyAlignment="1">
      <alignment horizontal="center"/>
    </xf>
    <xf numFmtId="17" fontId="0" fillId="0" borderId="28" xfId="0" applyNumberFormat="1" applyBorder="1" applyAlignment="1">
      <alignment horizontal="center"/>
    </xf>
    <xf numFmtId="17" fontId="0" fillId="0" borderId="15" xfId="0" applyNumberFormat="1" applyBorder="1" applyAlignment="1">
      <alignment horizontal="center"/>
    </xf>
    <xf numFmtId="0" fontId="19" fillId="0" borderId="28" xfId="0" applyFont="1" applyBorder="1"/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7" borderId="28" xfId="0" applyFont="1" applyFill="1" applyBorder="1"/>
    <xf numFmtId="0" fontId="3" fillId="7" borderId="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4" fillId="0" borderId="14" xfId="0" applyFont="1" applyFill="1" applyBorder="1" applyAlignment="1"/>
    <xf numFmtId="3" fontId="0" fillId="0" borderId="7" xfId="0" applyNumberFormat="1" applyBorder="1"/>
    <xf numFmtId="3" fontId="5" fillId="0" borderId="9" xfId="0" applyNumberFormat="1" applyFont="1" applyBorder="1"/>
    <xf numFmtId="3" fontId="0" fillId="0" borderId="14" xfId="0" applyNumberFormat="1" applyBorder="1"/>
    <xf numFmtId="3" fontId="0" fillId="0" borderId="28" xfId="0" applyNumberFormat="1" applyBorder="1"/>
    <xf numFmtId="3" fontId="5" fillId="0" borderId="15" xfId="0" applyNumberFormat="1" applyFont="1" applyBorder="1"/>
    <xf numFmtId="3" fontId="5" fillId="0" borderId="0" xfId="0" applyNumberFormat="1" applyFont="1" applyBorder="1"/>
    <xf numFmtId="0" fontId="3" fillId="7" borderId="14" xfId="0" applyFont="1" applyFill="1" applyBorder="1" applyAlignment="1"/>
    <xf numFmtId="3" fontId="0" fillId="7" borderId="7" xfId="0" applyNumberFormat="1" applyFill="1" applyBorder="1"/>
    <xf numFmtId="3" fontId="5" fillId="7" borderId="9" xfId="0" applyNumberFormat="1" applyFont="1" applyFill="1" applyBorder="1"/>
    <xf numFmtId="3" fontId="0" fillId="7" borderId="14" xfId="0" applyNumberFormat="1" applyFill="1" applyBorder="1"/>
    <xf numFmtId="3" fontId="0" fillId="7" borderId="28" xfId="0" applyNumberFormat="1" applyFill="1" applyBorder="1"/>
    <xf numFmtId="3" fontId="0" fillId="7" borderId="0" xfId="0" applyNumberFormat="1" applyFill="1" applyBorder="1"/>
    <xf numFmtId="3" fontId="5" fillId="7" borderId="0" xfId="0" applyNumberFormat="1" applyFont="1" applyFill="1" applyBorder="1"/>
    <xf numFmtId="3" fontId="5" fillId="7" borderId="15" xfId="0" applyNumberFormat="1" applyFont="1" applyFill="1" applyBorder="1"/>
    <xf numFmtId="0" fontId="20" fillId="13" borderId="31" xfId="0" applyFont="1" applyFill="1" applyBorder="1" applyAlignment="1"/>
    <xf numFmtId="3" fontId="21" fillId="13" borderId="4" xfId="0" applyNumberFormat="1" applyFont="1" applyFill="1" applyBorder="1"/>
    <xf numFmtId="0" fontId="22" fillId="0" borderId="31" xfId="0" applyFont="1" applyFill="1" applyBorder="1" applyAlignment="1"/>
    <xf numFmtId="3" fontId="0" fillId="0" borderId="4" xfId="0" applyNumberFormat="1" applyBorder="1"/>
    <xf numFmtId="3" fontId="0" fillId="0" borderId="0" xfId="0" applyNumberFormat="1" applyBorder="1"/>
    <xf numFmtId="3" fontId="3" fillId="7" borderId="4" xfId="0" applyNumberFormat="1" applyFont="1" applyFill="1" applyBorder="1"/>
    <xf numFmtId="3" fontId="3" fillId="7" borderId="0" xfId="0" applyNumberFormat="1" applyFont="1" applyFill="1" applyBorder="1"/>
    <xf numFmtId="3" fontId="3" fillId="7" borderId="14" xfId="0" applyNumberFormat="1" applyFont="1" applyFill="1" applyBorder="1"/>
    <xf numFmtId="3" fontId="3" fillId="7" borderId="7" xfId="0" applyNumberFormat="1" applyFont="1" applyFill="1" applyBorder="1"/>
    <xf numFmtId="3" fontId="3" fillId="7" borderId="28" xfId="0" applyNumberFormat="1" applyFont="1" applyFill="1" applyBorder="1"/>
    <xf numFmtId="3" fontId="4" fillId="0" borderId="7" xfId="0" applyNumberFormat="1" applyFont="1" applyBorder="1"/>
    <xf numFmtId="0" fontId="3" fillId="7" borderId="31" xfId="0" applyFont="1" applyFill="1" applyBorder="1" applyAlignment="1"/>
    <xf numFmtId="0" fontId="0" fillId="7" borderId="0" xfId="0" applyFill="1" applyBorder="1"/>
    <xf numFmtId="0" fontId="5" fillId="7" borderId="0" xfId="0" applyFont="1" applyFill="1" applyBorder="1"/>
    <xf numFmtId="0" fontId="0" fillId="7" borderId="14" xfId="0" applyFill="1" applyBorder="1"/>
    <xf numFmtId="0" fontId="0" fillId="7" borderId="28" xfId="0" applyFill="1" applyBorder="1"/>
    <xf numFmtId="0" fontId="20" fillId="13" borderId="14" xfId="0" applyFont="1" applyFill="1" applyBorder="1" applyAlignment="1"/>
    <xf numFmtId="3" fontId="23" fillId="13" borderId="7" xfId="0" applyNumberFormat="1" applyFont="1" applyFill="1" applyBorder="1"/>
    <xf numFmtId="3" fontId="23" fillId="13" borderId="32" xfId="0" applyNumberFormat="1" applyFont="1" applyFill="1" applyBorder="1"/>
    <xf numFmtId="0" fontId="7" fillId="4" borderId="7" xfId="0" applyFont="1" applyFill="1" applyBorder="1" applyAlignment="1">
      <alignment horizontal="center"/>
    </xf>
    <xf numFmtId="0" fontId="24" fillId="11" borderId="7" xfId="0" applyFont="1" applyFill="1" applyBorder="1"/>
    <xf numFmtId="3" fontId="25" fillId="14" borderId="33" xfId="3" applyNumberFormat="1"/>
    <xf numFmtId="0" fontId="25" fillId="14" borderId="33" xfId="3"/>
    <xf numFmtId="10" fontId="0" fillId="4" borderId="7" xfId="2" applyNumberFormat="1" applyFont="1" applyFill="1" applyBorder="1"/>
    <xf numFmtId="10" fontId="0" fillId="11" borderId="7" xfId="2" applyNumberFormat="1" applyFont="1" applyFill="1" applyBorder="1"/>
    <xf numFmtId="9" fontId="0" fillId="4" borderId="7" xfId="2" applyNumberFormat="1" applyFont="1" applyFill="1" applyBorder="1"/>
    <xf numFmtId="43" fontId="0" fillId="0" borderId="7" xfId="0" applyNumberFormat="1" applyBorder="1"/>
    <xf numFmtId="43" fontId="26" fillId="15" borderId="7" xfId="4" applyNumberFormat="1" applyBorder="1"/>
    <xf numFmtId="0" fontId="3" fillId="0" borderId="23" xfId="0" applyFont="1" applyBorder="1" applyAlignment="1">
      <alignment horizontal="center"/>
    </xf>
    <xf numFmtId="43" fontId="0" fillId="0" borderId="0" xfId="0" applyNumberFormat="1"/>
    <xf numFmtId="3" fontId="0" fillId="0" borderId="0" xfId="0" applyNumberFormat="1"/>
    <xf numFmtId="3" fontId="0" fillId="0" borderId="0" xfId="0" applyNumberFormat="1" applyFill="1" applyBorder="1"/>
    <xf numFmtId="3" fontId="0" fillId="0" borderId="1" xfId="0" applyNumberFormat="1" applyFill="1" applyBorder="1"/>
    <xf numFmtId="0" fontId="28" fillId="4" borderId="2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27" fillId="15" borderId="2" xfId="4" applyFont="1" applyBorder="1" applyAlignment="1">
      <alignment horizontal="center"/>
    </xf>
    <xf numFmtId="0" fontId="27" fillId="15" borderId="5" xfId="4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</cellXfs>
  <cellStyles count="8">
    <cellStyle name="Accent1" xfId="4" builtinId="29"/>
    <cellStyle name="Calculation" xfId="3" builtinId="22"/>
    <cellStyle name="Comma" xfId="1" builtinId="3"/>
    <cellStyle name="Comma 10" xfId="7"/>
    <cellStyle name="Normal" xfId="0" builtinId="0"/>
    <cellStyle name="Normal 12" xfId="5"/>
    <cellStyle name="Percent" xfId="2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8"/>
  <sheetViews>
    <sheetView zoomScaleNormal="100" workbookViewId="0">
      <pane ySplit="5" topLeftCell="A6" activePane="bottomLeft" state="frozen"/>
      <selection pane="bottomLeft" activeCell="E12" sqref="E12"/>
    </sheetView>
  </sheetViews>
  <sheetFormatPr defaultRowHeight="14.4" x14ac:dyDescent="0.3"/>
  <cols>
    <col min="1" max="1" width="33.88671875" customWidth="1"/>
    <col min="2" max="2" width="12.88671875" bestFit="1" customWidth="1"/>
    <col min="3" max="3" width="12.44140625" bestFit="1" customWidth="1"/>
    <col min="4" max="4" width="11.88671875" customWidth="1"/>
    <col min="5" max="5" width="13.5546875" customWidth="1"/>
    <col min="6" max="6" width="13.44140625" customWidth="1"/>
    <col min="7" max="7" width="13.6640625" customWidth="1"/>
    <col min="8" max="8" width="13.88671875" customWidth="1"/>
    <col min="9" max="9" width="14.109375" customWidth="1"/>
    <col min="10" max="10" width="11.88671875" bestFit="1" customWidth="1"/>
    <col min="11" max="11" width="12.6640625" customWidth="1"/>
    <col min="12" max="12" width="15.5546875" customWidth="1"/>
    <col min="13" max="13" width="12.33203125" bestFit="1" customWidth="1"/>
    <col min="14" max="14" width="14.5546875" customWidth="1"/>
    <col min="15" max="15" width="13.109375" customWidth="1"/>
    <col min="16" max="16" width="15.6640625" customWidth="1"/>
    <col min="17" max="17" width="14.6640625" customWidth="1"/>
    <col min="18" max="18" width="12.33203125" bestFit="1" customWidth="1"/>
    <col min="19" max="19" width="14.109375" bestFit="1" customWidth="1"/>
    <col min="20" max="20" width="12.33203125" bestFit="1" customWidth="1"/>
    <col min="21" max="21" width="13" bestFit="1" customWidth="1"/>
    <col min="22" max="22" width="13.109375" customWidth="1"/>
    <col min="23" max="23" width="12.33203125" bestFit="1" customWidth="1"/>
    <col min="24" max="24" width="16.44140625" customWidth="1"/>
    <col min="25" max="25" width="13" customWidth="1"/>
    <col min="26" max="26" width="15.88671875" customWidth="1"/>
    <col min="27" max="27" width="12.5546875" bestFit="1" customWidth="1"/>
    <col min="28" max="28" width="12" bestFit="1" customWidth="1"/>
    <col min="29" max="29" width="9.109375" bestFit="1" customWidth="1"/>
    <col min="30" max="30" width="13.88671875" bestFit="1" customWidth="1"/>
  </cols>
  <sheetData>
    <row r="2" spans="1:30" ht="15.6" x14ac:dyDescent="0.3">
      <c r="A2" s="1"/>
      <c r="B2" s="2"/>
      <c r="C2" s="1"/>
      <c r="D2" s="263" t="s">
        <v>209</v>
      </c>
      <c r="E2" s="263"/>
      <c r="F2" s="263"/>
      <c r="G2" s="263"/>
      <c r="H2" s="264" t="s">
        <v>210</v>
      </c>
      <c r="I2" s="264"/>
      <c r="J2" s="264"/>
      <c r="K2" s="264"/>
      <c r="L2" s="263" t="s">
        <v>211</v>
      </c>
      <c r="M2" s="263"/>
      <c r="N2" s="263"/>
      <c r="O2" s="263"/>
      <c r="P2" s="260" t="s">
        <v>212</v>
      </c>
      <c r="Q2" s="260"/>
      <c r="R2" s="260"/>
      <c r="S2" s="260"/>
      <c r="T2" s="263" t="s">
        <v>213</v>
      </c>
      <c r="U2" s="263"/>
      <c r="V2" s="263"/>
      <c r="W2" s="263"/>
      <c r="X2" s="260" t="s">
        <v>227</v>
      </c>
      <c r="Y2" s="260"/>
      <c r="Z2" s="260"/>
      <c r="AA2" s="260"/>
      <c r="AB2" s="3"/>
      <c r="AC2" s="3"/>
      <c r="AD2" s="3"/>
    </row>
    <row r="3" spans="1:30" ht="14.4" customHeight="1" x14ac:dyDescent="0.3">
      <c r="A3" s="4"/>
      <c r="B3" s="5" t="s">
        <v>214</v>
      </c>
      <c r="C3" s="6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1</v>
      </c>
      <c r="I3" s="7" t="s">
        <v>2</v>
      </c>
      <c r="J3" s="7" t="s">
        <v>3</v>
      </c>
      <c r="K3" s="7" t="s">
        <v>4</v>
      </c>
      <c r="L3" s="7" t="s">
        <v>1</v>
      </c>
      <c r="M3" s="7" t="s">
        <v>2</v>
      </c>
      <c r="N3" s="7" t="s">
        <v>3</v>
      </c>
      <c r="O3" s="7" t="s">
        <v>4</v>
      </c>
      <c r="P3" s="7" t="s">
        <v>1</v>
      </c>
      <c r="Q3" s="7" t="s">
        <v>2</v>
      </c>
      <c r="R3" s="7" t="s">
        <v>3</v>
      </c>
      <c r="S3" s="7" t="s">
        <v>4</v>
      </c>
      <c r="T3" s="7" t="s">
        <v>1</v>
      </c>
      <c r="U3" s="7" t="s">
        <v>2</v>
      </c>
      <c r="V3" s="7" t="s">
        <v>3</v>
      </c>
      <c r="W3" s="8" t="s">
        <v>4</v>
      </c>
      <c r="X3" s="7" t="s">
        <v>1</v>
      </c>
      <c r="Y3" s="7" t="s">
        <v>2</v>
      </c>
      <c r="Z3" s="7" t="s">
        <v>3</v>
      </c>
      <c r="AA3" s="8" t="s">
        <v>4</v>
      </c>
      <c r="AB3" s="7" t="s">
        <v>21</v>
      </c>
      <c r="AC3" s="6" t="s">
        <v>22</v>
      </c>
      <c r="AD3" s="6" t="s">
        <v>23</v>
      </c>
    </row>
    <row r="4" spans="1:30" ht="14.4" customHeight="1" x14ac:dyDescent="0.3">
      <c r="A4" s="9"/>
      <c r="B4" s="10" t="s">
        <v>24</v>
      </c>
      <c r="C4" s="11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25</v>
      </c>
      <c r="I4" s="12" t="s">
        <v>26</v>
      </c>
      <c r="J4" s="12" t="s">
        <v>27</v>
      </c>
      <c r="K4" s="12" t="s">
        <v>28</v>
      </c>
      <c r="L4" s="12" t="s">
        <v>25</v>
      </c>
      <c r="M4" s="12" t="s">
        <v>26</v>
      </c>
      <c r="N4" s="12" t="s">
        <v>27</v>
      </c>
      <c r="O4" s="12" t="s">
        <v>28</v>
      </c>
      <c r="P4" s="12" t="s">
        <v>25</v>
      </c>
      <c r="Q4" s="12" t="s">
        <v>26</v>
      </c>
      <c r="R4" s="12" t="s">
        <v>27</v>
      </c>
      <c r="S4" s="12" t="s">
        <v>28</v>
      </c>
      <c r="T4" s="12" t="s">
        <v>25</v>
      </c>
      <c r="U4" s="12" t="s">
        <v>26</v>
      </c>
      <c r="V4" s="12" t="s">
        <v>27</v>
      </c>
      <c r="W4" s="13" t="s">
        <v>28</v>
      </c>
      <c r="X4" s="12" t="s">
        <v>25</v>
      </c>
      <c r="Y4" s="12" t="s">
        <v>26</v>
      </c>
      <c r="Z4" s="12" t="s">
        <v>27</v>
      </c>
      <c r="AA4" s="13" t="s">
        <v>28</v>
      </c>
      <c r="AB4" s="14"/>
      <c r="AC4" s="15"/>
      <c r="AD4" s="15"/>
    </row>
    <row r="5" spans="1:30" ht="14.4" customHeight="1" x14ac:dyDescent="0.3">
      <c r="A5" s="9"/>
      <c r="B5" s="10" t="s">
        <v>29</v>
      </c>
      <c r="C5" s="11" t="s">
        <v>30</v>
      </c>
      <c r="D5" s="16" t="s">
        <v>30</v>
      </c>
      <c r="E5" s="16" t="s">
        <v>30</v>
      </c>
      <c r="F5" s="16" t="s">
        <v>30</v>
      </c>
      <c r="G5" s="16" t="s">
        <v>30</v>
      </c>
      <c r="H5" s="16" t="s">
        <v>30</v>
      </c>
      <c r="I5" s="16" t="s">
        <v>30</v>
      </c>
      <c r="J5" s="16" t="s">
        <v>30</v>
      </c>
      <c r="K5" s="16" t="s">
        <v>30</v>
      </c>
      <c r="L5" s="16" t="s">
        <v>30</v>
      </c>
      <c r="M5" s="16" t="s">
        <v>30</v>
      </c>
      <c r="N5" s="16" t="s">
        <v>30</v>
      </c>
      <c r="O5" s="16" t="s">
        <v>30</v>
      </c>
      <c r="P5" s="16" t="s">
        <v>30</v>
      </c>
      <c r="Q5" s="16" t="s">
        <v>30</v>
      </c>
      <c r="R5" s="16" t="s">
        <v>30</v>
      </c>
      <c r="S5" s="16" t="s">
        <v>30</v>
      </c>
      <c r="T5" s="16" t="s">
        <v>30</v>
      </c>
      <c r="U5" s="16" t="s">
        <v>30</v>
      </c>
      <c r="V5" s="16" t="s">
        <v>30</v>
      </c>
      <c r="W5" s="17" t="s">
        <v>30</v>
      </c>
      <c r="X5" s="16" t="s">
        <v>30</v>
      </c>
      <c r="Y5" s="16" t="s">
        <v>30</v>
      </c>
      <c r="Z5" s="16" t="s">
        <v>30</v>
      </c>
      <c r="AA5" s="17" t="s">
        <v>30</v>
      </c>
      <c r="AB5" s="16" t="s">
        <v>31</v>
      </c>
      <c r="AC5" s="16" t="s">
        <v>32</v>
      </c>
      <c r="AD5" s="16" t="s">
        <v>32</v>
      </c>
    </row>
    <row r="6" spans="1:30" ht="17.399999999999999" x14ac:dyDescent="0.3">
      <c r="A6" s="18" t="s">
        <v>33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20"/>
      <c r="AC6" s="21"/>
      <c r="AD6" s="21"/>
    </row>
    <row r="7" spans="1:30" ht="15.6" x14ac:dyDescent="0.3">
      <c r="A7" s="23" t="s">
        <v>34</v>
      </c>
      <c r="B7" s="24">
        <v>60</v>
      </c>
      <c r="C7" s="24">
        <v>28</v>
      </c>
      <c r="D7" s="24"/>
      <c r="E7" s="24">
        <v>20</v>
      </c>
      <c r="F7" s="24"/>
      <c r="G7" s="24">
        <f>E7-E7*0.05</f>
        <v>19</v>
      </c>
      <c r="H7" s="24"/>
      <c r="I7" s="24">
        <v>30</v>
      </c>
      <c r="J7" s="24"/>
      <c r="K7" s="24">
        <f>I7-I7*0.05</f>
        <v>28.5</v>
      </c>
      <c r="L7" s="24"/>
      <c r="M7" s="24">
        <v>40</v>
      </c>
      <c r="N7" s="24"/>
      <c r="O7" s="24">
        <f>M7-M7*0.05</f>
        <v>38</v>
      </c>
      <c r="P7" s="24"/>
      <c r="Q7" s="24">
        <v>55</v>
      </c>
      <c r="R7" s="24"/>
      <c r="S7" s="24">
        <f>Q7-Q7*0.05</f>
        <v>52.25</v>
      </c>
      <c r="T7" s="24"/>
      <c r="U7" s="24">
        <v>65</v>
      </c>
      <c r="V7" s="24"/>
      <c r="W7" s="24">
        <f>U7-U7*0.05</f>
        <v>61.75</v>
      </c>
      <c r="X7" s="24"/>
      <c r="Y7" s="24">
        <v>80</v>
      </c>
      <c r="Z7" s="24"/>
      <c r="AA7" s="24">
        <f>Y7-Y7*0.05</f>
        <v>76</v>
      </c>
      <c r="AB7" s="24"/>
      <c r="AC7" s="24">
        <f>W7+S7+O7+K7+G7+AA7</f>
        <v>275.5</v>
      </c>
      <c r="AD7" s="24"/>
    </row>
    <row r="8" spans="1:30" x14ac:dyDescent="0.3">
      <c r="A8" s="25" t="s">
        <v>35</v>
      </c>
      <c r="B8" s="24"/>
      <c r="C8" s="24"/>
      <c r="D8" s="24"/>
      <c r="E8" s="24"/>
      <c r="F8" s="24"/>
      <c r="G8" s="24">
        <f>G7*B7</f>
        <v>1140</v>
      </c>
      <c r="H8" s="24"/>
      <c r="I8" s="24"/>
      <c r="J8" s="24"/>
      <c r="K8" s="24">
        <f>K7*(B7+B7*0.1)</f>
        <v>1881</v>
      </c>
      <c r="L8" s="24"/>
      <c r="M8" s="24"/>
      <c r="N8" s="24"/>
      <c r="O8" s="24">
        <f>O7*(C7+C7*0.125)</f>
        <v>1197</v>
      </c>
      <c r="P8" s="24"/>
      <c r="Q8" s="24"/>
      <c r="R8" s="24"/>
      <c r="S8" s="24">
        <f>S7*($B$7+$B$7*0.15)</f>
        <v>3605.25</v>
      </c>
      <c r="T8" s="24"/>
      <c r="U8" s="24"/>
      <c r="V8" s="24"/>
      <c r="W8" s="24">
        <f>W7*($B$7+$B$7*0.2)</f>
        <v>4446</v>
      </c>
      <c r="X8" s="24"/>
      <c r="Y8" s="24"/>
      <c r="Z8" s="24"/>
      <c r="AA8" s="24">
        <f>AA7*($B$7+$B$7*0.25)</f>
        <v>5700</v>
      </c>
      <c r="AB8" s="24">
        <f>SUM(D8:AA8)</f>
        <v>17969.25</v>
      </c>
      <c r="AC8" s="24"/>
      <c r="AD8" s="24"/>
    </row>
    <row r="9" spans="1:30" x14ac:dyDescent="0.3">
      <c r="A9" s="25" t="s">
        <v>36</v>
      </c>
      <c r="B9" s="24"/>
      <c r="C9" s="24"/>
      <c r="D9" s="24"/>
      <c r="E9" s="24">
        <f>E7*C7</f>
        <v>560</v>
      </c>
      <c r="F9" s="24"/>
      <c r="G9" s="24"/>
      <c r="H9" s="24"/>
      <c r="I9" s="24">
        <f>I7*(C7+C7*0.05)</f>
        <v>882</v>
      </c>
      <c r="J9" s="24"/>
      <c r="K9" s="24"/>
      <c r="L9" s="24"/>
      <c r="M9" s="24">
        <f>M7*(B7+B7*0.1)</f>
        <v>2640</v>
      </c>
      <c r="N9" s="24"/>
      <c r="O9" s="24"/>
      <c r="P9" s="24"/>
      <c r="Q9" s="24">
        <f>Q7*($C$7+$C$7*0.15)</f>
        <v>1771.0000000000002</v>
      </c>
      <c r="R9" s="24"/>
      <c r="S9" s="24"/>
      <c r="T9" s="24"/>
      <c r="U9" s="24">
        <f>U7*($C$7+$C$7*0.2)</f>
        <v>2184</v>
      </c>
      <c r="V9" s="24"/>
      <c r="W9" s="24"/>
      <c r="X9" s="24"/>
      <c r="Y9" s="24">
        <f>Y7*($C$7+$C$7*0.25)</f>
        <v>2800</v>
      </c>
      <c r="Z9" s="24"/>
      <c r="AA9" s="24"/>
      <c r="AB9" s="24">
        <f>SUM(D9:AA9)</f>
        <v>10837</v>
      </c>
      <c r="AC9" s="24"/>
      <c r="AD9" s="24"/>
    </row>
    <row r="10" spans="1:30" x14ac:dyDescent="0.3">
      <c r="A10" s="26" t="s">
        <v>37</v>
      </c>
      <c r="B10" s="26"/>
      <c r="C10" s="26"/>
      <c r="D10" s="26"/>
      <c r="E10" s="26">
        <f t="shared" ref="E10:AB10" si="0">E8-E9</f>
        <v>-560</v>
      </c>
      <c r="F10" s="26">
        <f t="shared" si="0"/>
        <v>0</v>
      </c>
      <c r="G10" s="26">
        <f t="shared" si="0"/>
        <v>1140</v>
      </c>
      <c r="H10" s="26">
        <f t="shared" si="0"/>
        <v>0</v>
      </c>
      <c r="I10" s="26">
        <f t="shared" si="0"/>
        <v>-882</v>
      </c>
      <c r="J10" s="26">
        <f t="shared" si="0"/>
        <v>0</v>
      </c>
      <c r="K10" s="26">
        <f t="shared" si="0"/>
        <v>1881</v>
      </c>
      <c r="L10" s="26">
        <f t="shared" si="0"/>
        <v>0</v>
      </c>
      <c r="M10" s="26">
        <f t="shared" si="0"/>
        <v>-2640</v>
      </c>
      <c r="N10" s="26">
        <f t="shared" si="0"/>
        <v>0</v>
      </c>
      <c r="O10" s="26">
        <f t="shared" si="0"/>
        <v>1197</v>
      </c>
      <c r="P10" s="26">
        <f t="shared" si="0"/>
        <v>0</v>
      </c>
      <c r="Q10" s="26">
        <f t="shared" si="0"/>
        <v>-1771.0000000000002</v>
      </c>
      <c r="R10" s="26">
        <f t="shared" si="0"/>
        <v>0</v>
      </c>
      <c r="S10" s="26">
        <f t="shared" si="0"/>
        <v>3605.25</v>
      </c>
      <c r="T10" s="26">
        <f t="shared" si="0"/>
        <v>0</v>
      </c>
      <c r="U10" s="26">
        <f t="shared" si="0"/>
        <v>-2184</v>
      </c>
      <c r="V10" s="26">
        <f t="shared" si="0"/>
        <v>0</v>
      </c>
      <c r="W10" s="26">
        <f t="shared" si="0"/>
        <v>4446</v>
      </c>
      <c r="X10" s="26">
        <f t="shared" ref="X10:AA10" si="1">X8-X9</f>
        <v>0</v>
      </c>
      <c r="Y10" s="26">
        <f t="shared" si="1"/>
        <v>-2800</v>
      </c>
      <c r="Z10" s="26">
        <f t="shared" si="1"/>
        <v>0</v>
      </c>
      <c r="AA10" s="26">
        <f t="shared" si="1"/>
        <v>5700</v>
      </c>
      <c r="AB10" s="26">
        <f t="shared" si="0"/>
        <v>7132.25</v>
      </c>
      <c r="AC10" s="27"/>
      <c r="AD10" s="27"/>
    </row>
    <row r="11" spans="1:30" ht="15.6" x14ac:dyDescent="0.3">
      <c r="A11" s="23" t="s">
        <v>38</v>
      </c>
      <c r="B11" s="24">
        <v>65</v>
      </c>
      <c r="C11" s="24">
        <v>35</v>
      </c>
      <c r="D11" s="24"/>
      <c r="E11" s="24">
        <v>45</v>
      </c>
      <c r="F11" s="24"/>
      <c r="G11" s="28">
        <v>55</v>
      </c>
      <c r="H11" s="24"/>
      <c r="I11" s="24">
        <f>G11-G11*0.075</f>
        <v>50.875</v>
      </c>
      <c r="J11" s="24"/>
      <c r="K11" s="28">
        <v>65</v>
      </c>
      <c r="L11" s="24"/>
      <c r="M11" s="24">
        <f>K11-K11*0.075</f>
        <v>60.125</v>
      </c>
      <c r="N11" s="24"/>
      <c r="O11" s="28">
        <v>75</v>
      </c>
      <c r="P11" s="24"/>
      <c r="Q11" s="24">
        <f>O11-O11*0.075</f>
        <v>69.375</v>
      </c>
      <c r="R11" s="24"/>
      <c r="S11" s="28">
        <v>85</v>
      </c>
      <c r="T11" s="24"/>
      <c r="U11" s="24">
        <f>S11-S11*0.075</f>
        <v>78.625</v>
      </c>
      <c r="V11" s="24"/>
      <c r="W11" s="28">
        <v>100</v>
      </c>
      <c r="X11" s="24"/>
      <c r="Y11" s="24">
        <f>W11-W11*0.075</f>
        <v>92.5</v>
      </c>
      <c r="Z11" s="24"/>
      <c r="AA11" s="28">
        <v>120</v>
      </c>
      <c r="AB11" s="24"/>
      <c r="AC11" s="24">
        <f>U11+Q11+M11+I11+E11+Y11</f>
        <v>396.5</v>
      </c>
      <c r="AD11" s="24">
        <f>AA11</f>
        <v>120</v>
      </c>
    </row>
    <row r="12" spans="1:30" x14ac:dyDescent="0.3">
      <c r="A12" s="25" t="s">
        <v>35</v>
      </c>
      <c r="B12" s="24"/>
      <c r="C12" s="24"/>
      <c r="D12" s="24"/>
      <c r="E12" s="24">
        <f>E11*B11</f>
        <v>2925</v>
      </c>
      <c r="F12" s="24"/>
      <c r="G12" s="251"/>
      <c r="H12" s="24"/>
      <c r="I12" s="24">
        <f>I11*($B$11+$B$11*0.05)</f>
        <v>3472.21875</v>
      </c>
      <c r="J12" s="24"/>
      <c r="K12" s="251"/>
      <c r="L12" s="24"/>
      <c r="M12" s="24">
        <f>M11*($B$11+$B$11*0.075)</f>
        <v>4201.234375</v>
      </c>
      <c r="N12" s="24"/>
      <c r="O12" s="251"/>
      <c r="P12" s="24"/>
      <c r="Q12" s="24">
        <f>Q11*($B$11+$B$11*0.1)</f>
        <v>4960.3125</v>
      </c>
      <c r="R12" s="24"/>
      <c r="S12" s="251"/>
      <c r="T12" s="24"/>
      <c r="U12" s="24">
        <f>U11*($B$11+$B$11*0.15)</f>
        <v>5877.21875</v>
      </c>
      <c r="V12" s="24"/>
      <c r="W12" s="251"/>
      <c r="X12" s="24"/>
      <c r="Y12" s="24">
        <f>Y11*($B$11+$B$11*0.2)</f>
        <v>7215</v>
      </c>
      <c r="Z12" s="24"/>
      <c r="AA12" s="251"/>
      <c r="AB12" s="24">
        <f>SUM(D12:AA12)</f>
        <v>28650.984375</v>
      </c>
      <c r="AC12" s="24"/>
      <c r="AD12" s="24"/>
    </row>
    <row r="13" spans="1:30" x14ac:dyDescent="0.3">
      <c r="A13" s="25" t="s">
        <v>39</v>
      </c>
      <c r="B13" s="24"/>
      <c r="C13" s="24"/>
      <c r="D13" s="24"/>
      <c r="E13" s="24"/>
      <c r="F13" s="24"/>
      <c r="G13" s="251">
        <f>G11*$C$11</f>
        <v>1925</v>
      </c>
      <c r="H13" s="24"/>
      <c r="I13" s="24"/>
      <c r="J13" s="24"/>
      <c r="K13" s="251">
        <f>K11*($C$11+$C$11*0.05)</f>
        <v>2388.75</v>
      </c>
      <c r="L13" s="24"/>
      <c r="M13" s="24"/>
      <c r="N13" s="24"/>
      <c r="O13" s="251">
        <f>O11*($C$11+$C$11*0.075)</f>
        <v>2821.875</v>
      </c>
      <c r="P13" s="24"/>
      <c r="Q13" s="24"/>
      <c r="R13" s="24"/>
      <c r="S13" s="251">
        <f>S11*($C$11+$C$11*0.1)</f>
        <v>3272.5</v>
      </c>
      <c r="T13" s="24"/>
      <c r="U13" s="24"/>
      <c r="V13" s="24"/>
      <c r="W13" s="251">
        <f>W11*($C$11+$C$11*0.15)</f>
        <v>4025</v>
      </c>
      <c r="X13" s="24"/>
      <c r="Y13" s="24"/>
      <c r="Z13" s="24"/>
      <c r="AA13" s="251">
        <f>AA11*($C$11+$C$11*0.2)</f>
        <v>5040</v>
      </c>
      <c r="AB13" s="24">
        <f>SUM(D13:AA13)</f>
        <v>19473.125</v>
      </c>
      <c r="AC13" s="24"/>
      <c r="AD13" s="24">
        <f>AA13</f>
        <v>5040</v>
      </c>
    </row>
    <row r="14" spans="1:30" x14ac:dyDescent="0.3">
      <c r="A14" s="26" t="s">
        <v>37</v>
      </c>
      <c r="B14" s="26"/>
      <c r="C14" s="26"/>
      <c r="D14" s="26"/>
      <c r="E14" s="26">
        <f t="shared" ref="E14:AB14" si="2">E12-E13</f>
        <v>2925</v>
      </c>
      <c r="F14" s="26">
        <f t="shared" si="2"/>
        <v>0</v>
      </c>
      <c r="G14" s="26">
        <f t="shared" si="2"/>
        <v>-1925</v>
      </c>
      <c r="H14" s="26"/>
      <c r="I14" s="26">
        <f>I12-I13</f>
        <v>3472.21875</v>
      </c>
      <c r="J14" s="26"/>
      <c r="K14" s="26">
        <f t="shared" ref="K14" si="3">K12-K13</f>
        <v>-2388.75</v>
      </c>
      <c r="L14" s="26"/>
      <c r="M14" s="26">
        <f>M12-M13</f>
        <v>4201.234375</v>
      </c>
      <c r="N14" s="26"/>
      <c r="O14" s="26">
        <f t="shared" ref="O14" si="4">O12-O13</f>
        <v>-2821.875</v>
      </c>
      <c r="P14" s="26"/>
      <c r="Q14" s="26">
        <f>Q12-Q13</f>
        <v>4960.3125</v>
      </c>
      <c r="R14" s="26"/>
      <c r="S14" s="26">
        <f t="shared" ref="S14" si="5">S12-S13</f>
        <v>-3272.5</v>
      </c>
      <c r="T14" s="26"/>
      <c r="U14" s="26">
        <f>U12-U13</f>
        <v>5877.21875</v>
      </c>
      <c r="V14" s="26"/>
      <c r="W14" s="26">
        <f t="shared" ref="W14" si="6">W12-W13</f>
        <v>-4025</v>
      </c>
      <c r="X14" s="26"/>
      <c r="Y14" s="26">
        <f>Y12-Y13</f>
        <v>7215</v>
      </c>
      <c r="Z14" s="26"/>
      <c r="AA14" s="26">
        <f t="shared" ref="AA14" si="7">AA12-AA13</f>
        <v>-5040</v>
      </c>
      <c r="AB14" s="26">
        <f t="shared" si="2"/>
        <v>9177.859375</v>
      </c>
      <c r="AC14" s="27"/>
      <c r="AD14" s="27"/>
    </row>
    <row r="15" spans="1:30" ht="15.6" x14ac:dyDescent="0.3">
      <c r="A15" s="23" t="s">
        <v>40</v>
      </c>
      <c r="B15" s="24">
        <v>75</v>
      </c>
      <c r="C15" s="24">
        <v>50</v>
      </c>
      <c r="D15" s="24">
        <v>11</v>
      </c>
      <c r="E15" s="24"/>
      <c r="F15" s="24">
        <f>D15-D15*0.05</f>
        <v>10.45</v>
      </c>
      <c r="G15" s="28"/>
      <c r="H15" s="24">
        <v>20</v>
      </c>
      <c r="I15" s="24"/>
      <c r="J15" s="24">
        <f>H15-H15*0.025</f>
        <v>19.5</v>
      </c>
      <c r="K15" s="24"/>
      <c r="L15" s="24">
        <v>25</v>
      </c>
      <c r="M15" s="24"/>
      <c r="N15" s="24">
        <f>L15-L15*0.025</f>
        <v>24.375</v>
      </c>
      <c r="O15" s="24"/>
      <c r="P15" s="24">
        <v>30</v>
      </c>
      <c r="Q15" s="24"/>
      <c r="R15" s="24">
        <f>P15-P15*0.025</f>
        <v>29.25</v>
      </c>
      <c r="S15" s="24"/>
      <c r="T15" s="24">
        <v>35</v>
      </c>
      <c r="U15" s="24"/>
      <c r="V15" s="24">
        <f>T15-T15*0.025</f>
        <v>34.125</v>
      </c>
      <c r="W15" s="24"/>
      <c r="X15" s="24">
        <v>40</v>
      </c>
      <c r="Y15" s="24"/>
      <c r="Z15" s="24">
        <f>X15-X15*0.025</f>
        <v>39</v>
      </c>
      <c r="AA15" s="24"/>
      <c r="AB15" s="24"/>
      <c r="AC15" s="24">
        <f>V15+R15+N15+J15+F15+Z15</f>
        <v>156.69999999999999</v>
      </c>
      <c r="AD15" s="24"/>
    </row>
    <row r="16" spans="1:30" x14ac:dyDescent="0.3">
      <c r="A16" s="25" t="s">
        <v>35</v>
      </c>
      <c r="B16" s="24"/>
      <c r="C16" s="24"/>
      <c r="E16" s="24"/>
      <c r="F16" s="24">
        <f>F15*$B$15</f>
        <v>783.75</v>
      </c>
      <c r="G16" s="24"/>
      <c r="H16" s="24"/>
      <c r="I16" s="24"/>
      <c r="J16" s="24">
        <f>J15*($B$15+5%*$B$15)</f>
        <v>1535.625</v>
      </c>
      <c r="K16" s="24"/>
      <c r="L16" s="24"/>
      <c r="M16" s="24"/>
      <c r="N16" s="24">
        <f>N15*($B$15+10%*$B$15)</f>
        <v>2010.9375</v>
      </c>
      <c r="O16" s="24"/>
      <c r="P16" s="24"/>
      <c r="Q16" s="24"/>
      <c r="R16" s="24">
        <f>R15*($B$15+15%*$B$15)</f>
        <v>2522.8125</v>
      </c>
      <c r="S16" s="24"/>
      <c r="T16" s="24"/>
      <c r="U16" s="24"/>
      <c r="V16" s="24">
        <f>V15*($B$15+20%*$B$15)</f>
        <v>3071.25</v>
      </c>
      <c r="W16" s="24"/>
      <c r="X16" s="24"/>
      <c r="Y16" s="24"/>
      <c r="Z16" s="24">
        <f>Z15*($B$15+25%*$B$15)</f>
        <v>3656.25</v>
      </c>
      <c r="AA16" s="24"/>
      <c r="AB16" s="24">
        <f>SUM(B16:AA16)</f>
        <v>13580.625</v>
      </c>
      <c r="AC16" s="24"/>
      <c r="AD16" s="24"/>
    </row>
    <row r="17" spans="1:30" x14ac:dyDescent="0.3">
      <c r="A17" s="25" t="s">
        <v>36</v>
      </c>
      <c r="B17" s="24"/>
      <c r="C17" s="24"/>
      <c r="D17" s="24">
        <f>D15*$C$15</f>
        <v>550</v>
      </c>
      <c r="E17" s="24"/>
      <c r="G17" s="24"/>
      <c r="H17" s="24">
        <f>H15*($C$15+5%*$C$15)</f>
        <v>1050</v>
      </c>
      <c r="I17" s="24"/>
      <c r="J17" s="24"/>
      <c r="K17" s="24"/>
      <c r="L17" s="24">
        <f>L15*($C$15+10%*$C$15)</f>
        <v>1375</v>
      </c>
      <c r="M17" s="24"/>
      <c r="N17" s="24"/>
      <c r="O17" s="24"/>
      <c r="P17" s="24">
        <f>P15*($C$15+15%*$C$15)</f>
        <v>1725</v>
      </c>
      <c r="Q17" s="24"/>
      <c r="R17" s="24"/>
      <c r="S17" s="24"/>
      <c r="T17" s="24">
        <f>T15*($C$15+20%*$C$15)</f>
        <v>2100</v>
      </c>
      <c r="U17" s="24"/>
      <c r="V17" s="24"/>
      <c r="W17" s="24"/>
      <c r="X17" s="24">
        <f>X15*($C$15+25%*$C$15)</f>
        <v>2500</v>
      </c>
      <c r="Y17" s="24"/>
      <c r="Z17" s="24"/>
      <c r="AA17" s="24"/>
      <c r="AB17" s="24">
        <f>SUM(B17:AA17)</f>
        <v>9300</v>
      </c>
      <c r="AC17" s="24"/>
      <c r="AD17" s="24"/>
    </row>
    <row r="18" spans="1:30" x14ac:dyDescent="0.3">
      <c r="A18" s="26" t="s">
        <v>37</v>
      </c>
      <c r="B18" s="26"/>
      <c r="C18" s="26"/>
      <c r="D18" s="26">
        <f t="shared" ref="D18:AB18" si="8">D16-D17</f>
        <v>-550</v>
      </c>
      <c r="E18" s="26">
        <f t="shared" si="8"/>
        <v>0</v>
      </c>
      <c r="F18" s="26">
        <f t="shared" si="8"/>
        <v>783.75</v>
      </c>
      <c r="G18" s="26">
        <f t="shared" si="8"/>
        <v>0</v>
      </c>
      <c r="H18" s="26">
        <f t="shared" si="8"/>
        <v>-1050</v>
      </c>
      <c r="I18" s="26">
        <f t="shared" si="8"/>
        <v>0</v>
      </c>
      <c r="J18" s="26">
        <f t="shared" si="8"/>
        <v>1535.625</v>
      </c>
      <c r="K18" s="26">
        <f t="shared" si="8"/>
        <v>0</v>
      </c>
      <c r="L18" s="26">
        <f t="shared" si="8"/>
        <v>-1375</v>
      </c>
      <c r="M18" s="26">
        <f t="shared" si="8"/>
        <v>0</v>
      </c>
      <c r="N18" s="26">
        <f t="shared" si="8"/>
        <v>2010.9375</v>
      </c>
      <c r="O18" s="26">
        <f t="shared" si="8"/>
        <v>0</v>
      </c>
      <c r="P18" s="26">
        <f t="shared" si="8"/>
        <v>-1725</v>
      </c>
      <c r="Q18" s="26">
        <f t="shared" si="8"/>
        <v>0</v>
      </c>
      <c r="R18" s="26">
        <f t="shared" si="8"/>
        <v>2522.8125</v>
      </c>
      <c r="S18" s="26">
        <f t="shared" si="8"/>
        <v>0</v>
      </c>
      <c r="T18" s="26">
        <f t="shared" si="8"/>
        <v>-2100</v>
      </c>
      <c r="U18" s="26">
        <f t="shared" si="8"/>
        <v>0</v>
      </c>
      <c r="V18" s="26">
        <f t="shared" si="8"/>
        <v>3071.25</v>
      </c>
      <c r="W18" s="26">
        <f t="shared" si="8"/>
        <v>0</v>
      </c>
      <c r="X18" s="26">
        <f t="shared" ref="X18:AA18" si="9">X16-X17</f>
        <v>-2500</v>
      </c>
      <c r="Y18" s="26">
        <f t="shared" si="9"/>
        <v>0</v>
      </c>
      <c r="Z18" s="26">
        <f t="shared" si="9"/>
        <v>3656.25</v>
      </c>
      <c r="AA18" s="26">
        <f t="shared" si="9"/>
        <v>0</v>
      </c>
      <c r="AB18" s="26">
        <f t="shared" si="8"/>
        <v>4280.625</v>
      </c>
      <c r="AC18" s="27"/>
      <c r="AD18" s="27"/>
    </row>
    <row r="19" spans="1:30" ht="15.6" x14ac:dyDescent="0.3">
      <c r="A19" s="23" t="s">
        <v>41</v>
      </c>
      <c r="B19" s="24">
        <v>175</v>
      </c>
      <c r="C19" s="24">
        <v>120</v>
      </c>
      <c r="D19" s="24"/>
      <c r="E19" s="24">
        <v>1</v>
      </c>
      <c r="F19" s="24"/>
      <c r="G19" s="24">
        <v>5</v>
      </c>
      <c r="H19" s="24"/>
      <c r="I19" s="24">
        <f>G19-G19*0.05</f>
        <v>4.75</v>
      </c>
      <c r="J19" s="24"/>
      <c r="K19" s="24">
        <v>10</v>
      </c>
      <c r="L19" s="24"/>
      <c r="M19" s="24">
        <f>K19-K19*0.05</f>
        <v>9.5</v>
      </c>
      <c r="N19" s="24"/>
      <c r="O19" s="24">
        <v>15</v>
      </c>
      <c r="P19" s="24"/>
      <c r="Q19" s="24">
        <f>O19-O19*0.05</f>
        <v>14.25</v>
      </c>
      <c r="R19" s="24"/>
      <c r="S19" s="24">
        <v>25</v>
      </c>
      <c r="T19" s="24"/>
      <c r="U19" s="24">
        <f>S19-S19*0.05</f>
        <v>23.75</v>
      </c>
      <c r="V19" s="24"/>
      <c r="W19" s="24">
        <v>30</v>
      </c>
      <c r="X19" s="24"/>
      <c r="Y19" s="24">
        <f>W19-W19*0.05</f>
        <v>28.5</v>
      </c>
      <c r="Z19" s="24"/>
      <c r="AA19" s="24">
        <v>35</v>
      </c>
      <c r="AB19" s="24"/>
      <c r="AC19" s="24">
        <f>Y19+U19+Q19+M19+I19+E19</f>
        <v>81.75</v>
      </c>
      <c r="AD19" s="24">
        <f>AA19</f>
        <v>35</v>
      </c>
    </row>
    <row r="20" spans="1:30" x14ac:dyDescent="0.3">
      <c r="A20" s="25" t="s">
        <v>35</v>
      </c>
      <c r="B20" s="24"/>
      <c r="C20" s="24"/>
      <c r="E20" s="24">
        <f>E19*B19</f>
        <v>175</v>
      </c>
      <c r="F20" s="24"/>
      <c r="G20" s="24"/>
      <c r="H20" s="24"/>
      <c r="I20" s="24">
        <f>I19*($B$19+$B$19*0.025)</f>
        <v>852.03125</v>
      </c>
      <c r="J20" s="24"/>
      <c r="K20" s="24"/>
      <c r="L20" s="24"/>
      <c r="M20" s="24">
        <f>M19*($B$19+$B$19*0.05)</f>
        <v>1745.625</v>
      </c>
      <c r="N20" s="24"/>
      <c r="O20" s="24"/>
      <c r="P20" s="24"/>
      <c r="Q20" s="24">
        <f>Q19*($B$19+$B$19*0.1)</f>
        <v>2743.125</v>
      </c>
      <c r="R20" s="24"/>
      <c r="S20" s="24"/>
      <c r="T20" s="24"/>
      <c r="U20" s="24">
        <f>U19*($B$19+$B$19*0.125)</f>
        <v>4675.78125</v>
      </c>
      <c r="V20" s="24"/>
      <c r="W20" s="24"/>
      <c r="X20" s="24"/>
      <c r="Y20" s="24">
        <f>Y19*($B$19+$B$19*0.15)</f>
        <v>5735.625</v>
      </c>
      <c r="Z20" s="24"/>
      <c r="AA20" s="24"/>
      <c r="AB20" s="24">
        <f>SUM(B20:AA20)</f>
        <v>15927.1875</v>
      </c>
      <c r="AC20" s="24"/>
      <c r="AD20" s="24"/>
    </row>
    <row r="21" spans="1:30" x14ac:dyDescent="0.3">
      <c r="A21" s="25" t="s">
        <v>36</v>
      </c>
      <c r="B21" s="24"/>
      <c r="C21" s="24"/>
      <c r="D21" s="24"/>
      <c r="F21" s="24"/>
      <c r="G21" s="24">
        <f>G19*($C$19)</f>
        <v>600</v>
      </c>
      <c r="H21" s="24"/>
      <c r="I21" s="24"/>
      <c r="J21" s="24"/>
      <c r="K21" s="24">
        <f>K19*($C$19+$C$19*0.025)</f>
        <v>1230</v>
      </c>
      <c r="L21" s="24"/>
      <c r="M21" s="24"/>
      <c r="N21" s="24"/>
      <c r="O21" s="24">
        <f>O19*($C$19+$C$19*0.05)</f>
        <v>1890</v>
      </c>
      <c r="P21" s="24"/>
      <c r="Q21" s="24"/>
      <c r="R21" s="24"/>
      <c r="S21" s="24">
        <f>S19*($C$19+$C$19*0.1)</f>
        <v>3300</v>
      </c>
      <c r="T21" s="24"/>
      <c r="U21" s="24"/>
      <c r="V21" s="24"/>
      <c r="W21" s="24">
        <f>W19*($C$19+$C$19*0.125)</f>
        <v>4050</v>
      </c>
      <c r="X21" s="24"/>
      <c r="Y21" s="24"/>
      <c r="Z21" s="24"/>
      <c r="AA21" s="24">
        <f>AA19*($C$19+$C$19*0.15)</f>
        <v>4830</v>
      </c>
      <c r="AB21" s="24">
        <f>SUM(B21:AA21)</f>
        <v>15900</v>
      </c>
      <c r="AC21" s="24"/>
      <c r="AD21" s="24">
        <f>AA21</f>
        <v>4830</v>
      </c>
    </row>
    <row r="22" spans="1:30" x14ac:dyDescent="0.3">
      <c r="A22" s="26" t="s">
        <v>37</v>
      </c>
      <c r="B22" s="29"/>
      <c r="C22" s="29"/>
      <c r="D22" s="29">
        <f t="shared" ref="D22:AB22" si="10">D20-D21</f>
        <v>0</v>
      </c>
      <c r="E22" s="29">
        <f>E20-E21</f>
        <v>175</v>
      </c>
      <c r="F22" s="29">
        <f t="shared" si="10"/>
        <v>0</v>
      </c>
      <c r="G22" s="29">
        <f t="shared" ref="G22:Z22" si="11">G20-G21</f>
        <v>-600</v>
      </c>
      <c r="H22" s="29">
        <f t="shared" si="11"/>
        <v>0</v>
      </c>
      <c r="I22" s="29">
        <f t="shared" si="11"/>
        <v>852.03125</v>
      </c>
      <c r="J22" s="29">
        <f t="shared" si="11"/>
        <v>0</v>
      </c>
      <c r="K22" s="29">
        <f t="shared" si="11"/>
        <v>-1230</v>
      </c>
      <c r="L22" s="29">
        <f t="shared" si="11"/>
        <v>0</v>
      </c>
      <c r="M22" s="29">
        <f t="shared" si="11"/>
        <v>1745.625</v>
      </c>
      <c r="N22" s="29">
        <f t="shared" si="11"/>
        <v>0</v>
      </c>
      <c r="O22" s="29">
        <f t="shared" si="11"/>
        <v>-1890</v>
      </c>
      <c r="P22" s="29">
        <f t="shared" si="11"/>
        <v>0</v>
      </c>
      <c r="Q22" s="29">
        <f t="shared" si="11"/>
        <v>2743.125</v>
      </c>
      <c r="R22" s="29">
        <f t="shared" si="11"/>
        <v>0</v>
      </c>
      <c r="S22" s="29">
        <f t="shared" si="11"/>
        <v>-3300</v>
      </c>
      <c r="T22" s="29">
        <f t="shared" si="11"/>
        <v>0</v>
      </c>
      <c r="U22" s="29">
        <f t="shared" si="11"/>
        <v>4675.78125</v>
      </c>
      <c r="V22" s="29">
        <f t="shared" si="11"/>
        <v>0</v>
      </c>
      <c r="W22" s="29">
        <f t="shared" si="11"/>
        <v>-4050</v>
      </c>
      <c r="X22" s="29">
        <f t="shared" si="11"/>
        <v>0</v>
      </c>
      <c r="Y22" s="29">
        <f t="shared" si="11"/>
        <v>5735.625</v>
      </c>
      <c r="Z22" s="29">
        <f t="shared" si="11"/>
        <v>0</v>
      </c>
      <c r="AA22" s="29">
        <f t="shared" ref="AA22" si="12">AA20-AA21</f>
        <v>-4830</v>
      </c>
      <c r="AB22" s="29">
        <f t="shared" si="10"/>
        <v>27.1875</v>
      </c>
      <c r="AD22" s="27"/>
    </row>
    <row r="23" spans="1:30" ht="17.399999999999999" x14ac:dyDescent="0.3">
      <c r="A23" s="30" t="s">
        <v>42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2">
        <f>SUM(B23:W23)</f>
        <v>0</v>
      </c>
      <c r="AC23" s="24"/>
      <c r="AD23" s="24"/>
    </row>
    <row r="24" spans="1:30" ht="15.6" x14ac:dyDescent="0.3">
      <c r="A24" s="23" t="s">
        <v>34</v>
      </c>
      <c r="B24" s="24">
        <v>50</v>
      </c>
      <c r="C24" s="24">
        <v>28</v>
      </c>
      <c r="D24" s="24"/>
      <c r="E24" s="24">
        <v>348.1</v>
      </c>
      <c r="F24" s="24"/>
      <c r="G24" s="24">
        <f>E24-E24*0.05</f>
        <v>330.69500000000005</v>
      </c>
      <c r="H24" s="24"/>
      <c r="I24" s="24">
        <v>600</v>
      </c>
      <c r="J24" s="24"/>
      <c r="K24" s="24">
        <f>I24-I24*0.05</f>
        <v>570</v>
      </c>
      <c r="L24" s="24"/>
      <c r="M24" s="24">
        <v>750</v>
      </c>
      <c r="N24" s="24"/>
      <c r="O24" s="24">
        <f>M24-M24*0.05</f>
        <v>712.5</v>
      </c>
      <c r="P24" s="24"/>
      <c r="Q24" s="24">
        <v>850</v>
      </c>
      <c r="R24" s="24"/>
      <c r="S24" s="24">
        <f>Q24-Q24*0.05</f>
        <v>807.5</v>
      </c>
      <c r="T24" s="24"/>
      <c r="U24" s="24">
        <v>1000</v>
      </c>
      <c r="V24" s="24"/>
      <c r="W24" s="24">
        <f>U24-U24*0.05</f>
        <v>950</v>
      </c>
      <c r="X24" s="24"/>
      <c r="Y24" s="24">
        <v>1200</v>
      </c>
      <c r="Z24" s="24"/>
      <c r="AA24" s="24">
        <f>Y24-Y24*0.05</f>
        <v>1140</v>
      </c>
      <c r="AB24" s="24"/>
      <c r="AC24" s="24">
        <f>W24+S24+O24+K24+G24+AA24</f>
        <v>4510.6949999999997</v>
      </c>
      <c r="AD24" s="24"/>
    </row>
    <row r="25" spans="1:30" x14ac:dyDescent="0.3">
      <c r="A25" s="24" t="s">
        <v>35</v>
      </c>
      <c r="B25" s="24"/>
      <c r="C25" s="24"/>
      <c r="D25" s="24"/>
      <c r="E25" s="24"/>
      <c r="F25" s="24"/>
      <c r="G25" s="24">
        <f>G24*B24</f>
        <v>16534.750000000004</v>
      </c>
      <c r="H25" s="24"/>
      <c r="I25" s="24">
        <f>+I23*$B$24</f>
        <v>0</v>
      </c>
      <c r="J25" s="24"/>
      <c r="K25" s="24">
        <f>K24*($B$24+$B$24*0.025)</f>
        <v>29212.5</v>
      </c>
      <c r="L25" s="24"/>
      <c r="M25" s="24">
        <f>+M23*$B$24</f>
        <v>0</v>
      </c>
      <c r="N25" s="24"/>
      <c r="O25" s="24">
        <f>O24*($B$24+$B$24*0.05)</f>
        <v>37406.25</v>
      </c>
      <c r="P25" s="24"/>
      <c r="Q25" s="24"/>
      <c r="R25" s="24"/>
      <c r="S25" s="24">
        <f>S24*($B$24+$B$24*0.075)</f>
        <v>43403.125</v>
      </c>
      <c r="T25" s="24"/>
      <c r="U25" s="24">
        <f>+U23*$B$24</f>
        <v>0</v>
      </c>
      <c r="V25" s="24"/>
      <c r="W25" s="24">
        <f>W24*($B$24+$B$24*0.1)</f>
        <v>52250</v>
      </c>
      <c r="X25" s="24"/>
      <c r="Y25" s="24">
        <f>+Y23*$B$24</f>
        <v>0</v>
      </c>
      <c r="Z25" s="24"/>
      <c r="AA25" s="24">
        <f>AA24*($B$24+$B$24*0.2)</f>
        <v>68400</v>
      </c>
      <c r="AB25" s="24">
        <f>SUM(B25:AA25)</f>
        <v>247206.625</v>
      </c>
      <c r="AC25" s="24"/>
      <c r="AD25" s="24"/>
    </row>
    <row r="26" spans="1:30" x14ac:dyDescent="0.3">
      <c r="A26" s="24" t="s">
        <v>43</v>
      </c>
      <c r="B26" s="24"/>
      <c r="C26" s="24"/>
      <c r="D26" s="24"/>
      <c r="E26" s="24">
        <f>E24*C24</f>
        <v>9746.8000000000011</v>
      </c>
      <c r="F26" s="24"/>
      <c r="G26" s="24"/>
      <c r="H26" s="24"/>
      <c r="I26" s="24">
        <f>I24*($C$24+$C$24*0.025)</f>
        <v>17220</v>
      </c>
      <c r="J26" s="24"/>
      <c r="K26" s="24"/>
      <c r="L26" s="24"/>
      <c r="M26" s="24">
        <f>M24*($C$24+$C$24*0.05)</f>
        <v>22050</v>
      </c>
      <c r="N26" s="24"/>
      <c r="O26" s="24"/>
      <c r="P26" s="24"/>
      <c r="Q26" s="24">
        <f>Q24*($C$24+$C$24*0.075)</f>
        <v>25585</v>
      </c>
      <c r="R26" s="24"/>
      <c r="S26" s="24"/>
      <c r="T26" s="24"/>
      <c r="U26" s="24">
        <f>U24*($C$24+$C$24*0.1)</f>
        <v>30800</v>
      </c>
      <c r="V26" s="24"/>
      <c r="W26" s="24"/>
      <c r="X26" s="24"/>
      <c r="Y26" s="24">
        <f>Y24*($C$24+$C$24*0.2)</f>
        <v>40320</v>
      </c>
      <c r="Z26" s="24"/>
      <c r="AA26" s="24"/>
      <c r="AB26" s="24">
        <f>SUM(B26:AA26)</f>
        <v>145721.79999999999</v>
      </c>
      <c r="AC26" s="24"/>
      <c r="AD26" s="24"/>
    </row>
    <row r="27" spans="1:30" x14ac:dyDescent="0.3">
      <c r="A27" s="26" t="s">
        <v>37</v>
      </c>
      <c r="B27" s="26"/>
      <c r="C27" s="26"/>
      <c r="D27" s="26"/>
      <c r="E27" s="26">
        <f t="shared" ref="E27:AB27" si="13">+E25-E26</f>
        <v>-9746.8000000000011</v>
      </c>
      <c r="F27" s="26">
        <f t="shared" si="13"/>
        <v>0</v>
      </c>
      <c r="G27" s="26">
        <f t="shared" si="13"/>
        <v>16534.750000000004</v>
      </c>
      <c r="H27" s="26">
        <f t="shared" si="13"/>
        <v>0</v>
      </c>
      <c r="I27" s="26">
        <f t="shared" si="13"/>
        <v>-17220</v>
      </c>
      <c r="J27" s="26">
        <f t="shared" si="13"/>
        <v>0</v>
      </c>
      <c r="K27" s="26">
        <f t="shared" si="13"/>
        <v>29212.5</v>
      </c>
      <c r="L27" s="26">
        <f t="shared" si="13"/>
        <v>0</v>
      </c>
      <c r="M27" s="26">
        <f t="shared" si="13"/>
        <v>-22050</v>
      </c>
      <c r="N27" s="26">
        <f t="shared" si="13"/>
        <v>0</v>
      </c>
      <c r="O27" s="26">
        <f t="shared" si="13"/>
        <v>37406.25</v>
      </c>
      <c r="P27" s="26">
        <f t="shared" si="13"/>
        <v>0</v>
      </c>
      <c r="Q27" s="26">
        <f t="shared" si="13"/>
        <v>-25585</v>
      </c>
      <c r="R27" s="26">
        <f t="shared" si="13"/>
        <v>0</v>
      </c>
      <c r="S27" s="26">
        <f t="shared" si="13"/>
        <v>43403.125</v>
      </c>
      <c r="T27" s="26">
        <f t="shared" si="13"/>
        <v>0</v>
      </c>
      <c r="U27" s="26">
        <f t="shared" si="13"/>
        <v>-30800</v>
      </c>
      <c r="V27" s="26">
        <f t="shared" si="13"/>
        <v>0</v>
      </c>
      <c r="W27" s="26">
        <f t="shared" si="13"/>
        <v>52250</v>
      </c>
      <c r="X27" s="26">
        <f t="shared" ref="X27:AA27" si="14">+X25-X26</f>
        <v>0</v>
      </c>
      <c r="Y27" s="26">
        <f t="shared" si="14"/>
        <v>-40320</v>
      </c>
      <c r="Z27" s="26">
        <f t="shared" si="14"/>
        <v>0</v>
      </c>
      <c r="AA27" s="26">
        <f t="shared" si="14"/>
        <v>68400</v>
      </c>
      <c r="AB27" s="26">
        <f t="shared" si="13"/>
        <v>101484.82500000001</v>
      </c>
      <c r="AC27" s="27"/>
      <c r="AD27" s="27"/>
    </row>
    <row r="28" spans="1:30" ht="15.6" x14ac:dyDescent="0.3">
      <c r="A28" s="23" t="s">
        <v>44</v>
      </c>
      <c r="B28" s="24">
        <v>60</v>
      </c>
      <c r="C28" s="24">
        <v>30</v>
      </c>
      <c r="D28" s="24"/>
      <c r="E28" s="24">
        <v>400</v>
      </c>
      <c r="F28" s="24"/>
      <c r="G28" s="28">
        <v>600</v>
      </c>
      <c r="H28" s="24"/>
      <c r="I28" s="24">
        <f>G28-G28*0.075</f>
        <v>555</v>
      </c>
      <c r="J28" s="24">
        <f>H28-H28*0.02</f>
        <v>0</v>
      </c>
      <c r="K28" s="28">
        <v>800</v>
      </c>
      <c r="L28" s="24"/>
      <c r="M28" s="24">
        <f>K28-K28*0.075</f>
        <v>740</v>
      </c>
      <c r="N28" s="24">
        <f>L28-L28*0.02</f>
        <v>0</v>
      </c>
      <c r="O28" s="28">
        <v>1000</v>
      </c>
      <c r="P28" s="24"/>
      <c r="Q28" s="24">
        <f>O28-O28*0.075</f>
        <v>925</v>
      </c>
      <c r="R28" s="24">
        <f>P28-P28*0.02</f>
        <v>0</v>
      </c>
      <c r="S28" s="28">
        <v>1250</v>
      </c>
      <c r="T28" s="24"/>
      <c r="U28" s="24">
        <f>S28-S28*0.075</f>
        <v>1156.25</v>
      </c>
      <c r="V28" s="24">
        <f>T28-T28*0.02</f>
        <v>0</v>
      </c>
      <c r="W28" s="24">
        <v>1400</v>
      </c>
      <c r="X28" s="24"/>
      <c r="Y28" s="24">
        <f>W28-W28*0.075</f>
        <v>1295</v>
      </c>
      <c r="Z28" s="24">
        <f>X28-X28*0.02</f>
        <v>0</v>
      </c>
      <c r="AA28" s="24">
        <v>1500</v>
      </c>
      <c r="AB28" s="24"/>
      <c r="AC28" s="24">
        <f>SUM(U28+Q28+M28+I28+E28+Y28)</f>
        <v>5071.25</v>
      </c>
      <c r="AD28" s="24">
        <f>AA28</f>
        <v>1500</v>
      </c>
    </row>
    <row r="29" spans="1:30" x14ac:dyDescent="0.3">
      <c r="A29" s="24" t="s">
        <v>35</v>
      </c>
      <c r="B29" s="24"/>
      <c r="C29" s="24"/>
      <c r="D29" s="24"/>
      <c r="E29" s="24">
        <f>E28*B28</f>
        <v>24000</v>
      </c>
      <c r="F29" s="24"/>
      <c r="G29" s="28"/>
      <c r="H29" s="24"/>
      <c r="I29" s="24">
        <f>I28*($B$28+$B$28*0.05)</f>
        <v>34965</v>
      </c>
      <c r="J29" s="24">
        <f>J28*(B28+B28*0.025)</f>
        <v>0</v>
      </c>
      <c r="K29" s="28"/>
      <c r="L29" s="24"/>
      <c r="M29" s="24">
        <f>M28*($B$28+$B$28*0.1)</f>
        <v>48840</v>
      </c>
      <c r="N29" s="24">
        <f>N28*(F28+F28*0.025)</f>
        <v>0</v>
      </c>
      <c r="O29" s="28"/>
      <c r="P29" s="24"/>
      <c r="Q29" s="24">
        <f>Q28*($B$28+$B$28*0.15)</f>
        <v>63825</v>
      </c>
      <c r="R29" s="24">
        <f>R28*(J28+J28*0.025)</f>
        <v>0</v>
      </c>
      <c r="S29" s="28"/>
      <c r="T29" s="24"/>
      <c r="U29" s="24">
        <f>U28*($B$28+$B$28*0.2)</f>
        <v>83250</v>
      </c>
      <c r="V29" s="24">
        <f>V28*(N28+N28*0.025)</f>
        <v>0</v>
      </c>
      <c r="W29" s="24"/>
      <c r="X29" s="24"/>
      <c r="Y29" s="24">
        <f>Y28*($B$28+$B$28*0.25)</f>
        <v>97125</v>
      </c>
      <c r="Z29" s="24">
        <f>Z28*(R28+R28*0.025)</f>
        <v>0</v>
      </c>
      <c r="AA29" s="24"/>
      <c r="AB29" s="24">
        <f>SUM(B29:AA29)</f>
        <v>352005</v>
      </c>
      <c r="AC29" s="24"/>
      <c r="AD29" s="24"/>
    </row>
    <row r="30" spans="1:30" x14ac:dyDescent="0.3">
      <c r="A30" s="24" t="s">
        <v>45</v>
      </c>
      <c r="B30" s="24"/>
      <c r="C30" s="24"/>
      <c r="D30" s="24"/>
      <c r="E30" s="24"/>
      <c r="F30" s="24">
        <f>F28*C28</f>
        <v>0</v>
      </c>
      <c r="G30" s="24">
        <f>G28*($C$28)</f>
        <v>18000</v>
      </c>
      <c r="H30" s="24"/>
      <c r="J30" s="24"/>
      <c r="K30" s="24">
        <f>K28*($C$28+$C$28*0.05)</f>
        <v>25200</v>
      </c>
      <c r="L30" s="24"/>
      <c r="N30" s="24"/>
      <c r="O30" s="24">
        <f>O28*($C$28+$C$28*0.1)</f>
        <v>33000</v>
      </c>
      <c r="P30" s="24"/>
      <c r="R30" s="24"/>
      <c r="S30" s="24">
        <f>S28*($C$28+$C$28*0.15)</f>
        <v>43125</v>
      </c>
      <c r="T30" s="24"/>
      <c r="V30" s="24"/>
      <c r="W30" s="24">
        <f>W28*($C$28+$C$28*0.2)</f>
        <v>50400</v>
      </c>
      <c r="X30" s="24"/>
      <c r="Z30" s="24"/>
      <c r="AA30" s="24">
        <f>AA28*($C$28+$C$28*0.25)</f>
        <v>56250</v>
      </c>
      <c r="AB30" s="24">
        <f>SUM(B30:AA30)</f>
        <v>225975</v>
      </c>
      <c r="AC30" s="24"/>
      <c r="AD30" s="24">
        <f>AA30</f>
        <v>56250</v>
      </c>
    </row>
    <row r="31" spans="1:30" x14ac:dyDescent="0.3">
      <c r="A31" s="26" t="s">
        <v>37</v>
      </c>
      <c r="B31" s="26"/>
      <c r="C31" s="26"/>
      <c r="D31" s="26">
        <f t="shared" ref="D31:AB31" si="15">D29-D30</f>
        <v>0</v>
      </c>
      <c r="E31" s="26">
        <f t="shared" si="15"/>
        <v>24000</v>
      </c>
      <c r="F31" s="26">
        <f t="shared" si="15"/>
        <v>0</v>
      </c>
      <c r="G31" s="26">
        <f t="shared" si="15"/>
        <v>-18000</v>
      </c>
      <c r="H31" s="26"/>
      <c r="I31" s="26">
        <f>I29-I30</f>
        <v>34965</v>
      </c>
      <c r="J31" s="26">
        <f t="shared" si="15"/>
        <v>0</v>
      </c>
      <c r="K31" s="26">
        <f t="shared" ref="K31" si="16">K29-K30</f>
        <v>-25200</v>
      </c>
      <c r="L31" s="26"/>
      <c r="M31" s="26">
        <f>M29-M30</f>
        <v>48840</v>
      </c>
      <c r="N31" s="26">
        <f t="shared" ref="N31:O31" si="17">N29-N30</f>
        <v>0</v>
      </c>
      <c r="O31" s="26">
        <f t="shared" si="17"/>
        <v>-33000</v>
      </c>
      <c r="P31" s="26"/>
      <c r="Q31" s="26">
        <f>Q29-Q30</f>
        <v>63825</v>
      </c>
      <c r="R31" s="26">
        <f t="shared" ref="R31:S31" si="18">R29-R30</f>
        <v>0</v>
      </c>
      <c r="S31" s="26">
        <f t="shared" si="18"/>
        <v>-43125</v>
      </c>
      <c r="T31" s="26"/>
      <c r="U31" s="26">
        <f>U29-U30</f>
        <v>83250</v>
      </c>
      <c r="V31" s="26">
        <f t="shared" ref="V31" si="19">V29-V30</f>
        <v>0</v>
      </c>
      <c r="W31" s="26">
        <f t="shared" si="15"/>
        <v>-50400</v>
      </c>
      <c r="X31" s="26"/>
      <c r="Y31" s="26">
        <f>Y29-Y30</f>
        <v>97125</v>
      </c>
      <c r="Z31" s="26">
        <f t="shared" ref="Z31:AA31" si="20">Z29-Z30</f>
        <v>0</v>
      </c>
      <c r="AA31" s="26">
        <f t="shared" si="20"/>
        <v>-56250</v>
      </c>
      <c r="AB31" s="26">
        <f t="shared" si="15"/>
        <v>126030</v>
      </c>
      <c r="AC31" s="27"/>
      <c r="AD31" s="27"/>
    </row>
    <row r="32" spans="1:30" ht="15.6" x14ac:dyDescent="0.3">
      <c r="A32" s="23" t="s">
        <v>46</v>
      </c>
      <c r="B32" s="24">
        <v>65</v>
      </c>
      <c r="C32" s="24">
        <v>45</v>
      </c>
      <c r="D32" s="24"/>
      <c r="E32" s="24"/>
      <c r="F32" s="24">
        <v>85</v>
      </c>
      <c r="G32" s="24">
        <f>F32-F32*0.025</f>
        <v>82.875</v>
      </c>
      <c r="H32" s="24"/>
      <c r="I32" s="24"/>
      <c r="J32" s="24">
        <v>100</v>
      </c>
      <c r="K32" s="24">
        <f>J32-J32*0.025</f>
        <v>97.5</v>
      </c>
      <c r="L32" s="24"/>
      <c r="M32" s="24"/>
      <c r="N32" s="24">
        <v>150</v>
      </c>
      <c r="O32" s="24">
        <f>N32-N32*0.025</f>
        <v>146.25</v>
      </c>
      <c r="P32" s="24"/>
      <c r="Q32" s="24"/>
      <c r="R32" s="24">
        <v>200</v>
      </c>
      <c r="S32" s="24">
        <f>R32-R32*0.025</f>
        <v>195</v>
      </c>
      <c r="T32" s="24"/>
      <c r="U32" s="24"/>
      <c r="V32" s="24">
        <v>300</v>
      </c>
      <c r="W32" s="24">
        <f>V32-V32*0.025</f>
        <v>292.5</v>
      </c>
      <c r="X32" s="24"/>
      <c r="Y32" s="24"/>
      <c r="Z32" s="24">
        <v>325</v>
      </c>
      <c r="AA32" s="24">
        <f>Z32-Z32*0.025</f>
        <v>316.875</v>
      </c>
      <c r="AB32" s="24"/>
      <c r="AC32" s="24">
        <f>W32+S32+O32+K32+AA32+G32</f>
        <v>1131</v>
      </c>
      <c r="AD32" s="24"/>
    </row>
    <row r="33" spans="1:30" x14ac:dyDescent="0.3">
      <c r="A33" s="24" t="s">
        <v>35</v>
      </c>
      <c r="B33" s="24"/>
      <c r="C33" s="24"/>
      <c r="D33" s="24"/>
      <c r="E33" s="24"/>
      <c r="F33" s="24"/>
      <c r="G33" s="24">
        <f>G32*($B$32+$B$32*0.025)</f>
        <v>5521.546875</v>
      </c>
      <c r="H33" s="24"/>
      <c r="I33" s="24"/>
      <c r="J33" s="24"/>
      <c r="K33" s="24">
        <f>K32*($B$32+$B$32*0.05)</f>
        <v>6654.375</v>
      </c>
      <c r="L33" s="24"/>
      <c r="M33" s="24"/>
      <c r="N33" s="24"/>
      <c r="O33" s="24">
        <f>O32*($B$32+$B$32*0.075)</f>
        <v>10219.21875</v>
      </c>
      <c r="P33" s="24"/>
      <c r="Q33" s="24"/>
      <c r="R33" s="24"/>
      <c r="S33" s="24">
        <f>S32*($B$32+$B$32*0.1)</f>
        <v>13942.5</v>
      </c>
      <c r="T33" s="24"/>
      <c r="U33" s="24"/>
      <c r="V33" s="24"/>
      <c r="W33" s="24">
        <f>W32*($B$32+$B$32*0.125)</f>
        <v>21389.0625</v>
      </c>
      <c r="X33" s="24"/>
      <c r="Y33" s="24"/>
      <c r="Z33" s="24"/>
      <c r="AA33" s="24">
        <f>AA32*($B$32+$B$32*0.15)</f>
        <v>23686.40625</v>
      </c>
      <c r="AB33" s="24">
        <f>SUM(B33:AA33)</f>
        <v>81413.109375</v>
      </c>
      <c r="AC33" s="24"/>
      <c r="AD33" s="24"/>
    </row>
    <row r="34" spans="1:30" x14ac:dyDescent="0.3">
      <c r="A34" s="24" t="s">
        <v>47</v>
      </c>
      <c r="B34" s="24"/>
      <c r="C34" s="24"/>
      <c r="D34" s="24"/>
      <c r="E34" s="24"/>
      <c r="F34" s="24">
        <f>F32*($C$32+$C$32*0.025)</f>
        <v>3920.625</v>
      </c>
      <c r="G34" s="24"/>
      <c r="H34" s="24"/>
      <c r="I34" s="24"/>
      <c r="J34" s="24">
        <f>J32*($C$32+$C$32*0.05)</f>
        <v>4725</v>
      </c>
      <c r="K34" s="24"/>
      <c r="L34" s="24"/>
      <c r="M34" s="24"/>
      <c r="N34" s="24">
        <f>N32*($C$32+$C$32*0.075)</f>
        <v>7256.25</v>
      </c>
      <c r="O34" s="24"/>
      <c r="P34" s="24"/>
      <c r="Q34" s="24"/>
      <c r="R34" s="24">
        <f>R32*($C$32+$C$32*0.1)</f>
        <v>9900</v>
      </c>
      <c r="S34" s="24"/>
      <c r="T34" s="24"/>
      <c r="U34" s="24"/>
      <c r="V34" s="24">
        <f>V32*($C$32+$C$32*0.125)</f>
        <v>15187.5</v>
      </c>
      <c r="W34" s="24"/>
      <c r="X34" s="24"/>
      <c r="Y34" s="24"/>
      <c r="Z34" s="24">
        <f>Z32*($C$32+$C$32*0.15)</f>
        <v>16818.75</v>
      </c>
      <c r="AA34" s="24"/>
      <c r="AB34" s="24">
        <f>SUM(B34:AA34)</f>
        <v>57808.125</v>
      </c>
      <c r="AC34" s="24"/>
      <c r="AD34" s="24"/>
    </row>
    <row r="35" spans="1:30" x14ac:dyDescent="0.3">
      <c r="A35" s="26" t="s">
        <v>37</v>
      </c>
      <c r="B35" s="26"/>
      <c r="C35" s="26"/>
      <c r="D35" s="26">
        <f t="shared" ref="D35:AB35" si="21">D33-D34</f>
        <v>0</v>
      </c>
      <c r="E35" s="26">
        <f t="shared" si="21"/>
        <v>0</v>
      </c>
      <c r="F35" s="26">
        <f t="shared" si="21"/>
        <v>-3920.625</v>
      </c>
      <c r="G35" s="26">
        <f t="shared" si="21"/>
        <v>5521.546875</v>
      </c>
      <c r="H35" s="26">
        <f t="shared" si="21"/>
        <v>0</v>
      </c>
      <c r="I35" s="26">
        <f t="shared" si="21"/>
        <v>0</v>
      </c>
      <c r="J35" s="26">
        <f t="shared" si="21"/>
        <v>-4725</v>
      </c>
      <c r="K35" s="26">
        <f t="shared" si="21"/>
        <v>6654.375</v>
      </c>
      <c r="L35" s="26">
        <f t="shared" si="21"/>
        <v>0</v>
      </c>
      <c r="M35" s="26">
        <f t="shared" si="21"/>
        <v>0</v>
      </c>
      <c r="N35" s="26">
        <f t="shared" si="21"/>
        <v>-7256.25</v>
      </c>
      <c r="O35" s="26">
        <f t="shared" si="21"/>
        <v>10219.21875</v>
      </c>
      <c r="P35" s="26">
        <f t="shared" si="21"/>
        <v>0</v>
      </c>
      <c r="Q35" s="26">
        <f t="shared" si="21"/>
        <v>0</v>
      </c>
      <c r="R35" s="26">
        <f t="shared" si="21"/>
        <v>-9900</v>
      </c>
      <c r="S35" s="26">
        <f t="shared" si="21"/>
        <v>13942.5</v>
      </c>
      <c r="T35" s="26">
        <f t="shared" si="21"/>
        <v>0</v>
      </c>
      <c r="U35" s="26">
        <f t="shared" si="21"/>
        <v>0</v>
      </c>
      <c r="V35" s="26">
        <f t="shared" si="21"/>
        <v>-15187.5</v>
      </c>
      <c r="W35" s="26">
        <f t="shared" si="21"/>
        <v>21389.0625</v>
      </c>
      <c r="X35" s="26">
        <f t="shared" ref="X35:AA35" si="22">X33-X34</f>
        <v>0</v>
      </c>
      <c r="Y35" s="26">
        <f t="shared" si="22"/>
        <v>0</v>
      </c>
      <c r="Z35" s="26">
        <f t="shared" si="22"/>
        <v>-16818.75</v>
      </c>
      <c r="AA35" s="26">
        <f t="shared" si="22"/>
        <v>23686.40625</v>
      </c>
      <c r="AB35" s="26">
        <f t="shared" si="21"/>
        <v>23604.984375</v>
      </c>
      <c r="AC35" s="27"/>
      <c r="AD35" s="27"/>
    </row>
    <row r="36" spans="1:30" ht="15.6" x14ac:dyDescent="0.3">
      <c r="A36" s="23" t="s">
        <v>41</v>
      </c>
      <c r="B36" s="24">
        <v>150</v>
      </c>
      <c r="C36" s="24">
        <v>110</v>
      </c>
      <c r="D36" s="24"/>
      <c r="E36" s="24">
        <v>4.2</v>
      </c>
      <c r="F36" s="24"/>
      <c r="G36" s="24">
        <v>15</v>
      </c>
      <c r="H36" s="24"/>
      <c r="I36" s="24">
        <f>G36-G36*0.05</f>
        <v>14.25</v>
      </c>
      <c r="J36" s="24"/>
      <c r="K36" s="24">
        <v>25</v>
      </c>
      <c r="L36" s="24"/>
      <c r="M36" s="24">
        <f>K36-K36*0.05</f>
        <v>23.75</v>
      </c>
      <c r="N36" s="24"/>
      <c r="O36" s="24">
        <v>40</v>
      </c>
      <c r="P36" s="24"/>
      <c r="Q36" s="24">
        <f>O36-O36*0.05</f>
        <v>38</v>
      </c>
      <c r="R36" s="24"/>
      <c r="S36" s="24">
        <v>60</v>
      </c>
      <c r="T36" s="24"/>
      <c r="U36" s="24">
        <f>S36-S36*0.05</f>
        <v>57</v>
      </c>
      <c r="V36" s="24"/>
      <c r="W36" s="24">
        <v>65</v>
      </c>
      <c r="X36" s="24"/>
      <c r="Y36" s="24">
        <f>W36-W36*0.05</f>
        <v>61.75</v>
      </c>
      <c r="Z36" s="24">
        <f>X36-X36*0.05</f>
        <v>0</v>
      </c>
      <c r="AA36" s="24">
        <v>70</v>
      </c>
      <c r="AB36" s="24"/>
      <c r="AC36" s="24">
        <f>Y36+U36+Q36+M36+I36+E36</f>
        <v>198.95</v>
      </c>
      <c r="AD36" s="27">
        <f>AA36</f>
        <v>70</v>
      </c>
    </row>
    <row r="37" spans="1:30" x14ac:dyDescent="0.3">
      <c r="A37" s="24" t="s">
        <v>35</v>
      </c>
      <c r="B37" s="24"/>
      <c r="C37" s="24"/>
      <c r="D37" s="24"/>
      <c r="E37" s="24">
        <f>E36*B36</f>
        <v>630</v>
      </c>
      <c r="F37" s="24"/>
      <c r="G37" s="24"/>
      <c r="H37" s="24"/>
      <c r="I37" s="24">
        <f>I36*($B$36+$B$36*0.025)</f>
        <v>2190.9375</v>
      </c>
      <c r="J37" s="24"/>
      <c r="K37" s="24"/>
      <c r="L37" s="24"/>
      <c r="M37" s="24">
        <f>M36*($B$36+$B$36*0.05)</f>
        <v>3740.625</v>
      </c>
      <c r="N37" s="24"/>
      <c r="O37" s="24"/>
      <c r="P37" s="24"/>
      <c r="Q37" s="24">
        <f>Q36*($B$36+$B$36*0.1)</f>
        <v>6270</v>
      </c>
      <c r="R37" s="24"/>
      <c r="S37" s="24"/>
      <c r="T37" s="24"/>
      <c r="U37" s="24">
        <f>U36*($B$36+$B$36*0.15)</f>
        <v>9832.5</v>
      </c>
      <c r="V37" s="24"/>
      <c r="W37" s="24"/>
      <c r="X37" s="24"/>
      <c r="Y37" s="24">
        <f>Y36*($B$36+$B$36*0.2)</f>
        <v>11115</v>
      </c>
      <c r="Z37" s="24">
        <f>Z36*($B$36+$B$36*0.15)</f>
        <v>0</v>
      </c>
      <c r="AA37" s="24"/>
      <c r="AB37" s="24">
        <f>SUM(B37:AA37)</f>
        <v>33779.0625</v>
      </c>
      <c r="AC37" s="27"/>
      <c r="AD37" s="27"/>
    </row>
    <row r="38" spans="1:30" x14ac:dyDescent="0.3">
      <c r="A38" s="24" t="s">
        <v>43</v>
      </c>
      <c r="B38" s="24"/>
      <c r="C38" s="24"/>
      <c r="D38" s="24"/>
      <c r="E38" s="24"/>
      <c r="F38" s="24"/>
      <c r="G38" s="24">
        <f>G36*$C$36</f>
        <v>1650</v>
      </c>
      <c r="H38" s="24"/>
      <c r="I38" s="24"/>
      <c r="J38" s="24"/>
      <c r="K38" s="24">
        <f>K36*($C$36+$C$36*0.025)</f>
        <v>2818.75</v>
      </c>
      <c r="L38" s="24"/>
      <c r="M38" s="24"/>
      <c r="N38" s="24">
        <f>N36*B36</f>
        <v>0</v>
      </c>
      <c r="O38" s="24">
        <f>O36*($C$36+$C$36*0.05)</f>
        <v>4620</v>
      </c>
      <c r="P38" s="24"/>
      <c r="Q38" s="24"/>
      <c r="R38" s="24"/>
      <c r="S38" s="24">
        <f>S36*($C$36+$C$36*0.1)</f>
        <v>7260</v>
      </c>
      <c r="T38" s="24"/>
      <c r="U38" s="24"/>
      <c r="V38" s="24">
        <f>V36*(B36+B36*0.1)</f>
        <v>0</v>
      </c>
      <c r="W38" s="24">
        <f>W36*($C$36+$C$36*0.15)</f>
        <v>8222.5</v>
      </c>
      <c r="X38" s="24"/>
      <c r="Y38" s="24"/>
      <c r="Z38" s="24"/>
      <c r="AA38" s="24">
        <f>AA36*($C$36+$C$36*0.2)</f>
        <v>9240</v>
      </c>
      <c r="AB38" s="24">
        <f>SUM(B38:AA38)</f>
        <v>33811.25</v>
      </c>
      <c r="AC38" s="27"/>
      <c r="AD38" s="27">
        <f>AA38</f>
        <v>9240</v>
      </c>
    </row>
    <row r="39" spans="1:30" x14ac:dyDescent="0.3">
      <c r="A39" s="26" t="s">
        <v>37</v>
      </c>
      <c r="B39" s="26"/>
      <c r="C39" s="26"/>
      <c r="D39" s="26"/>
      <c r="E39" s="26">
        <f>E37-E38</f>
        <v>630</v>
      </c>
      <c r="F39" s="26">
        <f>F37-F38</f>
        <v>0</v>
      </c>
      <c r="G39" s="26">
        <f t="shared" ref="G39:Q39" si="23">G37-G38</f>
        <v>-1650</v>
      </c>
      <c r="H39" s="26">
        <f t="shared" si="23"/>
        <v>0</v>
      </c>
      <c r="I39" s="26">
        <f t="shared" si="23"/>
        <v>2190.9375</v>
      </c>
      <c r="J39" s="26">
        <f t="shared" si="23"/>
        <v>0</v>
      </c>
      <c r="K39" s="26">
        <f t="shared" si="23"/>
        <v>-2818.75</v>
      </c>
      <c r="L39" s="26">
        <f t="shared" si="23"/>
        <v>0</v>
      </c>
      <c r="M39" s="26">
        <f t="shared" si="23"/>
        <v>3740.625</v>
      </c>
      <c r="N39" s="26">
        <f t="shared" si="23"/>
        <v>0</v>
      </c>
      <c r="O39" s="26">
        <f t="shared" si="23"/>
        <v>-4620</v>
      </c>
      <c r="P39" s="26">
        <f t="shared" si="23"/>
        <v>0</v>
      </c>
      <c r="Q39" s="26">
        <f t="shared" si="23"/>
        <v>6270</v>
      </c>
      <c r="R39" s="26"/>
      <c r="S39" s="26">
        <f>S37-S38</f>
        <v>-7260</v>
      </c>
      <c r="T39" s="26"/>
      <c r="U39" s="26">
        <f>U37-U38</f>
        <v>9832.5</v>
      </c>
      <c r="V39" s="26">
        <f>V37-V38</f>
        <v>0</v>
      </c>
      <c r="W39" s="26">
        <f>W37-W38</f>
        <v>-8222.5</v>
      </c>
      <c r="X39" s="26"/>
      <c r="Y39" s="26">
        <f>Y37-Y38</f>
        <v>11115</v>
      </c>
      <c r="Z39" s="26">
        <f>Z37-Z38</f>
        <v>0</v>
      </c>
      <c r="AA39" s="26">
        <f>AA37-AA38</f>
        <v>-9240</v>
      </c>
      <c r="AB39" s="26">
        <f>AB37-AB38</f>
        <v>-32.1875</v>
      </c>
      <c r="AC39" s="27"/>
      <c r="AD39" s="27"/>
    </row>
    <row r="40" spans="1:30" ht="17.399999999999999" x14ac:dyDescent="0.3">
      <c r="A40" s="34" t="s">
        <v>48</v>
      </c>
      <c r="B40" s="26"/>
      <c r="C40" s="26"/>
      <c r="D40" s="26"/>
      <c r="E40" s="26"/>
      <c r="F40" s="26"/>
      <c r="G40" s="33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7"/>
      <c r="AD40" s="27"/>
    </row>
    <row r="41" spans="1:30" x14ac:dyDescent="0.3">
      <c r="A41" s="35" t="s">
        <v>49</v>
      </c>
      <c r="B41" s="36"/>
      <c r="C41" s="36"/>
      <c r="D41" s="36"/>
      <c r="E41" s="36"/>
      <c r="F41" s="36"/>
      <c r="G41" s="37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</row>
    <row r="42" spans="1:30" x14ac:dyDescent="0.3">
      <c r="A42" s="24" t="s">
        <v>35</v>
      </c>
      <c r="B42" s="36"/>
      <c r="C42" s="36"/>
      <c r="D42" s="36"/>
      <c r="E42" s="36"/>
      <c r="F42" s="36"/>
      <c r="G42" s="37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</row>
    <row r="43" spans="1:30" x14ac:dyDescent="0.3">
      <c r="A43" s="24" t="s">
        <v>43</v>
      </c>
      <c r="B43" s="36"/>
      <c r="C43" s="36"/>
      <c r="D43" s="36"/>
      <c r="E43" s="36"/>
      <c r="F43" s="36"/>
      <c r="G43" s="37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</row>
    <row r="44" spans="1:30" x14ac:dyDescent="0.3">
      <c r="A44" s="38" t="s">
        <v>50</v>
      </c>
      <c r="B44" s="39"/>
      <c r="C44" s="39"/>
      <c r="D44" s="39"/>
      <c r="E44" s="39"/>
      <c r="F44" s="39"/>
      <c r="G44" s="40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41"/>
      <c r="AD44" s="41"/>
    </row>
    <row r="45" spans="1:30" x14ac:dyDescent="0.3">
      <c r="A45" s="35" t="s">
        <v>51</v>
      </c>
      <c r="B45" s="36"/>
      <c r="C45" s="36"/>
      <c r="D45" s="36"/>
      <c r="E45" s="36"/>
      <c r="F45" s="36"/>
      <c r="G45" s="37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</row>
    <row r="46" spans="1:30" x14ac:dyDescent="0.3">
      <c r="A46" s="24" t="s">
        <v>35</v>
      </c>
      <c r="B46" s="36"/>
      <c r="C46" s="36"/>
      <c r="D46" s="36"/>
      <c r="E46" s="36"/>
      <c r="F46" s="36"/>
      <c r="G46" s="37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</row>
    <row r="47" spans="1:30" x14ac:dyDescent="0.3">
      <c r="A47" s="24" t="s">
        <v>43</v>
      </c>
      <c r="B47" s="36"/>
      <c r="C47" s="36"/>
      <c r="D47" s="36"/>
      <c r="E47" s="36"/>
      <c r="F47" s="36"/>
      <c r="G47" s="37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</row>
    <row r="48" spans="1:30" x14ac:dyDescent="0.3">
      <c r="A48" s="38" t="s">
        <v>50</v>
      </c>
      <c r="B48" s="39"/>
      <c r="C48" s="39"/>
      <c r="D48" s="39"/>
      <c r="E48" s="39"/>
      <c r="F48" s="39"/>
      <c r="G48" s="40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1"/>
      <c r="AD48" s="41"/>
    </row>
    <row r="49" spans="1:30" x14ac:dyDescent="0.3">
      <c r="A49" s="35" t="s">
        <v>52</v>
      </c>
      <c r="B49" s="36"/>
      <c r="C49" s="36"/>
      <c r="D49" s="36"/>
      <c r="E49" s="36"/>
      <c r="F49" s="36"/>
      <c r="G49" s="37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</row>
    <row r="50" spans="1:30" x14ac:dyDescent="0.3">
      <c r="A50" s="24" t="s">
        <v>35</v>
      </c>
      <c r="B50" s="36"/>
      <c r="C50" s="36"/>
      <c r="D50" s="36"/>
      <c r="E50" s="36"/>
      <c r="F50" s="36"/>
      <c r="G50" s="37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</row>
    <row r="51" spans="1:30" x14ac:dyDescent="0.3">
      <c r="A51" s="24" t="s">
        <v>43</v>
      </c>
      <c r="B51" s="36"/>
      <c r="C51" s="36"/>
      <c r="D51" s="36"/>
      <c r="E51" s="36"/>
      <c r="F51" s="36"/>
      <c r="G51" s="37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</row>
    <row r="52" spans="1:30" x14ac:dyDescent="0.3">
      <c r="A52" s="38" t="s">
        <v>50</v>
      </c>
      <c r="B52" s="39"/>
      <c r="C52" s="39"/>
      <c r="D52" s="39"/>
      <c r="E52" s="39"/>
      <c r="F52" s="39"/>
      <c r="G52" s="40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41"/>
      <c r="AD52" s="41"/>
    </row>
    <row r="53" spans="1:30" x14ac:dyDescent="0.3">
      <c r="A53" s="36" t="s">
        <v>53</v>
      </c>
      <c r="B53" s="36"/>
      <c r="C53" s="36"/>
      <c r="D53" s="36"/>
      <c r="E53" s="36"/>
      <c r="F53" s="36"/>
      <c r="G53" s="37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</row>
    <row r="54" spans="1:30" x14ac:dyDescent="0.3">
      <c r="A54" s="24" t="s">
        <v>35</v>
      </c>
      <c r="B54" s="36"/>
      <c r="C54" s="36"/>
      <c r="D54" s="36"/>
      <c r="E54" s="36"/>
      <c r="F54" s="36"/>
      <c r="G54" s="37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</row>
    <row r="55" spans="1:30" x14ac:dyDescent="0.3">
      <c r="A55" s="24" t="s">
        <v>43</v>
      </c>
      <c r="B55" s="36"/>
      <c r="C55" s="36"/>
      <c r="D55" s="36"/>
      <c r="E55" s="36"/>
      <c r="F55" s="36"/>
      <c r="G55" s="37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</row>
    <row r="56" spans="1:30" x14ac:dyDescent="0.3">
      <c r="A56" s="38" t="s">
        <v>50</v>
      </c>
      <c r="B56" s="26"/>
      <c r="C56" s="26"/>
      <c r="D56" s="26"/>
      <c r="E56" s="26"/>
      <c r="F56" s="26"/>
      <c r="G56" s="33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7"/>
    </row>
    <row r="57" spans="1:30" x14ac:dyDescent="0.3">
      <c r="A57" s="36" t="s">
        <v>54</v>
      </c>
      <c r="B57" s="36"/>
      <c r="C57" s="36"/>
      <c r="D57" s="36"/>
      <c r="E57" s="36"/>
      <c r="F57" s="36"/>
      <c r="G57" s="42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</row>
    <row r="58" spans="1:30" x14ac:dyDescent="0.3">
      <c r="A58" s="24" t="s">
        <v>35</v>
      </c>
      <c r="B58" s="36"/>
      <c r="C58" s="36"/>
      <c r="D58" s="36"/>
      <c r="E58" s="36"/>
      <c r="F58" s="36"/>
      <c r="G58" s="42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</row>
    <row r="59" spans="1:30" x14ac:dyDescent="0.3">
      <c r="A59" s="24" t="s">
        <v>43</v>
      </c>
      <c r="B59" s="36"/>
      <c r="C59" s="36"/>
      <c r="D59" s="36"/>
      <c r="E59" s="36"/>
      <c r="F59" s="36"/>
      <c r="G59" s="42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</row>
    <row r="60" spans="1:30" x14ac:dyDescent="0.3">
      <c r="A60" s="38" t="s">
        <v>50</v>
      </c>
      <c r="B60" s="26"/>
      <c r="C60" s="26"/>
      <c r="D60" s="26"/>
      <c r="E60" s="26"/>
      <c r="F60" s="26"/>
      <c r="G60" s="33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7"/>
      <c r="AD60" s="27"/>
    </row>
    <row r="61" spans="1:30" x14ac:dyDescent="0.3">
      <c r="A61" s="36" t="s">
        <v>55</v>
      </c>
      <c r="B61" s="36"/>
      <c r="C61" s="36"/>
      <c r="D61" s="36"/>
      <c r="E61" s="36"/>
      <c r="F61" s="36"/>
      <c r="G61" s="42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</row>
    <row r="62" spans="1:30" x14ac:dyDescent="0.3">
      <c r="A62" s="36" t="s">
        <v>35</v>
      </c>
      <c r="B62" s="36"/>
      <c r="C62" s="36"/>
      <c r="D62" s="36"/>
      <c r="E62" s="36"/>
      <c r="F62" s="36"/>
      <c r="G62" s="42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</row>
    <row r="63" spans="1:30" x14ac:dyDescent="0.3">
      <c r="A63" s="36" t="s">
        <v>43</v>
      </c>
      <c r="B63" s="36"/>
      <c r="C63" s="36"/>
      <c r="D63" s="36"/>
      <c r="E63" s="36"/>
      <c r="F63" s="36"/>
      <c r="G63" s="42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</row>
    <row r="64" spans="1:30" x14ac:dyDescent="0.3">
      <c r="A64" s="38" t="s">
        <v>50</v>
      </c>
      <c r="B64" s="26"/>
      <c r="C64" s="26"/>
      <c r="D64" s="26"/>
      <c r="E64" s="26"/>
      <c r="F64" s="26"/>
      <c r="G64" s="33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7"/>
      <c r="AD64" s="27"/>
    </row>
    <row r="65" spans="1:30" x14ac:dyDescent="0.3">
      <c r="A65" s="36" t="s">
        <v>56</v>
      </c>
      <c r="B65" s="36"/>
      <c r="C65" s="36"/>
      <c r="D65" s="36"/>
      <c r="E65" s="36"/>
      <c r="F65" s="36"/>
      <c r="G65" s="42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</row>
    <row r="66" spans="1:30" x14ac:dyDescent="0.3">
      <c r="A66" s="36" t="s">
        <v>35</v>
      </c>
      <c r="B66" s="36"/>
      <c r="C66" s="36"/>
      <c r="D66" s="36"/>
      <c r="E66" s="36"/>
      <c r="F66" s="36"/>
      <c r="G66" s="42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</row>
    <row r="67" spans="1:30" x14ac:dyDescent="0.3">
      <c r="A67" s="36" t="s">
        <v>43</v>
      </c>
      <c r="B67" s="36"/>
      <c r="C67" s="36"/>
      <c r="D67" s="36"/>
      <c r="E67" s="36"/>
      <c r="F67" s="36"/>
      <c r="G67" s="42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</row>
    <row r="68" spans="1:30" x14ac:dyDescent="0.3">
      <c r="A68" s="38" t="s">
        <v>50</v>
      </c>
      <c r="B68" s="26"/>
      <c r="C68" s="26"/>
      <c r="D68" s="26"/>
      <c r="E68" s="26"/>
      <c r="F68" s="26"/>
      <c r="G68" s="33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7"/>
      <c r="AD68" s="27"/>
    </row>
    <row r="69" spans="1:30" x14ac:dyDescent="0.3">
      <c r="A69" s="36" t="s">
        <v>57</v>
      </c>
      <c r="B69" s="36"/>
      <c r="C69" s="36"/>
      <c r="D69" s="36"/>
      <c r="E69" s="36"/>
      <c r="F69" s="36"/>
      <c r="G69" s="42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</row>
    <row r="70" spans="1:30" x14ac:dyDescent="0.3">
      <c r="A70" s="24" t="s">
        <v>35</v>
      </c>
      <c r="B70" s="36"/>
      <c r="C70" s="36"/>
      <c r="D70" s="36"/>
      <c r="E70" s="36"/>
      <c r="F70" s="36"/>
      <c r="G70" s="42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</row>
    <row r="71" spans="1:30" x14ac:dyDescent="0.3">
      <c r="A71" s="24" t="s">
        <v>43</v>
      </c>
      <c r="B71" s="36"/>
      <c r="C71" s="36"/>
      <c r="D71" s="36"/>
      <c r="E71" s="36"/>
      <c r="F71" s="36"/>
      <c r="G71" s="42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</row>
    <row r="72" spans="1:30" x14ac:dyDescent="0.3">
      <c r="A72" s="38" t="s">
        <v>50</v>
      </c>
      <c r="B72" s="26"/>
      <c r="C72" s="26"/>
      <c r="D72" s="26"/>
      <c r="E72" s="26"/>
      <c r="F72" s="26"/>
      <c r="G72" s="33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7"/>
      <c r="AD72" s="27"/>
    </row>
    <row r="73" spans="1:30" ht="17.399999999999999" x14ac:dyDescent="0.3">
      <c r="A73" s="43" t="s">
        <v>58</v>
      </c>
      <c r="B73" s="44"/>
      <c r="C73" s="44"/>
      <c r="D73" s="44">
        <f>D39+D35+D31+D27+D22+D18+D14+D10</f>
        <v>-550</v>
      </c>
      <c r="E73" s="44">
        <f>E39+E35+E31+E27+E22+E18+E14+E10</f>
        <v>17423.199999999997</v>
      </c>
      <c r="F73" s="44">
        <f t="shared" ref="F73:AB73" si="24">F39+F35+F31+F27+F22+F18+F14+F10</f>
        <v>-3136.875</v>
      </c>
      <c r="G73" s="44">
        <f>G39+G35+G31+G27+G22+G18+G14+G10</f>
        <v>1021.2968750000036</v>
      </c>
      <c r="H73" s="44">
        <f>H39+H35+H31+H27+H22+H18+H14+H10</f>
        <v>-1050</v>
      </c>
      <c r="I73" s="44">
        <f t="shared" si="24"/>
        <v>23378.1875</v>
      </c>
      <c r="J73" s="44">
        <f t="shared" si="24"/>
        <v>-3189.375</v>
      </c>
      <c r="K73" s="44">
        <f t="shared" si="24"/>
        <v>6110.375</v>
      </c>
      <c r="L73" s="44">
        <f t="shared" si="24"/>
        <v>-1375</v>
      </c>
      <c r="M73" s="44">
        <f t="shared" si="24"/>
        <v>33837.484375</v>
      </c>
      <c r="N73" s="44">
        <f t="shared" si="24"/>
        <v>-5245.3125</v>
      </c>
      <c r="O73" s="44">
        <f t="shared" si="24"/>
        <v>6490.59375</v>
      </c>
      <c r="P73" s="44">
        <f t="shared" si="24"/>
        <v>-1725</v>
      </c>
      <c r="Q73" s="44">
        <f t="shared" si="24"/>
        <v>50442.4375</v>
      </c>
      <c r="R73" s="44">
        <f t="shared" si="24"/>
        <v>-7377.1875</v>
      </c>
      <c r="S73" s="44">
        <f t="shared" si="24"/>
        <v>3993.375</v>
      </c>
      <c r="T73" s="44">
        <f t="shared" si="24"/>
        <v>-2100</v>
      </c>
      <c r="U73" s="44">
        <f t="shared" si="24"/>
        <v>70651.5</v>
      </c>
      <c r="V73" s="44">
        <f t="shared" si="24"/>
        <v>-12116.25</v>
      </c>
      <c r="W73" s="44">
        <f t="shared" si="24"/>
        <v>11387.5625</v>
      </c>
      <c r="X73" s="44">
        <f t="shared" ref="X73:AA73" si="25">X39+X35+X31+X27+X22+X18+X14+X10</f>
        <v>-2500</v>
      </c>
      <c r="Y73" s="44">
        <f t="shared" si="25"/>
        <v>78070.625</v>
      </c>
      <c r="Z73" s="44">
        <f t="shared" si="25"/>
        <v>-13162.5</v>
      </c>
      <c r="AA73" s="44">
        <f t="shared" si="25"/>
        <v>22426.40625</v>
      </c>
      <c r="AB73" s="44">
        <f t="shared" si="24"/>
        <v>271705.54375000001</v>
      </c>
      <c r="AC73" s="44">
        <f>SUM(AC7:AC39)</f>
        <v>11822.345000000001</v>
      </c>
      <c r="AD73" s="38">
        <f>+AD11+AD15+AD19+AD28+AD36</f>
        <v>1725</v>
      </c>
    </row>
    <row r="74" spans="1:30" x14ac:dyDescent="0.3">
      <c r="D74" s="7" t="s">
        <v>1</v>
      </c>
      <c r="E74" s="7" t="s">
        <v>2</v>
      </c>
      <c r="F74" s="7" t="s">
        <v>3</v>
      </c>
      <c r="G74" s="7" t="s">
        <v>4</v>
      </c>
      <c r="H74" s="7" t="s">
        <v>1</v>
      </c>
      <c r="I74" s="7" t="s">
        <v>2</v>
      </c>
      <c r="J74" s="7" t="s">
        <v>3</v>
      </c>
      <c r="K74" s="7" t="s">
        <v>4</v>
      </c>
      <c r="L74" s="7" t="s">
        <v>1</v>
      </c>
      <c r="M74" s="7" t="s">
        <v>2</v>
      </c>
      <c r="N74" s="7" t="s">
        <v>3</v>
      </c>
      <c r="O74" s="7" t="s">
        <v>4</v>
      </c>
      <c r="P74" s="7" t="s">
        <v>1</v>
      </c>
      <c r="Q74" s="7" t="s">
        <v>2</v>
      </c>
      <c r="R74" s="7" t="s">
        <v>3</v>
      </c>
      <c r="S74" s="7" t="s">
        <v>4</v>
      </c>
      <c r="T74" s="7" t="s">
        <v>1</v>
      </c>
      <c r="U74" s="7" t="s">
        <v>2</v>
      </c>
      <c r="V74" s="7" t="s">
        <v>3</v>
      </c>
      <c r="W74" s="8" t="s">
        <v>4</v>
      </c>
      <c r="X74" s="7" t="s">
        <v>1</v>
      </c>
      <c r="Y74" s="7" t="s">
        <v>2</v>
      </c>
      <c r="Z74" s="7" t="s">
        <v>3</v>
      </c>
      <c r="AA74" s="8" t="s">
        <v>4</v>
      </c>
      <c r="AB74" s="7" t="s">
        <v>21</v>
      </c>
      <c r="AC74" s="6" t="s">
        <v>22</v>
      </c>
      <c r="AD74" s="6" t="s">
        <v>23</v>
      </c>
    </row>
    <row r="76" spans="1:30" ht="17.399999999999999" x14ac:dyDescent="0.3">
      <c r="A76" s="45"/>
      <c r="B76" s="46" t="s">
        <v>59</v>
      </c>
      <c r="C76" s="47"/>
      <c r="D76" s="47"/>
      <c r="E76" s="47"/>
      <c r="F76" s="48" t="s">
        <v>60</v>
      </c>
      <c r="G76" s="49"/>
      <c r="H76" s="49"/>
      <c r="I76" s="49"/>
      <c r="J76" s="46" t="s">
        <v>204</v>
      </c>
      <c r="K76" s="47"/>
      <c r="L76" s="47"/>
      <c r="M76" s="47"/>
      <c r="N76" s="46"/>
      <c r="O76" s="47"/>
      <c r="P76" s="47"/>
      <c r="Q76" s="47"/>
      <c r="R76" s="247" t="s">
        <v>216</v>
      </c>
    </row>
    <row r="77" spans="1:30" ht="40.200000000000003" x14ac:dyDescent="0.3">
      <c r="A77" s="50" t="s">
        <v>61</v>
      </c>
      <c r="B77" s="51" t="s">
        <v>34</v>
      </c>
      <c r="C77" s="51" t="s">
        <v>38</v>
      </c>
      <c r="D77" s="245" t="s">
        <v>46</v>
      </c>
      <c r="E77" s="51" t="s">
        <v>215</v>
      </c>
      <c r="F77" s="53" t="s">
        <v>62</v>
      </c>
      <c r="G77" s="53" t="s">
        <v>44</v>
      </c>
      <c r="H77" s="53" t="s">
        <v>63</v>
      </c>
      <c r="I77" s="53" t="s">
        <v>64</v>
      </c>
      <c r="J77" s="51" t="s">
        <v>205</v>
      </c>
      <c r="K77" s="51" t="s">
        <v>206</v>
      </c>
      <c r="L77" s="245" t="s">
        <v>52</v>
      </c>
      <c r="M77" s="51" t="s">
        <v>53</v>
      </c>
      <c r="N77" s="51" t="s">
        <v>207</v>
      </c>
      <c r="O77" s="51" t="s">
        <v>55</v>
      </c>
      <c r="P77" s="245" t="s">
        <v>56</v>
      </c>
      <c r="Q77" s="51" t="s">
        <v>208</v>
      </c>
      <c r="R77" s="247"/>
    </row>
    <row r="78" spans="1:30" x14ac:dyDescent="0.3">
      <c r="A78" s="54" t="s">
        <v>65</v>
      </c>
      <c r="B78" s="55">
        <f>AC7</f>
        <v>275.5</v>
      </c>
      <c r="C78" s="55">
        <f>AC11</f>
        <v>396.5</v>
      </c>
      <c r="D78" s="55">
        <f>AC15</f>
        <v>156.69999999999999</v>
      </c>
      <c r="E78" s="55">
        <f>AC19</f>
        <v>81.75</v>
      </c>
      <c r="F78" s="56">
        <f>AC24</f>
        <v>4510.6949999999997</v>
      </c>
      <c r="G78" s="56">
        <f>AC28</f>
        <v>5071.25</v>
      </c>
      <c r="H78" s="56">
        <f>AC32</f>
        <v>1131</v>
      </c>
      <c r="I78" s="56">
        <f>AC36</f>
        <v>198.95</v>
      </c>
      <c r="J78" s="55"/>
      <c r="K78" s="55"/>
      <c r="L78" s="55"/>
      <c r="M78" s="55"/>
      <c r="N78" s="55"/>
      <c r="O78" s="55"/>
      <c r="P78" s="55"/>
      <c r="Q78" s="55"/>
      <c r="R78" s="246">
        <f>SUM(B78:Q78)</f>
        <v>11822.345000000001</v>
      </c>
    </row>
    <row r="79" spans="1:30" x14ac:dyDescent="0.3">
      <c r="A79" s="57" t="s">
        <v>66</v>
      </c>
      <c r="B79" s="58">
        <f>AB8</f>
        <v>17969.25</v>
      </c>
      <c r="C79" s="58">
        <f>AB12</f>
        <v>28650.984375</v>
      </c>
      <c r="D79" s="58">
        <f>AB16</f>
        <v>13580.625</v>
      </c>
      <c r="E79" s="58">
        <f>AB20</f>
        <v>15927.1875</v>
      </c>
      <c r="F79" s="56">
        <f>AB25</f>
        <v>247206.625</v>
      </c>
      <c r="G79" s="56">
        <f>AB29</f>
        <v>352005</v>
      </c>
      <c r="H79" s="56">
        <f>AB33</f>
        <v>81413.109375</v>
      </c>
      <c r="I79" s="56">
        <f>AB37</f>
        <v>33779.0625</v>
      </c>
      <c r="J79" s="58"/>
      <c r="K79" s="58"/>
      <c r="L79" s="58"/>
      <c r="M79" s="58"/>
      <c r="N79" s="58"/>
      <c r="O79" s="58"/>
      <c r="P79" s="58"/>
      <c r="Q79" s="58"/>
      <c r="R79" s="246">
        <f>SUM(B79:Q79)</f>
        <v>790531.84375</v>
      </c>
    </row>
    <row r="80" spans="1:30" x14ac:dyDescent="0.3">
      <c r="A80" s="57" t="s">
        <v>67</v>
      </c>
      <c r="B80" s="249">
        <f>(B78/$R$78)</f>
        <v>2.3303329415610859E-2</v>
      </c>
      <c r="C80" s="249">
        <f t="shared" ref="C80:I80" si="26">(C78/$R$78)</f>
        <v>3.3538185529182238E-2</v>
      </c>
      <c r="D80" s="249">
        <f t="shared" si="26"/>
        <v>1.3254561595013509E-2</v>
      </c>
      <c r="E80" s="249">
        <f t="shared" si="26"/>
        <v>6.9148717957393385E-3</v>
      </c>
      <c r="F80" s="248">
        <f t="shared" si="26"/>
        <v>0.38153978758021351</v>
      </c>
      <c r="G80" s="248">
        <f t="shared" si="26"/>
        <v>0.42895466170205654</v>
      </c>
      <c r="H80" s="248">
        <f t="shared" si="26"/>
        <v>9.5666299706191948E-2</v>
      </c>
      <c r="I80" s="248">
        <f t="shared" si="26"/>
        <v>1.6828302675991943E-2</v>
      </c>
      <c r="J80" s="59"/>
      <c r="K80" s="59"/>
      <c r="L80" s="59"/>
      <c r="M80" s="59"/>
      <c r="N80" s="59"/>
      <c r="O80" s="59"/>
      <c r="P80" s="59"/>
      <c r="Q80" s="59"/>
      <c r="R80" s="247"/>
    </row>
    <row r="81" spans="1:27" x14ac:dyDescent="0.3">
      <c r="A81" s="57" t="s">
        <v>68</v>
      </c>
      <c r="B81" s="249">
        <f>(B79/$R$79)</f>
        <v>2.273058339403548E-2</v>
      </c>
      <c r="C81" s="249">
        <f t="shared" ref="C81:I81" si="27">(C79/$R$79)</f>
        <v>3.6242669541419088E-2</v>
      </c>
      <c r="D81" s="249">
        <f t="shared" si="27"/>
        <v>1.7179099244855688E-2</v>
      </c>
      <c r="E81" s="249">
        <f t="shared" si="27"/>
        <v>2.0147433181751575E-2</v>
      </c>
      <c r="F81" s="248">
        <f t="shared" si="27"/>
        <v>0.31270925637522745</v>
      </c>
      <c r="G81" s="248">
        <f t="shared" si="27"/>
        <v>0.44527618056499069</v>
      </c>
      <c r="H81" s="248">
        <f t="shared" si="27"/>
        <v>0.10298523711430188</v>
      </c>
      <c r="I81" s="248">
        <f t="shared" si="27"/>
        <v>4.272954058341815E-2</v>
      </c>
      <c r="J81" s="59"/>
      <c r="K81" s="59"/>
      <c r="L81" s="59"/>
      <c r="M81" s="59"/>
      <c r="N81" s="59"/>
      <c r="O81" s="59"/>
      <c r="P81" s="59"/>
      <c r="Q81" s="59"/>
      <c r="R81" s="247"/>
    </row>
    <row r="82" spans="1:27" x14ac:dyDescent="0.3">
      <c r="A82" s="57" t="s">
        <v>69</v>
      </c>
      <c r="B82" s="58">
        <f>AB9</f>
        <v>10837</v>
      </c>
      <c r="C82" s="58">
        <f>AB13</f>
        <v>19473.125</v>
      </c>
      <c r="D82" s="58">
        <f>AB17</f>
        <v>9300</v>
      </c>
      <c r="E82" s="58">
        <f>AB21</f>
        <v>15900</v>
      </c>
      <c r="F82" s="56">
        <f>AB26</f>
        <v>145721.79999999999</v>
      </c>
      <c r="G82" s="56">
        <f>AB30</f>
        <v>225975</v>
      </c>
      <c r="H82" s="56">
        <f>AB34</f>
        <v>57808.125</v>
      </c>
      <c r="I82" s="56">
        <f>AB38</f>
        <v>33811.25</v>
      </c>
      <c r="J82" s="58"/>
      <c r="K82" s="58"/>
      <c r="L82" s="58"/>
      <c r="M82" s="58"/>
      <c r="N82" s="58"/>
      <c r="O82" s="58"/>
      <c r="P82" s="58"/>
      <c r="Q82" s="58"/>
      <c r="R82" s="247"/>
    </row>
    <row r="83" spans="1:27" x14ac:dyDescent="0.3">
      <c r="A83" s="57" t="s">
        <v>70</v>
      </c>
      <c r="B83" s="60">
        <f>AD7</f>
        <v>0</v>
      </c>
      <c r="C83" s="60">
        <f>AD11</f>
        <v>120</v>
      </c>
      <c r="D83" s="60">
        <f>AD15</f>
        <v>0</v>
      </c>
      <c r="E83" s="60">
        <f>AD19</f>
        <v>35</v>
      </c>
      <c r="F83" s="56">
        <f>AD24</f>
        <v>0</v>
      </c>
      <c r="G83" s="56">
        <f>AD28</f>
        <v>1500</v>
      </c>
      <c r="H83" s="56">
        <f>AD32</f>
        <v>0</v>
      </c>
      <c r="I83" s="56">
        <f>AD36</f>
        <v>70</v>
      </c>
      <c r="J83" s="60"/>
      <c r="K83" s="60"/>
      <c r="L83" s="60"/>
      <c r="M83" s="60"/>
      <c r="N83" s="60"/>
      <c r="O83" s="60"/>
      <c r="P83" s="60"/>
      <c r="Q83" s="60"/>
      <c r="R83" s="247"/>
    </row>
    <row r="84" spans="1:27" x14ac:dyDescent="0.3">
      <c r="A84" s="57" t="s">
        <v>71</v>
      </c>
      <c r="B84" s="58">
        <f>+B79-B82</f>
        <v>7132.25</v>
      </c>
      <c r="C84" s="58">
        <f t="shared" ref="C84:I84" si="28">+C79-C82</f>
        <v>9177.859375</v>
      </c>
      <c r="D84" s="58">
        <f t="shared" si="28"/>
        <v>4280.625</v>
      </c>
      <c r="E84" s="58">
        <f t="shared" si="28"/>
        <v>27.1875</v>
      </c>
      <c r="F84" s="56">
        <f t="shared" si="28"/>
        <v>101484.82500000001</v>
      </c>
      <c r="G84" s="56">
        <f t="shared" si="28"/>
        <v>126030</v>
      </c>
      <c r="H84" s="56">
        <f t="shared" si="28"/>
        <v>23604.984375</v>
      </c>
      <c r="I84" s="56">
        <f t="shared" si="28"/>
        <v>-32.1875</v>
      </c>
      <c r="J84" s="58"/>
      <c r="K84" s="58"/>
      <c r="L84" s="58"/>
      <c r="M84" s="58"/>
      <c r="N84" s="58"/>
      <c r="O84" s="58"/>
      <c r="P84" s="58"/>
      <c r="Q84" s="58"/>
      <c r="R84" s="247"/>
    </row>
    <row r="85" spans="1:27" x14ac:dyDescent="0.3">
      <c r="A85" s="57" t="s">
        <v>72</v>
      </c>
      <c r="B85" s="62">
        <f t="shared" ref="B85:I85" si="29">+B84/B82</f>
        <v>0.65813878379625357</v>
      </c>
      <c r="C85" s="62">
        <f t="shared" si="29"/>
        <v>0.47130901563051641</v>
      </c>
      <c r="D85" s="62">
        <f t="shared" si="29"/>
        <v>0.46028225806451611</v>
      </c>
      <c r="E85" s="62">
        <f t="shared" si="29"/>
        <v>1.7099056603773585E-3</v>
      </c>
      <c r="F85" s="250">
        <f t="shared" si="29"/>
        <v>0.69642857142857162</v>
      </c>
      <c r="G85" s="250">
        <f t="shared" si="29"/>
        <v>0.55771656156654492</v>
      </c>
      <c r="H85" s="250">
        <f t="shared" si="29"/>
        <v>0.40833333333333333</v>
      </c>
      <c r="I85" s="250">
        <f t="shared" si="29"/>
        <v>-9.5197604347665348E-4</v>
      </c>
      <c r="J85" s="62"/>
      <c r="K85" s="62"/>
      <c r="L85" s="62"/>
      <c r="M85" s="62"/>
      <c r="N85" s="62"/>
      <c r="O85" s="62"/>
      <c r="P85" s="62"/>
      <c r="Q85" s="62"/>
      <c r="R85" s="247"/>
    </row>
    <row r="86" spans="1:27" x14ac:dyDescent="0.3">
      <c r="A86" s="57" t="s">
        <v>73</v>
      </c>
      <c r="B86" s="63">
        <f t="shared" ref="B86:I86" si="30">+B84/B78</f>
        <v>25.888384754990927</v>
      </c>
      <c r="C86" s="63">
        <f t="shared" si="30"/>
        <v>23.14718631778058</v>
      </c>
      <c r="D86" s="63">
        <f t="shared" si="30"/>
        <v>27.317326100829614</v>
      </c>
      <c r="E86" s="63">
        <f t="shared" si="30"/>
        <v>0.33256880733944955</v>
      </c>
      <c r="F86" s="56">
        <f t="shared" si="30"/>
        <v>22.498711395915713</v>
      </c>
      <c r="G86" s="56">
        <f t="shared" si="30"/>
        <v>24.851860981020458</v>
      </c>
      <c r="H86" s="56">
        <f t="shared" si="30"/>
        <v>20.870896883289124</v>
      </c>
      <c r="I86" s="56">
        <f t="shared" si="30"/>
        <v>-0.16178688112591105</v>
      </c>
      <c r="J86" s="63"/>
      <c r="K86" s="63"/>
      <c r="L86" s="63"/>
      <c r="M86" s="52"/>
      <c r="N86" s="63"/>
      <c r="O86" s="63"/>
      <c r="P86" s="63"/>
      <c r="Q86" s="52"/>
      <c r="R86" s="247"/>
    </row>
    <row r="87" spans="1:27" x14ac:dyDescent="0.3">
      <c r="A87" s="64"/>
      <c r="B87" s="65"/>
      <c r="C87" s="65"/>
      <c r="D87" s="65"/>
      <c r="E87" s="64"/>
      <c r="F87" s="65"/>
      <c r="G87" s="65"/>
      <c r="H87" s="65"/>
      <c r="I87" s="65"/>
      <c r="J87" s="65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7" x14ac:dyDescent="0.3">
      <c r="A88" s="64"/>
      <c r="B88" s="65"/>
      <c r="C88" s="65"/>
      <c r="D88" s="65"/>
      <c r="E88" s="64"/>
      <c r="F88" s="65"/>
      <c r="G88" s="65"/>
      <c r="H88" s="65"/>
      <c r="I88" s="65"/>
      <c r="J88" s="65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7" x14ac:dyDescent="0.3">
      <c r="A89" s="64"/>
      <c r="B89" s="65"/>
      <c r="C89" s="65"/>
      <c r="D89" s="65"/>
      <c r="E89" s="64"/>
      <c r="F89" s="65"/>
      <c r="G89" s="65"/>
      <c r="H89" s="65"/>
      <c r="I89" s="65"/>
      <c r="J89" s="65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7" ht="17.399999999999999" x14ac:dyDescent="0.3">
      <c r="A90" s="258" t="s">
        <v>74</v>
      </c>
      <c r="B90" s="46" t="s">
        <v>59</v>
      </c>
      <c r="C90" s="47"/>
      <c r="D90" s="47"/>
      <c r="E90" s="47"/>
      <c r="F90" s="244" t="s">
        <v>60</v>
      </c>
      <c r="G90" s="244"/>
      <c r="H90" s="244"/>
      <c r="I90" s="244"/>
      <c r="J90" s="261" t="s">
        <v>216</v>
      </c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spans="1:27" ht="40.200000000000003" x14ac:dyDescent="0.3">
      <c r="A91" s="259"/>
      <c r="B91" s="51" t="s">
        <v>217</v>
      </c>
      <c r="C91" s="51" t="s">
        <v>38</v>
      </c>
      <c r="D91" s="245" t="s">
        <v>46</v>
      </c>
      <c r="E91" s="51" t="s">
        <v>215</v>
      </c>
      <c r="F91" s="53" t="s">
        <v>62</v>
      </c>
      <c r="G91" s="53" t="s">
        <v>44</v>
      </c>
      <c r="H91" s="53" t="s">
        <v>63</v>
      </c>
      <c r="I91" s="53" t="s">
        <v>64</v>
      </c>
      <c r="J91" s="26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spans="1:27" x14ac:dyDescent="0.3">
      <c r="A92" s="57" t="s">
        <v>229</v>
      </c>
      <c r="B92" s="60">
        <f>+G7</f>
        <v>19</v>
      </c>
      <c r="C92" s="60">
        <f>E11</f>
        <v>45</v>
      </c>
      <c r="D92" s="60">
        <f>+F15</f>
        <v>10.45</v>
      </c>
      <c r="E92" s="60">
        <f>+E19</f>
        <v>1</v>
      </c>
      <c r="F92" s="61">
        <f>+G24</f>
        <v>330.69500000000005</v>
      </c>
      <c r="G92" s="61">
        <f>+E28</f>
        <v>400</v>
      </c>
      <c r="H92" s="61">
        <f>+G32</f>
        <v>82.875</v>
      </c>
      <c r="I92" s="61">
        <f>+E36</f>
        <v>4.2</v>
      </c>
      <c r="J92" s="252">
        <f>SUM(B92:I92)</f>
        <v>893.22</v>
      </c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spans="1:27" x14ac:dyDescent="0.3">
      <c r="A93" s="57" t="s">
        <v>75</v>
      </c>
      <c r="B93" s="60">
        <f>+K7</f>
        <v>28.5</v>
      </c>
      <c r="C93" s="60">
        <f>+I11</f>
        <v>50.875</v>
      </c>
      <c r="D93" s="60">
        <f>+J15</f>
        <v>19.5</v>
      </c>
      <c r="E93" s="60">
        <f>+I19</f>
        <v>4.75</v>
      </c>
      <c r="F93" s="61">
        <f>+K24</f>
        <v>570</v>
      </c>
      <c r="G93" s="61">
        <f>+I28</f>
        <v>555</v>
      </c>
      <c r="H93" s="61">
        <f>+K32</f>
        <v>97.5</v>
      </c>
      <c r="I93" s="61">
        <f>+I36</f>
        <v>14.25</v>
      </c>
      <c r="J93" s="252">
        <f t="shared" ref="J93:J98" si="31">SUM(B93:I93)</f>
        <v>1340.375</v>
      </c>
    </row>
    <row r="94" spans="1:27" x14ac:dyDescent="0.3">
      <c r="A94" s="57" t="s">
        <v>76</v>
      </c>
      <c r="B94" s="60">
        <f>+O7</f>
        <v>38</v>
      </c>
      <c r="C94" s="60">
        <f>M11</f>
        <v>60.125</v>
      </c>
      <c r="D94" s="60">
        <f>+N15</f>
        <v>24.375</v>
      </c>
      <c r="E94" s="60">
        <f>+M19</f>
        <v>9.5</v>
      </c>
      <c r="F94" s="61">
        <f>+O24</f>
        <v>712.5</v>
      </c>
      <c r="G94" s="61">
        <f>+M28</f>
        <v>740</v>
      </c>
      <c r="H94" s="61">
        <f>+O32</f>
        <v>146.25</v>
      </c>
      <c r="I94" s="61">
        <f>+M36</f>
        <v>23.75</v>
      </c>
      <c r="J94" s="252">
        <f t="shared" si="31"/>
        <v>1754.5</v>
      </c>
    </row>
    <row r="95" spans="1:27" x14ac:dyDescent="0.3">
      <c r="A95" s="57" t="s">
        <v>77</v>
      </c>
      <c r="B95" s="60">
        <f>+S7</f>
        <v>52.25</v>
      </c>
      <c r="C95" s="60">
        <f>+Q11</f>
        <v>69.375</v>
      </c>
      <c r="D95" s="60">
        <f>+R15</f>
        <v>29.25</v>
      </c>
      <c r="E95" s="60">
        <f>+Q19</f>
        <v>14.25</v>
      </c>
      <c r="F95" s="61">
        <f>+S24</f>
        <v>807.5</v>
      </c>
      <c r="G95" s="61">
        <f>+Q28</f>
        <v>925</v>
      </c>
      <c r="H95" s="61">
        <f>+S32</f>
        <v>195</v>
      </c>
      <c r="I95" s="61">
        <f>+Q36</f>
        <v>38</v>
      </c>
      <c r="J95" s="252">
        <f t="shared" si="31"/>
        <v>2130.625</v>
      </c>
    </row>
    <row r="96" spans="1:27" x14ac:dyDescent="0.3">
      <c r="A96" s="57" t="s">
        <v>78</v>
      </c>
      <c r="B96" s="60">
        <f>+W7</f>
        <v>61.75</v>
      </c>
      <c r="C96" s="60">
        <f>+U11</f>
        <v>78.625</v>
      </c>
      <c r="D96" s="60">
        <f>+V15</f>
        <v>34.125</v>
      </c>
      <c r="E96" s="60">
        <f>+U19</f>
        <v>23.75</v>
      </c>
      <c r="F96" s="61">
        <f>+W24</f>
        <v>950</v>
      </c>
      <c r="G96" s="61">
        <f>+U28</f>
        <v>1156.25</v>
      </c>
      <c r="H96" s="61">
        <f>+W32</f>
        <v>292.5</v>
      </c>
      <c r="I96" s="61">
        <f>+U36</f>
        <v>57</v>
      </c>
      <c r="J96" s="252">
        <f t="shared" si="31"/>
        <v>2654</v>
      </c>
    </row>
    <row r="97" spans="1:10" x14ac:dyDescent="0.3">
      <c r="A97" s="57" t="s">
        <v>228</v>
      </c>
      <c r="B97" s="60">
        <f>+AA7</f>
        <v>76</v>
      </c>
      <c r="C97" s="60">
        <f>+Y11</f>
        <v>92.5</v>
      </c>
      <c r="D97" s="60">
        <f>+Z15</f>
        <v>39</v>
      </c>
      <c r="E97" s="60">
        <f>+Y19</f>
        <v>28.5</v>
      </c>
      <c r="F97" s="61">
        <f>+AA24</f>
        <v>1140</v>
      </c>
      <c r="G97" s="61">
        <f>+Y28</f>
        <v>1295</v>
      </c>
      <c r="H97" s="61">
        <f>+AA32</f>
        <v>316.875</v>
      </c>
      <c r="I97" s="61">
        <f>+Y36</f>
        <v>61.75</v>
      </c>
      <c r="J97" s="252">
        <f t="shared" si="31"/>
        <v>3049.625</v>
      </c>
    </row>
    <row r="98" spans="1:10" x14ac:dyDescent="0.3">
      <c r="A98" s="57" t="s">
        <v>79</v>
      </c>
      <c r="B98" s="60">
        <f>SUM(B92:B97)</f>
        <v>275.5</v>
      </c>
      <c r="C98" s="60">
        <f t="shared" ref="C98:E98" si="32">SUM(C92:C97)</f>
        <v>396.5</v>
      </c>
      <c r="D98" s="60">
        <f t="shared" si="32"/>
        <v>156.69999999999999</v>
      </c>
      <c r="E98" s="60">
        <f t="shared" si="32"/>
        <v>81.75</v>
      </c>
      <c r="F98" s="61">
        <f>SUM(F92:F97)</f>
        <v>4510.6949999999997</v>
      </c>
      <c r="G98" s="61">
        <f t="shared" ref="G98:I98" si="33">SUM(G92:G97)</f>
        <v>5071.25</v>
      </c>
      <c r="H98" s="61">
        <f t="shared" si="33"/>
        <v>1131</v>
      </c>
      <c r="I98" s="61">
        <f t="shared" si="33"/>
        <v>198.95</v>
      </c>
      <c r="J98" s="252">
        <f t="shared" si="31"/>
        <v>11822.345000000001</v>
      </c>
    </row>
  </sheetData>
  <mergeCells count="8">
    <mergeCell ref="A90:A91"/>
    <mergeCell ref="X2:AA2"/>
    <mergeCell ref="J90:J91"/>
    <mergeCell ref="L2:O2"/>
    <mergeCell ref="P2:S2"/>
    <mergeCell ref="T2:W2"/>
    <mergeCell ref="D2:G2"/>
    <mergeCell ref="H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/>
  </sheetViews>
  <sheetFormatPr defaultRowHeight="14.4" x14ac:dyDescent="0.3"/>
  <cols>
    <col min="1" max="1" width="43.5546875" bestFit="1" customWidth="1"/>
    <col min="2" max="2" width="12" bestFit="1" customWidth="1"/>
    <col min="5" max="5" width="11.109375" bestFit="1" customWidth="1"/>
  </cols>
  <sheetData>
    <row r="1" spans="1:7" x14ac:dyDescent="0.3">
      <c r="A1" t="s">
        <v>269</v>
      </c>
    </row>
    <row r="2" spans="1:7" x14ac:dyDescent="0.3">
      <c r="A2" t="s">
        <v>82</v>
      </c>
      <c r="B2" t="s">
        <v>246</v>
      </c>
      <c r="C2" t="s">
        <v>148</v>
      </c>
      <c r="D2" t="s">
        <v>87</v>
      </c>
      <c r="E2" t="s">
        <v>88</v>
      </c>
      <c r="F2" t="s">
        <v>149</v>
      </c>
    </row>
    <row r="3" spans="1:7" x14ac:dyDescent="0.3">
      <c r="A3" t="s">
        <v>233</v>
      </c>
    </row>
    <row r="4" spans="1:7" x14ac:dyDescent="0.3">
      <c r="A4" t="s">
        <v>234</v>
      </c>
      <c r="B4" s="255">
        <f>income_statement!F16</f>
        <v>51710.046875</v>
      </c>
      <c r="C4" s="255">
        <f>income_statement!K16</f>
        <v>80763.6875</v>
      </c>
      <c r="D4" s="255">
        <f>income_statement!P16</f>
        <v>109360.890625</v>
      </c>
      <c r="E4" s="255">
        <f>income_statement!U16</f>
        <v>141272.125</v>
      </c>
      <c r="F4" s="255">
        <f>income_statement!Z16</f>
        <v>184791.8125</v>
      </c>
      <c r="G4" s="255"/>
    </row>
    <row r="5" spans="1:7" x14ac:dyDescent="0.3">
      <c r="A5" t="s">
        <v>235</v>
      </c>
      <c r="B5" s="255">
        <f>direct_expenses!F14</f>
        <v>40282.425000000003</v>
      </c>
      <c r="C5" s="255">
        <f>direct_expenses!K14</f>
        <v>59294</v>
      </c>
      <c r="D5" s="255">
        <f>direct_expenses!P14</f>
        <v>80214.209375000006</v>
      </c>
      <c r="E5" s="255">
        <f>direct_expenses!U14</f>
        <v>100707.4825</v>
      </c>
      <c r="F5" s="255">
        <f>direct_expenses!Z14</f>
        <v>123403.6165</v>
      </c>
    </row>
    <row r="6" spans="1:7" x14ac:dyDescent="0.3">
      <c r="A6" t="s">
        <v>236</v>
      </c>
      <c r="B6" s="255">
        <f>B4-B5</f>
        <v>11427.621874999997</v>
      </c>
      <c r="C6" s="255">
        <f t="shared" ref="C6:F6" si="0">C4-C5</f>
        <v>21469.6875</v>
      </c>
      <c r="D6" s="255">
        <f t="shared" si="0"/>
        <v>29146.681249999994</v>
      </c>
      <c r="E6" s="255">
        <f t="shared" si="0"/>
        <v>40564.642500000002</v>
      </c>
      <c r="F6" s="255">
        <f t="shared" si="0"/>
        <v>61388.195999999996</v>
      </c>
    </row>
    <row r="7" spans="1:7" x14ac:dyDescent="0.3">
      <c r="A7" t="s">
        <v>317</v>
      </c>
      <c r="D7" s="254"/>
    </row>
    <row r="8" spans="1:7" x14ac:dyDescent="0.3">
      <c r="A8" t="s">
        <v>316</v>
      </c>
      <c r="B8">
        <v>0</v>
      </c>
      <c r="C8">
        <v>0</v>
      </c>
      <c r="D8">
        <v>0</v>
      </c>
      <c r="E8">
        <v>0</v>
      </c>
      <c r="F8">
        <v>0</v>
      </c>
      <c r="G8" t="s">
        <v>326</v>
      </c>
    </row>
    <row r="9" spans="1:7" x14ac:dyDescent="0.3">
      <c r="A9" t="s">
        <v>237</v>
      </c>
      <c r="D9" s="254"/>
    </row>
    <row r="10" spans="1:7" x14ac:dyDescent="0.3">
      <c r="A10" t="s">
        <v>314</v>
      </c>
      <c r="B10">
        <f>indirect_expenses!F32</f>
        <v>6519.0924062499998</v>
      </c>
      <c r="C10">
        <f>indirect_expenses!K32</f>
        <v>12890.516425000002</v>
      </c>
      <c r="D10">
        <f>indirect_expenses!P32</f>
        <v>15495.682077062502</v>
      </c>
      <c r="E10">
        <f>indirect_expenses!U32</f>
        <v>18574.241296590626</v>
      </c>
      <c r="F10">
        <f>indirect_expenses!Z32</f>
        <v>22392.899955307032</v>
      </c>
    </row>
    <row r="11" spans="1:7" x14ac:dyDescent="0.3">
      <c r="A11" t="s">
        <v>315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7" x14ac:dyDescent="0.3">
      <c r="A12" t="s">
        <v>238</v>
      </c>
      <c r="B12" s="255">
        <f>B6-B10</f>
        <v>4908.5294687499972</v>
      </c>
      <c r="C12" s="255">
        <f t="shared" ref="C12:F12" si="1">C6-C10</f>
        <v>8579.1710749999984</v>
      </c>
      <c r="D12" s="255">
        <f t="shared" si="1"/>
        <v>13650.999172937492</v>
      </c>
      <c r="E12" s="255">
        <f t="shared" si="1"/>
        <v>21990.401203409376</v>
      </c>
      <c r="F12" s="255">
        <f t="shared" si="1"/>
        <v>38995.296044692965</v>
      </c>
    </row>
    <row r="13" spans="1:7" x14ac:dyDescent="0.3">
      <c r="A13" t="s">
        <v>239</v>
      </c>
      <c r="B13">
        <f>projected_fa!J32/1000</f>
        <v>2864.520959500001</v>
      </c>
      <c r="C13">
        <f>projected_fa!L32/1000</f>
        <v>2468.0674476750005</v>
      </c>
      <c r="D13">
        <f>projected_fa!N32/1000</f>
        <v>2085.5355990187504</v>
      </c>
      <c r="E13">
        <f>projected_fa!P32/1000</f>
        <v>1769.9459213236873</v>
      </c>
      <c r="F13">
        <f>projected_fa!R32/1000</f>
        <v>1508.7318436906223</v>
      </c>
      <c r="G13" t="s">
        <v>329</v>
      </c>
    </row>
    <row r="14" spans="1:7" x14ac:dyDescent="0.3">
      <c r="A14" t="s">
        <v>240</v>
      </c>
      <c r="B14" s="255">
        <f>B12-B13</f>
        <v>2044.0085092499962</v>
      </c>
      <c r="C14" s="255">
        <f t="shared" ref="C14:F14" si="2">C12-C13</f>
        <v>6111.1036273249974</v>
      </c>
      <c r="D14" s="255">
        <f t="shared" si="2"/>
        <v>11565.463573918742</v>
      </c>
      <c r="E14" s="255">
        <f t="shared" si="2"/>
        <v>20220.455282085688</v>
      </c>
      <c r="F14" s="255">
        <f t="shared" si="2"/>
        <v>37486.564201002344</v>
      </c>
    </row>
    <row r="15" spans="1:7" x14ac:dyDescent="0.3">
      <c r="A15" t="s">
        <v>241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327</v>
      </c>
    </row>
    <row r="16" spans="1:7" x14ac:dyDescent="0.3">
      <c r="A16" t="s">
        <v>242</v>
      </c>
      <c r="B16" s="255">
        <f>B14-B15</f>
        <v>2044.0085092499962</v>
      </c>
      <c r="C16" s="255">
        <f t="shared" ref="C16:F16" si="3">C14-C15</f>
        <v>6111.1036273249974</v>
      </c>
      <c r="D16" s="255">
        <f t="shared" si="3"/>
        <v>11565.463573918742</v>
      </c>
      <c r="E16" s="255">
        <f t="shared" si="3"/>
        <v>20220.455282085688</v>
      </c>
      <c r="F16" s="255">
        <f t="shared" si="3"/>
        <v>37486.564201002344</v>
      </c>
    </row>
    <row r="17" spans="1:7" x14ac:dyDescent="0.3">
      <c r="A17" t="s">
        <v>243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7" x14ac:dyDescent="0.3">
      <c r="A18" t="s">
        <v>244</v>
      </c>
      <c r="B18">
        <f>B16*0.2</f>
        <v>408.80170184999929</v>
      </c>
      <c r="C18">
        <f t="shared" ref="C18:F18" si="4">C16*0.2</f>
        <v>1222.2207254649995</v>
      </c>
      <c r="D18">
        <f t="shared" si="4"/>
        <v>2313.0927147837483</v>
      </c>
      <c r="E18">
        <f t="shared" si="4"/>
        <v>4044.0910564171377</v>
      </c>
      <c r="F18">
        <f t="shared" si="4"/>
        <v>7497.3128402004695</v>
      </c>
      <c r="G18" t="s">
        <v>328</v>
      </c>
    </row>
    <row r="19" spans="1:7" x14ac:dyDescent="0.3">
      <c r="A19" t="s">
        <v>245</v>
      </c>
      <c r="B19" s="255">
        <f>B16-B17-B18</f>
        <v>1635.2068073999969</v>
      </c>
      <c r="C19" s="255">
        <f t="shared" ref="C19:F19" si="5">C16-C17-C18</f>
        <v>4888.8829018599981</v>
      </c>
      <c r="D19" s="255">
        <f t="shared" si="5"/>
        <v>9252.3708591349932</v>
      </c>
      <c r="E19" s="255">
        <f t="shared" si="5"/>
        <v>16176.364225668551</v>
      </c>
      <c r="F19" s="255">
        <f t="shared" si="5"/>
        <v>29989.251360801874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4" workbookViewId="0">
      <selection activeCell="I32" sqref="I32"/>
    </sheetView>
  </sheetViews>
  <sheetFormatPr defaultRowHeight="14.4" x14ac:dyDescent="0.3"/>
  <sheetData>
    <row r="1" spans="1:19" x14ac:dyDescent="0.3">
      <c r="A1" t="s">
        <v>313</v>
      </c>
    </row>
    <row r="3" spans="1:19" x14ac:dyDescent="0.3">
      <c r="A3" t="s">
        <v>270</v>
      </c>
      <c r="B3" t="s">
        <v>82</v>
      </c>
      <c r="C3" t="s">
        <v>306</v>
      </c>
      <c r="D3" t="s">
        <v>308</v>
      </c>
      <c r="E3" t="s">
        <v>309</v>
      </c>
      <c r="F3" t="s">
        <v>310</v>
      </c>
      <c r="G3" t="s">
        <v>311</v>
      </c>
      <c r="H3" t="s">
        <v>312</v>
      </c>
      <c r="I3" t="s">
        <v>271</v>
      </c>
      <c r="J3" t="s">
        <v>307</v>
      </c>
      <c r="K3" t="s">
        <v>272</v>
      </c>
      <c r="L3" t="s">
        <v>318</v>
      </c>
      <c r="M3" t="s">
        <v>322</v>
      </c>
      <c r="N3" t="s">
        <v>319</v>
      </c>
      <c r="O3" t="s">
        <v>323</v>
      </c>
      <c r="P3" t="s">
        <v>320</v>
      </c>
      <c r="Q3" t="s">
        <v>324</v>
      </c>
      <c r="R3" t="s">
        <v>321</v>
      </c>
      <c r="S3" t="s">
        <v>325</v>
      </c>
    </row>
    <row r="4" spans="1:19" x14ac:dyDescent="0.3">
      <c r="A4" t="s">
        <v>273</v>
      </c>
      <c r="B4" t="s">
        <v>274</v>
      </c>
    </row>
    <row r="5" spans="1:19" x14ac:dyDescent="0.3">
      <c r="B5" t="s">
        <v>275</v>
      </c>
      <c r="C5">
        <v>0</v>
      </c>
      <c r="D5">
        <v>4259875</v>
      </c>
      <c r="E5">
        <v>0</v>
      </c>
      <c r="F5">
        <v>0</v>
      </c>
      <c r="G5">
        <v>0</v>
      </c>
      <c r="H5">
        <v>0</v>
      </c>
      <c r="I5">
        <f>D5+E5+F5+G5-H5</f>
        <v>4259875</v>
      </c>
      <c r="J5">
        <f>(D5+E5)*C5+(F5*C5)*2/3+(G5*C5)*1/3</f>
        <v>0</v>
      </c>
      <c r="K5">
        <f>I5-J5</f>
        <v>4259875</v>
      </c>
      <c r="L5">
        <f>K5*$C5</f>
        <v>0</v>
      </c>
      <c r="M5">
        <f>K5-L5</f>
        <v>4259875</v>
      </c>
      <c r="N5">
        <f>M5*$C5</f>
        <v>0</v>
      </c>
      <c r="O5">
        <f>M5-N5</f>
        <v>4259875</v>
      </c>
      <c r="P5">
        <f>O5*$C5</f>
        <v>0</v>
      </c>
      <c r="Q5">
        <f>O5-P5</f>
        <v>4259875</v>
      </c>
      <c r="R5">
        <f>Q5*$C5</f>
        <v>0</v>
      </c>
      <c r="S5">
        <f>Q5-R5</f>
        <v>4259875</v>
      </c>
    </row>
    <row r="6" spans="1:19" x14ac:dyDescent="0.3">
      <c r="B6" t="s">
        <v>276</v>
      </c>
      <c r="C6">
        <v>0.05</v>
      </c>
      <c r="D6">
        <v>4293481.54</v>
      </c>
      <c r="E6">
        <f>2257893+84650-2342543</f>
        <v>0</v>
      </c>
      <c r="F6">
        <f>2502433+184207-2686640</f>
        <v>0</v>
      </c>
      <c r="G6">
        <f>2262421+332713-2442775.49</f>
        <v>152358.50999999978</v>
      </c>
      <c r="H6">
        <v>0</v>
      </c>
      <c r="I6">
        <f>D6+E6+F6+G6-H6</f>
        <v>4445840.05</v>
      </c>
      <c r="J6">
        <f>(D6+E6)*C6+(F6*C6)*2/3+(G6*C6)*1/3</f>
        <v>217213.3855</v>
      </c>
      <c r="K6">
        <f>I6-J6</f>
        <v>4228626.6645</v>
      </c>
      <c r="L6">
        <f t="shared" ref="L6:N31" si="0">K6*$C6</f>
        <v>211431.33322500001</v>
      </c>
      <c r="M6">
        <f t="shared" ref="M6:M32" si="1">K6-L6</f>
        <v>4017195.3312749998</v>
      </c>
      <c r="N6">
        <f t="shared" si="0"/>
        <v>200859.76656374999</v>
      </c>
      <c r="O6">
        <f t="shared" ref="O6:O7" si="2">M6-N6</f>
        <v>3816335.5647112499</v>
      </c>
      <c r="P6">
        <f t="shared" ref="P6:Q6" si="3">O6*$C6</f>
        <v>190816.77823556249</v>
      </c>
      <c r="Q6">
        <f t="shared" ref="Q6:Q7" si="4">O6-P6</f>
        <v>3625518.7864756873</v>
      </c>
      <c r="R6">
        <f t="shared" ref="R6:S6" si="5">Q6*$C6</f>
        <v>181275.93932378438</v>
      </c>
      <c r="S6">
        <f t="shared" ref="S6:S7" si="6">Q6-R6</f>
        <v>3444242.847151903</v>
      </c>
    </row>
    <row r="7" spans="1:19" x14ac:dyDescent="0.3">
      <c r="B7" t="s">
        <v>277</v>
      </c>
      <c r="C7">
        <v>0.05</v>
      </c>
      <c r="D7">
        <v>3701412.76</v>
      </c>
      <c r="E7">
        <v>0</v>
      </c>
      <c r="F7">
        <v>0</v>
      </c>
      <c r="G7">
        <v>0</v>
      </c>
      <c r="H7">
        <v>0</v>
      </c>
      <c r="I7">
        <f>D7+E7+F7+G7-H7</f>
        <v>3701412.76</v>
      </c>
      <c r="J7">
        <f>(D7+E7)*C7+(F7*C7)*2/3+(G7*C7)*1/3</f>
        <v>185070.63800000001</v>
      </c>
      <c r="K7">
        <f>I7-J7</f>
        <v>3516342.122</v>
      </c>
      <c r="L7">
        <f t="shared" si="0"/>
        <v>175817.1061</v>
      </c>
      <c r="M7">
        <f t="shared" si="1"/>
        <v>3340525.0159</v>
      </c>
      <c r="N7">
        <f t="shared" si="0"/>
        <v>167026.250795</v>
      </c>
      <c r="O7">
        <f t="shared" si="2"/>
        <v>3173498.7651049998</v>
      </c>
      <c r="P7">
        <f t="shared" ref="P7:Q7" si="7">O7*$C7</f>
        <v>158674.93825524999</v>
      </c>
      <c r="Q7">
        <f t="shared" si="4"/>
        <v>3014823.8268497498</v>
      </c>
      <c r="R7">
        <f t="shared" ref="R7:S7" si="8">Q7*$C7</f>
        <v>150741.19134248749</v>
      </c>
      <c r="S7">
        <f t="shared" si="6"/>
        <v>2864082.6355072623</v>
      </c>
    </row>
    <row r="8" spans="1:19" x14ac:dyDescent="0.3">
      <c r="A8" t="s">
        <v>278</v>
      </c>
      <c r="B8" t="s">
        <v>279</v>
      </c>
    </row>
    <row r="9" spans="1:19" x14ac:dyDescent="0.3">
      <c r="B9" t="s">
        <v>280</v>
      </c>
      <c r="C9">
        <v>0.25</v>
      </c>
      <c r="D9">
        <v>8514.49</v>
      </c>
      <c r="E9">
        <v>0</v>
      </c>
      <c r="F9">
        <v>0</v>
      </c>
      <c r="G9">
        <v>0</v>
      </c>
      <c r="H9">
        <v>0</v>
      </c>
      <c r="I9">
        <f>D9+E9+F9+G9-H9</f>
        <v>8514.49</v>
      </c>
      <c r="J9">
        <f t="shared" ref="J9:J15" si="9">(D9+E9)*C9+(F9*C9)*2/3+(G9*C9)*1/3</f>
        <v>2128.6224999999999</v>
      </c>
      <c r="K9">
        <f t="shared" ref="K9:K15" si="10">I9-J9</f>
        <v>6385.8675000000003</v>
      </c>
      <c r="L9">
        <f t="shared" si="0"/>
        <v>1596.4668750000001</v>
      </c>
      <c r="M9">
        <f t="shared" si="1"/>
        <v>4789.4006250000002</v>
      </c>
      <c r="N9">
        <f t="shared" si="0"/>
        <v>1197.3501562500001</v>
      </c>
      <c r="O9">
        <f t="shared" ref="O9:O15" si="11">M9-N9</f>
        <v>3592.0504687500002</v>
      </c>
      <c r="P9">
        <f t="shared" ref="P9:Q9" si="12">O9*$C9</f>
        <v>898.01261718750004</v>
      </c>
      <c r="Q9">
        <f t="shared" ref="Q9:Q15" si="13">O9-P9</f>
        <v>2694.0378515625002</v>
      </c>
      <c r="R9">
        <f t="shared" ref="R9:S9" si="14">Q9*$C9</f>
        <v>673.50946289062506</v>
      </c>
      <c r="S9">
        <f t="shared" ref="S9:S15" si="15">Q9-R9</f>
        <v>2020.5283886718753</v>
      </c>
    </row>
    <row r="10" spans="1:19" x14ac:dyDescent="0.3">
      <c r="B10" t="s">
        <v>281</v>
      </c>
      <c r="C10">
        <v>0.25</v>
      </c>
      <c r="D10">
        <v>144289.17000000001</v>
      </c>
      <c r="E10">
        <v>0</v>
      </c>
      <c r="F10">
        <v>0</v>
      </c>
      <c r="G10">
        <v>143000</v>
      </c>
      <c r="H10">
        <v>0</v>
      </c>
      <c r="I10">
        <f>D10+E10+F10+G10-H10</f>
        <v>287289.17000000004</v>
      </c>
      <c r="J10">
        <f t="shared" si="9"/>
        <v>47988.959166666667</v>
      </c>
      <c r="K10">
        <f t="shared" si="10"/>
        <v>239300.21083333337</v>
      </c>
      <c r="L10">
        <f t="shared" si="0"/>
        <v>59825.052708333344</v>
      </c>
      <c r="M10">
        <f t="shared" si="1"/>
        <v>179475.15812500002</v>
      </c>
      <c r="N10">
        <f t="shared" si="0"/>
        <v>44868.789531250004</v>
      </c>
      <c r="O10">
        <f t="shared" si="11"/>
        <v>134606.36859375</v>
      </c>
      <c r="P10">
        <f t="shared" ref="P10:Q10" si="16">O10*$C10</f>
        <v>33651.592148437499</v>
      </c>
      <c r="Q10">
        <f t="shared" si="13"/>
        <v>100954.7764453125</v>
      </c>
      <c r="R10">
        <f t="shared" ref="R10:S10" si="17">Q10*$C10</f>
        <v>25238.694111328125</v>
      </c>
      <c r="S10">
        <f t="shared" si="15"/>
        <v>75716.082333984377</v>
      </c>
    </row>
    <row r="11" spans="1:19" x14ac:dyDescent="0.3">
      <c r="B11" t="s">
        <v>282</v>
      </c>
      <c r="C11">
        <v>0.25</v>
      </c>
      <c r="D11">
        <v>40500</v>
      </c>
      <c r="E11">
        <v>0</v>
      </c>
      <c r="F11">
        <v>0</v>
      </c>
      <c r="G11">
        <v>0</v>
      </c>
      <c r="H11">
        <v>0</v>
      </c>
      <c r="I11">
        <f t="shared" ref="I11:I15" si="18">D11+E11+F11+G11-H11</f>
        <v>40500</v>
      </c>
      <c r="J11">
        <f t="shared" si="9"/>
        <v>10125</v>
      </c>
      <c r="K11">
        <f t="shared" si="10"/>
        <v>30375</v>
      </c>
      <c r="L11">
        <f t="shared" si="0"/>
        <v>7593.75</v>
      </c>
      <c r="M11">
        <f t="shared" si="1"/>
        <v>22781.25</v>
      </c>
      <c r="N11">
        <f t="shared" si="0"/>
        <v>5695.3125</v>
      </c>
      <c r="O11">
        <f t="shared" si="11"/>
        <v>17085.9375</v>
      </c>
      <c r="P11">
        <f t="shared" ref="P11:Q11" si="19">O11*$C11</f>
        <v>4271.484375</v>
      </c>
      <c r="Q11">
        <f t="shared" si="13"/>
        <v>12814.453125</v>
      </c>
      <c r="R11">
        <f t="shared" ref="R11:S11" si="20">Q11*$C11</f>
        <v>3203.61328125</v>
      </c>
      <c r="S11">
        <f t="shared" si="15"/>
        <v>9610.83984375</v>
      </c>
    </row>
    <row r="12" spans="1:19" x14ac:dyDescent="0.3">
      <c r="B12" t="s">
        <v>283</v>
      </c>
      <c r="C12">
        <v>0.25</v>
      </c>
      <c r="D12">
        <v>181270.83</v>
      </c>
      <c r="E12">
        <v>0</v>
      </c>
      <c r="F12">
        <v>0</v>
      </c>
      <c r="G12">
        <v>0</v>
      </c>
      <c r="H12">
        <v>0</v>
      </c>
      <c r="I12">
        <f t="shared" si="18"/>
        <v>181270.83</v>
      </c>
      <c r="J12">
        <f t="shared" si="9"/>
        <v>45317.707499999997</v>
      </c>
      <c r="K12">
        <f t="shared" si="10"/>
        <v>135953.1225</v>
      </c>
      <c r="L12">
        <f t="shared" si="0"/>
        <v>33988.280624999999</v>
      </c>
      <c r="M12">
        <f t="shared" si="1"/>
        <v>101964.841875</v>
      </c>
      <c r="N12">
        <f t="shared" si="0"/>
        <v>25491.21046875</v>
      </c>
      <c r="O12">
        <f t="shared" si="11"/>
        <v>76473.631406250002</v>
      </c>
      <c r="P12">
        <f t="shared" ref="P12:Q12" si="21">O12*$C12</f>
        <v>19118.407851562501</v>
      </c>
      <c r="Q12">
        <f t="shared" si="13"/>
        <v>57355.223554687502</v>
      </c>
      <c r="R12">
        <f t="shared" ref="R12:S12" si="22">Q12*$C12</f>
        <v>14338.805888671875</v>
      </c>
      <c r="S12">
        <f t="shared" si="15"/>
        <v>43016.417666015623</v>
      </c>
    </row>
    <row r="13" spans="1:19" x14ac:dyDescent="0.3">
      <c r="B13" t="s">
        <v>284</v>
      </c>
      <c r="C13">
        <v>0.25</v>
      </c>
      <c r="D13">
        <v>22500</v>
      </c>
      <c r="E13">
        <v>0</v>
      </c>
      <c r="F13">
        <v>0</v>
      </c>
      <c r="G13">
        <v>0</v>
      </c>
      <c r="H13">
        <v>0</v>
      </c>
      <c r="I13">
        <f t="shared" si="18"/>
        <v>22500</v>
      </c>
      <c r="J13">
        <f t="shared" si="9"/>
        <v>5625</v>
      </c>
      <c r="K13">
        <f t="shared" si="10"/>
        <v>16875</v>
      </c>
      <c r="L13">
        <f t="shared" si="0"/>
        <v>4218.75</v>
      </c>
      <c r="M13">
        <f t="shared" si="1"/>
        <v>12656.25</v>
      </c>
      <c r="N13">
        <f t="shared" si="0"/>
        <v>3164.0625</v>
      </c>
      <c r="O13">
        <f t="shared" si="11"/>
        <v>9492.1875</v>
      </c>
      <c r="P13">
        <f t="shared" ref="P13:Q13" si="23">O13*$C13</f>
        <v>2373.046875</v>
      </c>
      <c r="Q13">
        <f t="shared" si="13"/>
        <v>7119.140625</v>
      </c>
      <c r="R13">
        <f t="shared" ref="R13:S13" si="24">Q13*$C13</f>
        <v>1779.78515625</v>
      </c>
      <c r="S13">
        <f t="shared" si="15"/>
        <v>5339.35546875</v>
      </c>
    </row>
    <row r="14" spans="1:19" x14ac:dyDescent="0.3">
      <c r="B14" t="s">
        <v>285</v>
      </c>
      <c r="C14">
        <v>0.25</v>
      </c>
      <c r="D14">
        <v>0</v>
      </c>
      <c r="E14">
        <v>0</v>
      </c>
      <c r="F14">
        <v>0</v>
      </c>
      <c r="G14">
        <v>142219</v>
      </c>
      <c r="H14">
        <v>0</v>
      </c>
      <c r="I14">
        <f t="shared" si="18"/>
        <v>142219</v>
      </c>
      <c r="J14">
        <f t="shared" si="9"/>
        <v>11851.583333333334</v>
      </c>
      <c r="K14">
        <f t="shared" si="10"/>
        <v>130367.41666666667</v>
      </c>
      <c r="L14">
        <f t="shared" si="0"/>
        <v>32591.854166666668</v>
      </c>
      <c r="M14">
        <f t="shared" si="1"/>
        <v>97775.5625</v>
      </c>
      <c r="N14">
        <f t="shared" si="0"/>
        <v>24443.890625</v>
      </c>
      <c r="O14">
        <f t="shared" si="11"/>
        <v>73331.671875</v>
      </c>
      <c r="P14">
        <f t="shared" ref="P14:Q14" si="25">O14*$C14</f>
        <v>18332.91796875</v>
      </c>
      <c r="Q14">
        <f t="shared" si="13"/>
        <v>54998.75390625</v>
      </c>
      <c r="R14">
        <f t="shared" ref="R14:S14" si="26">Q14*$C14</f>
        <v>13749.6884765625</v>
      </c>
      <c r="S14">
        <f t="shared" si="15"/>
        <v>41249.0654296875</v>
      </c>
    </row>
    <row r="15" spans="1:19" x14ac:dyDescent="0.3">
      <c r="B15" t="s">
        <v>286</v>
      </c>
      <c r="C15">
        <v>0.25</v>
      </c>
      <c r="D15">
        <v>0</v>
      </c>
      <c r="E15">
        <v>629600</v>
      </c>
      <c r="F15">
        <v>0</v>
      </c>
      <c r="G15">
        <v>0</v>
      </c>
      <c r="H15">
        <v>0</v>
      </c>
      <c r="I15">
        <f t="shared" si="18"/>
        <v>629600</v>
      </c>
      <c r="J15">
        <f t="shared" si="9"/>
        <v>157400</v>
      </c>
      <c r="K15">
        <f t="shared" si="10"/>
        <v>472200</v>
      </c>
      <c r="L15">
        <f t="shared" si="0"/>
        <v>118050</v>
      </c>
      <c r="M15">
        <f t="shared" si="1"/>
        <v>354150</v>
      </c>
      <c r="N15">
        <f t="shared" si="0"/>
        <v>88537.5</v>
      </c>
      <c r="O15">
        <f t="shared" si="11"/>
        <v>265612.5</v>
      </c>
      <c r="P15">
        <f t="shared" ref="P15:Q15" si="27">O15*$C15</f>
        <v>66403.125</v>
      </c>
      <c r="Q15">
        <f t="shared" si="13"/>
        <v>199209.375</v>
      </c>
      <c r="R15">
        <f t="shared" ref="R15:S15" si="28">Q15*$C15</f>
        <v>49802.34375</v>
      </c>
      <c r="S15">
        <f t="shared" si="15"/>
        <v>149407.03125</v>
      </c>
    </row>
    <row r="16" spans="1:19" x14ac:dyDescent="0.3">
      <c r="A16" t="s">
        <v>287</v>
      </c>
      <c r="B16" t="s">
        <v>288</v>
      </c>
    </row>
    <row r="17" spans="1:19" x14ac:dyDescent="0.3">
      <c r="B17" t="s">
        <v>289</v>
      </c>
      <c r="C17">
        <v>0.2</v>
      </c>
      <c r="D17">
        <v>2808000</v>
      </c>
      <c r="E17">
        <v>0</v>
      </c>
      <c r="F17">
        <v>0</v>
      </c>
      <c r="G17">
        <v>0</v>
      </c>
      <c r="H17">
        <v>0</v>
      </c>
      <c r="I17">
        <f>D17+E17+F17+G17-H17</f>
        <v>2808000</v>
      </c>
      <c r="J17">
        <f t="shared" ref="J17:J19" si="29">(D17+E17)*C17+(F17*C17)*2/3+(G17*C17)*1/3</f>
        <v>561600</v>
      </c>
      <c r="K17">
        <f t="shared" ref="K17:K19" si="30">I17-J17</f>
        <v>2246400</v>
      </c>
      <c r="L17">
        <f t="shared" si="0"/>
        <v>449280</v>
      </c>
      <c r="M17">
        <f t="shared" si="1"/>
        <v>1797120</v>
      </c>
      <c r="N17">
        <f t="shared" si="0"/>
        <v>359424</v>
      </c>
      <c r="O17">
        <f t="shared" ref="O17:O19" si="31">M17-N17</f>
        <v>1437696</v>
      </c>
      <c r="P17">
        <f t="shared" ref="P17:Q17" si="32">O17*$C17</f>
        <v>287539.20000000001</v>
      </c>
      <c r="Q17">
        <f t="shared" ref="Q17:Q19" si="33">O17-P17</f>
        <v>1150156.8</v>
      </c>
      <c r="R17">
        <f t="shared" ref="R17:S17" si="34">Q17*$C17</f>
        <v>230031.36000000002</v>
      </c>
      <c r="S17">
        <f t="shared" ref="S17:S19" si="35">Q17-R17</f>
        <v>920125.44000000006</v>
      </c>
    </row>
    <row r="18" spans="1:19" x14ac:dyDescent="0.3">
      <c r="B18" t="s">
        <v>290</v>
      </c>
      <c r="C18">
        <v>0.2</v>
      </c>
      <c r="D18">
        <v>192000</v>
      </c>
      <c r="E18">
        <v>0</v>
      </c>
      <c r="F18">
        <v>0</v>
      </c>
      <c r="G18">
        <v>0</v>
      </c>
      <c r="H18">
        <v>0</v>
      </c>
      <c r="I18">
        <f t="shared" ref="I18:I19" si="36">D18+E18+F18+G18-H18</f>
        <v>192000</v>
      </c>
      <c r="J18">
        <f t="shared" si="29"/>
        <v>38400</v>
      </c>
      <c r="K18">
        <f t="shared" si="30"/>
        <v>153600</v>
      </c>
      <c r="L18">
        <f t="shared" si="0"/>
        <v>30720</v>
      </c>
      <c r="M18">
        <f t="shared" si="1"/>
        <v>122880</v>
      </c>
      <c r="N18">
        <f t="shared" si="0"/>
        <v>24576</v>
      </c>
      <c r="O18">
        <f t="shared" si="31"/>
        <v>98304</v>
      </c>
      <c r="P18">
        <f t="shared" ref="P18:Q18" si="37">O18*$C18</f>
        <v>19660.800000000003</v>
      </c>
      <c r="Q18">
        <f t="shared" si="33"/>
        <v>78643.199999999997</v>
      </c>
      <c r="R18">
        <f t="shared" ref="R18:S18" si="38">Q18*$C18</f>
        <v>15728.64</v>
      </c>
      <c r="S18">
        <f t="shared" si="35"/>
        <v>62914.559999999998</v>
      </c>
    </row>
    <row r="19" spans="1:19" x14ac:dyDescent="0.3">
      <c r="B19" t="s">
        <v>291</v>
      </c>
      <c r="C19">
        <v>0.2</v>
      </c>
      <c r="D19">
        <v>157520</v>
      </c>
      <c r="E19">
        <v>0</v>
      </c>
      <c r="F19">
        <v>0</v>
      </c>
      <c r="G19">
        <v>0</v>
      </c>
      <c r="H19">
        <v>0</v>
      </c>
      <c r="I19">
        <f t="shared" si="36"/>
        <v>157520</v>
      </c>
      <c r="J19">
        <f t="shared" si="29"/>
        <v>31504</v>
      </c>
      <c r="K19">
        <f t="shared" si="30"/>
        <v>126016</v>
      </c>
      <c r="L19">
        <f t="shared" si="0"/>
        <v>25203.200000000001</v>
      </c>
      <c r="M19">
        <f t="shared" si="1"/>
        <v>100812.8</v>
      </c>
      <c r="N19">
        <f t="shared" si="0"/>
        <v>20162.560000000001</v>
      </c>
      <c r="O19">
        <f t="shared" si="31"/>
        <v>80650.240000000005</v>
      </c>
      <c r="P19">
        <f t="shared" ref="P19:Q19" si="39">O19*$C19</f>
        <v>16130.048000000003</v>
      </c>
      <c r="Q19">
        <f t="shared" si="33"/>
        <v>64520.192000000003</v>
      </c>
      <c r="R19">
        <f t="shared" ref="R19:S19" si="40">Q19*$C19</f>
        <v>12904.038400000001</v>
      </c>
      <c r="S19">
        <f t="shared" si="35"/>
        <v>51616.153600000005</v>
      </c>
    </row>
    <row r="20" spans="1:19" x14ac:dyDescent="0.3">
      <c r="A20" t="s">
        <v>292</v>
      </c>
      <c r="B20" t="s">
        <v>293</v>
      </c>
    </row>
    <row r="21" spans="1:19" x14ac:dyDescent="0.3">
      <c r="B21" t="s">
        <v>294</v>
      </c>
      <c r="C21">
        <v>0.15</v>
      </c>
      <c r="D21">
        <v>32168.98</v>
      </c>
      <c r="E21">
        <v>0</v>
      </c>
      <c r="F21">
        <v>0</v>
      </c>
      <c r="G21">
        <v>0</v>
      </c>
      <c r="H21">
        <v>0</v>
      </c>
      <c r="I21">
        <f t="shared" ref="I21:I31" si="41">D21+E21+F21+G21-H21</f>
        <v>32168.98</v>
      </c>
      <c r="J21">
        <f t="shared" ref="J21:J31" si="42">(D21+E21)*C21+(F21*C21)*2/3+(G21*C21)*1/3</f>
        <v>4825.3469999999998</v>
      </c>
      <c r="K21">
        <f t="shared" ref="K21:K24" si="43">I21-J21</f>
        <v>27343.633000000002</v>
      </c>
      <c r="L21">
        <f t="shared" si="0"/>
        <v>4101.5449500000004</v>
      </c>
      <c r="M21">
        <f t="shared" si="1"/>
        <v>23242.088050000002</v>
      </c>
      <c r="N21">
        <f t="shared" si="0"/>
        <v>3486.3132075000003</v>
      </c>
      <c r="O21">
        <f t="shared" ref="O21:O31" si="44">M21-N21</f>
        <v>19755.774842500003</v>
      </c>
      <c r="P21">
        <f t="shared" ref="P21:Q21" si="45">O21*$C21</f>
        <v>2963.3662263750002</v>
      </c>
      <c r="Q21">
        <f t="shared" ref="Q21:Q31" si="46">O21-P21</f>
        <v>16792.408616125002</v>
      </c>
      <c r="R21">
        <f t="shared" ref="R21:S21" si="47">Q21*$C21</f>
        <v>2518.8612924187501</v>
      </c>
      <c r="S21">
        <f t="shared" ref="S21:S31" si="48">Q21-R21</f>
        <v>14273.547323706251</v>
      </c>
    </row>
    <row r="22" spans="1:19" x14ac:dyDescent="0.3">
      <c r="B22" t="s">
        <v>295</v>
      </c>
      <c r="C22">
        <v>0.15</v>
      </c>
      <c r="D22">
        <v>98893.48</v>
      </c>
      <c r="E22">
        <v>0</v>
      </c>
      <c r="F22">
        <v>0</v>
      </c>
      <c r="G22">
        <v>0</v>
      </c>
      <c r="H22">
        <v>0</v>
      </c>
      <c r="I22">
        <f t="shared" si="41"/>
        <v>98893.48</v>
      </c>
      <c r="J22">
        <f t="shared" si="42"/>
        <v>14834.021999999999</v>
      </c>
      <c r="K22">
        <f t="shared" si="43"/>
        <v>84059.457999999999</v>
      </c>
      <c r="L22">
        <f t="shared" si="0"/>
        <v>12608.9187</v>
      </c>
      <c r="M22">
        <f t="shared" si="1"/>
        <v>71450.539300000004</v>
      </c>
      <c r="N22">
        <f t="shared" si="0"/>
        <v>10717.580895000001</v>
      </c>
      <c r="O22">
        <f t="shared" si="44"/>
        <v>60732.958405000005</v>
      </c>
      <c r="P22">
        <f t="shared" ref="P22:Q22" si="49">O22*$C22</f>
        <v>9109.9437607500004</v>
      </c>
      <c r="Q22">
        <f t="shared" si="46"/>
        <v>51623.014644250004</v>
      </c>
      <c r="R22">
        <f t="shared" ref="R22:S22" si="50">Q22*$C22</f>
        <v>7743.4521966375005</v>
      </c>
      <c r="S22">
        <f t="shared" si="48"/>
        <v>43879.562447612501</v>
      </c>
    </row>
    <row r="23" spans="1:19" x14ac:dyDescent="0.3">
      <c r="B23" t="s">
        <v>296</v>
      </c>
      <c r="C23">
        <v>0.15</v>
      </c>
      <c r="D23">
        <v>5133225.9000000004</v>
      </c>
      <c r="E23">
        <v>0</v>
      </c>
      <c r="F23">
        <v>0</v>
      </c>
      <c r="G23">
        <v>0</v>
      </c>
      <c r="H23">
        <v>0</v>
      </c>
      <c r="I23">
        <f t="shared" si="41"/>
        <v>5133225.9000000004</v>
      </c>
      <c r="J23">
        <f t="shared" si="42"/>
        <v>769983.88500000001</v>
      </c>
      <c r="K23">
        <f t="shared" si="43"/>
        <v>4363242.0150000006</v>
      </c>
      <c r="L23">
        <f t="shared" si="0"/>
        <v>654486.30225000007</v>
      </c>
      <c r="M23">
        <f t="shared" si="1"/>
        <v>3708755.7127500004</v>
      </c>
      <c r="N23">
        <f t="shared" si="0"/>
        <v>556313.35691249999</v>
      </c>
      <c r="O23">
        <f t="shared" si="44"/>
        <v>3152442.3558375007</v>
      </c>
      <c r="P23">
        <f t="shared" ref="P23:Q23" si="51">O23*$C23</f>
        <v>472866.3533756251</v>
      </c>
      <c r="Q23">
        <f t="shared" si="46"/>
        <v>2679576.0024618758</v>
      </c>
      <c r="R23">
        <f t="shared" ref="R23:S23" si="52">Q23*$C23</f>
        <v>401936.40036928136</v>
      </c>
      <c r="S23">
        <f t="shared" si="48"/>
        <v>2277639.6020925944</v>
      </c>
    </row>
    <row r="24" spans="1:19" x14ac:dyDescent="0.3">
      <c r="B24" t="s">
        <v>297</v>
      </c>
      <c r="C24">
        <v>0.15</v>
      </c>
      <c r="D24">
        <v>398610.48</v>
      </c>
      <c r="E24">
        <v>0</v>
      </c>
      <c r="F24">
        <v>0</v>
      </c>
      <c r="G24">
        <v>0</v>
      </c>
      <c r="H24">
        <v>0</v>
      </c>
      <c r="I24">
        <f t="shared" si="41"/>
        <v>398610.48</v>
      </c>
      <c r="J24">
        <f t="shared" si="42"/>
        <v>59791.571999999993</v>
      </c>
      <c r="K24">
        <f t="shared" si="43"/>
        <v>338818.908</v>
      </c>
      <c r="L24">
        <f t="shared" si="0"/>
        <v>50822.836199999998</v>
      </c>
      <c r="M24">
        <f t="shared" si="1"/>
        <v>287996.07179999998</v>
      </c>
      <c r="N24">
        <f t="shared" si="0"/>
        <v>43199.410769999995</v>
      </c>
      <c r="O24">
        <f t="shared" si="44"/>
        <v>244796.66102999999</v>
      </c>
      <c r="P24">
        <f t="shared" ref="P24:Q24" si="53">O24*$C24</f>
        <v>36719.499154499994</v>
      </c>
      <c r="Q24">
        <f t="shared" si="46"/>
        <v>208077.16187549999</v>
      </c>
      <c r="R24">
        <f t="shared" ref="R24:S24" si="54">Q24*$C24</f>
        <v>31211.574281324996</v>
      </c>
      <c r="S24">
        <f t="shared" si="48"/>
        <v>176865.58759417501</v>
      </c>
    </row>
    <row r="25" spans="1:19" x14ac:dyDescent="0.3">
      <c r="B25" t="s">
        <v>298</v>
      </c>
      <c r="C25">
        <v>0.15</v>
      </c>
      <c r="D25">
        <v>5324.46</v>
      </c>
      <c r="E25">
        <v>0</v>
      </c>
      <c r="F25">
        <v>0</v>
      </c>
      <c r="G25">
        <v>0</v>
      </c>
      <c r="H25">
        <v>0</v>
      </c>
      <c r="I25">
        <f t="shared" si="41"/>
        <v>5324.46</v>
      </c>
      <c r="J25">
        <f t="shared" si="42"/>
        <v>798.66899999999998</v>
      </c>
      <c r="K25">
        <f>I25-J25</f>
        <v>4525.7910000000002</v>
      </c>
      <c r="L25">
        <f t="shared" si="0"/>
        <v>678.86865</v>
      </c>
      <c r="M25">
        <f t="shared" si="1"/>
        <v>3846.9223500000003</v>
      </c>
      <c r="N25">
        <f t="shared" si="0"/>
        <v>577.03835249999997</v>
      </c>
      <c r="O25">
        <f t="shared" si="44"/>
        <v>3269.8839975000001</v>
      </c>
      <c r="P25">
        <f t="shared" ref="P25:Q25" si="55">O25*$C25</f>
        <v>490.48259962499998</v>
      </c>
      <c r="Q25">
        <f t="shared" si="46"/>
        <v>2779.4013978749999</v>
      </c>
      <c r="R25">
        <f t="shared" ref="R25:S25" si="56">Q25*$C25</f>
        <v>416.91020968124997</v>
      </c>
      <c r="S25">
        <f t="shared" si="48"/>
        <v>2362.4911881937501</v>
      </c>
    </row>
    <row r="26" spans="1:19" x14ac:dyDescent="0.3">
      <c r="B26" t="s">
        <v>299</v>
      </c>
      <c r="C26">
        <v>0.15</v>
      </c>
      <c r="D26">
        <v>261000</v>
      </c>
      <c r="E26">
        <v>0</v>
      </c>
      <c r="F26">
        <v>0</v>
      </c>
      <c r="G26">
        <v>0</v>
      </c>
      <c r="H26">
        <v>0</v>
      </c>
      <c r="I26">
        <f t="shared" si="41"/>
        <v>261000</v>
      </c>
      <c r="J26">
        <f t="shared" si="42"/>
        <v>39150</v>
      </c>
      <c r="K26">
        <f t="shared" ref="K26:K31" si="57">I26-J26</f>
        <v>221850</v>
      </c>
      <c r="L26">
        <f t="shared" si="0"/>
        <v>33277.5</v>
      </c>
      <c r="M26">
        <f t="shared" si="1"/>
        <v>188572.5</v>
      </c>
      <c r="N26">
        <f t="shared" si="0"/>
        <v>28285.875</v>
      </c>
      <c r="O26">
        <f t="shared" si="44"/>
        <v>160286.625</v>
      </c>
      <c r="P26">
        <f t="shared" ref="P26:Q26" si="58">O26*$C26</f>
        <v>24042.993749999998</v>
      </c>
      <c r="Q26">
        <f t="shared" si="46"/>
        <v>136243.63125000001</v>
      </c>
      <c r="R26">
        <f t="shared" ref="R26:S26" si="59">Q26*$C26</f>
        <v>20436.544687500002</v>
      </c>
      <c r="S26">
        <f t="shared" si="48"/>
        <v>115807.0865625</v>
      </c>
    </row>
    <row r="27" spans="1:19" x14ac:dyDescent="0.3">
      <c r="B27" t="s">
        <v>300</v>
      </c>
      <c r="C27">
        <v>0.15</v>
      </c>
      <c r="D27">
        <v>59042.5</v>
      </c>
      <c r="E27">
        <v>0</v>
      </c>
      <c r="F27">
        <v>0</v>
      </c>
      <c r="G27">
        <v>0</v>
      </c>
      <c r="H27">
        <v>0</v>
      </c>
      <c r="I27">
        <f t="shared" si="41"/>
        <v>59042.5</v>
      </c>
      <c r="J27">
        <f t="shared" si="42"/>
        <v>8856.375</v>
      </c>
      <c r="K27">
        <f t="shared" si="57"/>
        <v>50186.125</v>
      </c>
      <c r="L27">
        <f t="shared" si="0"/>
        <v>7527.9187499999998</v>
      </c>
      <c r="M27">
        <f t="shared" si="1"/>
        <v>42658.206250000003</v>
      </c>
      <c r="N27">
        <f t="shared" si="0"/>
        <v>6398.7309375000004</v>
      </c>
      <c r="O27">
        <f t="shared" si="44"/>
        <v>36259.475312499999</v>
      </c>
      <c r="P27">
        <f t="shared" ref="P27:Q27" si="60">O27*$C27</f>
        <v>5438.9212968749998</v>
      </c>
      <c r="Q27">
        <f t="shared" si="46"/>
        <v>30820.554015624999</v>
      </c>
      <c r="R27">
        <f t="shared" ref="R27:S27" si="61">Q27*$C27</f>
        <v>4623.0831023437495</v>
      </c>
      <c r="S27">
        <f t="shared" si="48"/>
        <v>26197.47091328125</v>
      </c>
    </row>
    <row r="28" spans="1:19" x14ac:dyDescent="0.3">
      <c r="B28" t="s">
        <v>301</v>
      </c>
      <c r="C28">
        <v>0.15</v>
      </c>
      <c r="D28">
        <v>558000</v>
      </c>
      <c r="E28">
        <v>0</v>
      </c>
      <c r="F28">
        <v>0</v>
      </c>
      <c r="G28">
        <v>0</v>
      </c>
      <c r="H28">
        <v>0</v>
      </c>
      <c r="I28">
        <f t="shared" si="41"/>
        <v>558000</v>
      </c>
      <c r="J28">
        <f t="shared" si="42"/>
        <v>83700</v>
      </c>
      <c r="K28">
        <f t="shared" si="57"/>
        <v>474300</v>
      </c>
      <c r="L28">
        <f t="shared" si="0"/>
        <v>71145</v>
      </c>
      <c r="M28">
        <f t="shared" si="1"/>
        <v>403155</v>
      </c>
      <c r="N28">
        <f t="shared" si="0"/>
        <v>60473.25</v>
      </c>
      <c r="O28">
        <f t="shared" si="44"/>
        <v>342681.75</v>
      </c>
      <c r="P28">
        <f t="shared" ref="P28:Q28" si="62">O28*$C28</f>
        <v>51402.262499999997</v>
      </c>
      <c r="Q28">
        <f t="shared" si="46"/>
        <v>291279.48749999999</v>
      </c>
      <c r="R28">
        <f t="shared" ref="R28:S28" si="63">Q28*$C28</f>
        <v>43691.923124999994</v>
      </c>
      <c r="S28">
        <f t="shared" si="48"/>
        <v>247587.56437499999</v>
      </c>
    </row>
    <row r="29" spans="1:19" x14ac:dyDescent="0.3">
      <c r="B29" t="s">
        <v>302</v>
      </c>
      <c r="C29">
        <v>0.15</v>
      </c>
      <c r="D29">
        <v>2697750</v>
      </c>
      <c r="E29">
        <v>0</v>
      </c>
      <c r="F29">
        <v>0</v>
      </c>
      <c r="G29">
        <v>0</v>
      </c>
      <c r="H29">
        <v>0</v>
      </c>
      <c r="I29">
        <f t="shared" si="41"/>
        <v>2697750</v>
      </c>
      <c r="J29">
        <f t="shared" si="42"/>
        <v>404662.5</v>
      </c>
      <c r="K29">
        <f t="shared" si="57"/>
        <v>2293087.5</v>
      </c>
      <c r="L29">
        <f t="shared" si="0"/>
        <v>343963.125</v>
      </c>
      <c r="M29">
        <f t="shared" si="1"/>
        <v>1949124.375</v>
      </c>
      <c r="N29">
        <f t="shared" si="0"/>
        <v>292368.65625</v>
      </c>
      <c r="O29">
        <f t="shared" si="44"/>
        <v>1656755.71875</v>
      </c>
      <c r="P29">
        <f t="shared" ref="P29:Q29" si="64">O29*$C29</f>
        <v>248513.35781249998</v>
      </c>
      <c r="Q29">
        <f t="shared" si="46"/>
        <v>1408242.3609374999</v>
      </c>
      <c r="R29">
        <f t="shared" ref="R29:S29" si="65">Q29*$C29</f>
        <v>211236.35414062499</v>
      </c>
      <c r="S29">
        <f t="shared" si="48"/>
        <v>1197006.006796875</v>
      </c>
    </row>
    <row r="30" spans="1:19" x14ac:dyDescent="0.3">
      <c r="B30" t="s">
        <v>303</v>
      </c>
      <c r="C30">
        <v>0.15</v>
      </c>
      <c r="D30">
        <v>10632.74</v>
      </c>
      <c r="E30">
        <v>0</v>
      </c>
      <c r="F30">
        <v>0</v>
      </c>
      <c r="G30">
        <v>0</v>
      </c>
      <c r="H30">
        <v>0</v>
      </c>
      <c r="I30">
        <f t="shared" si="41"/>
        <v>10632.74</v>
      </c>
      <c r="J30">
        <f t="shared" si="42"/>
        <v>1594.9109999999998</v>
      </c>
      <c r="K30">
        <f t="shared" si="57"/>
        <v>9037.8289999999997</v>
      </c>
      <c r="L30">
        <f t="shared" si="0"/>
        <v>1355.67435</v>
      </c>
      <c r="M30">
        <f t="shared" si="1"/>
        <v>7682.1546499999995</v>
      </c>
      <c r="N30">
        <f t="shared" si="0"/>
        <v>1152.3231974999999</v>
      </c>
      <c r="O30">
        <f t="shared" si="44"/>
        <v>6529.8314524999996</v>
      </c>
      <c r="P30">
        <f t="shared" ref="P30:Q30" si="66">O30*$C30</f>
        <v>979.4747178749999</v>
      </c>
      <c r="Q30">
        <f t="shared" si="46"/>
        <v>5550.3567346250002</v>
      </c>
      <c r="R30">
        <f t="shared" ref="R30:S30" si="67">Q30*$C30</f>
        <v>832.55351019374996</v>
      </c>
      <c r="S30">
        <f t="shared" si="48"/>
        <v>4717.8032244312499</v>
      </c>
    </row>
    <row r="31" spans="1:19" x14ac:dyDescent="0.3">
      <c r="B31" t="s">
        <v>304</v>
      </c>
      <c r="C31">
        <v>0.15</v>
      </c>
      <c r="D31">
        <v>1080658.55</v>
      </c>
      <c r="E31">
        <v>0</v>
      </c>
      <c r="F31">
        <v>0</v>
      </c>
      <c r="G31">
        <v>0</v>
      </c>
      <c r="H31">
        <v>0</v>
      </c>
      <c r="I31">
        <f t="shared" si="41"/>
        <v>1080658.55</v>
      </c>
      <c r="J31">
        <f t="shared" si="42"/>
        <v>162098.7825</v>
      </c>
      <c r="K31">
        <f t="shared" si="57"/>
        <v>918559.76750000007</v>
      </c>
      <c r="L31">
        <f t="shared" si="0"/>
        <v>137783.96512500002</v>
      </c>
      <c r="M31">
        <f t="shared" si="1"/>
        <v>780775.80237500009</v>
      </c>
      <c r="N31">
        <f t="shared" si="0"/>
        <v>117116.37035625002</v>
      </c>
      <c r="O31">
        <f t="shared" si="44"/>
        <v>663659.43201875011</v>
      </c>
      <c r="P31">
        <f t="shared" ref="P31:Q31" si="68">O31*$C31</f>
        <v>99548.91480281252</v>
      </c>
      <c r="Q31">
        <f t="shared" si="46"/>
        <v>564110.51721593761</v>
      </c>
      <c r="R31">
        <f t="shared" ref="R31:S31" si="69">Q31*$C31</f>
        <v>84616.577582390644</v>
      </c>
      <c r="S31">
        <f t="shared" si="48"/>
        <v>479493.93963354698</v>
      </c>
    </row>
    <row r="32" spans="1:19" x14ac:dyDescent="0.3">
      <c r="A32" t="s">
        <v>305</v>
      </c>
      <c r="D32">
        <f>+SUM(D5:D31)</f>
        <v>26144670.879999999</v>
      </c>
      <c r="E32">
        <f>+SUM(E5:E31)</f>
        <v>629600</v>
      </c>
      <c r="F32">
        <f>+SUM(F5:F31)</f>
        <v>0</v>
      </c>
      <c r="G32">
        <f>+SUM(G5:G31)</f>
        <v>437577.50999999978</v>
      </c>
      <c r="H32">
        <f t="shared" ref="H32:M32" si="70">+SUM(H5:H31)</f>
        <v>0</v>
      </c>
      <c r="I32">
        <f>+SUM(I5:I31)</f>
        <v>27211848.390000004</v>
      </c>
      <c r="J32">
        <f t="shared" si="70"/>
        <v>2864520.9595000008</v>
      </c>
      <c r="K32">
        <f t="shared" si="70"/>
        <v>24347327.430500001</v>
      </c>
      <c r="L32">
        <f t="shared" si="70"/>
        <v>2468067.4476750004</v>
      </c>
      <c r="M32">
        <f t="shared" si="70"/>
        <v>21879259.982825</v>
      </c>
      <c r="N32">
        <f t="shared" ref="N32:S32" si="71">+SUM(N5:N31)</f>
        <v>2085535.5990187502</v>
      </c>
      <c r="O32">
        <f t="shared" si="71"/>
        <v>19793724.383806251</v>
      </c>
      <c r="P32">
        <f t="shared" si="71"/>
        <v>1769945.9213236873</v>
      </c>
      <c r="Q32">
        <f t="shared" si="71"/>
        <v>18023778.462482564</v>
      </c>
      <c r="R32">
        <f t="shared" si="71"/>
        <v>1508731.8436906224</v>
      </c>
      <c r="S32">
        <f t="shared" si="71"/>
        <v>16515046.618791942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A16" sqref="A16"/>
    </sheetView>
  </sheetViews>
  <sheetFormatPr defaultRowHeight="14.4" x14ac:dyDescent="0.3"/>
  <sheetData>
    <row r="1" spans="1:26" x14ac:dyDescent="0.3">
      <c r="B1" s="265" t="s">
        <v>247</v>
      </c>
      <c r="C1" s="266"/>
      <c r="D1" s="266"/>
      <c r="E1" s="266"/>
      <c r="F1" s="253"/>
      <c r="G1" s="267" t="s">
        <v>248</v>
      </c>
      <c r="H1" s="268"/>
      <c r="I1" s="268"/>
      <c r="J1" s="268"/>
      <c r="K1" s="168"/>
      <c r="L1" s="269" t="s">
        <v>249</v>
      </c>
      <c r="M1" s="270"/>
      <c r="N1" s="270"/>
      <c r="O1" s="270"/>
      <c r="P1" s="169"/>
      <c r="Q1" s="271" t="s">
        <v>250</v>
      </c>
      <c r="R1" s="266"/>
      <c r="S1" s="266"/>
      <c r="T1" s="266"/>
      <c r="U1" s="253"/>
      <c r="V1" s="271" t="s">
        <v>251</v>
      </c>
      <c r="W1" s="266"/>
      <c r="X1" s="266"/>
      <c r="Y1" s="266"/>
      <c r="Z1" s="253"/>
    </row>
    <row r="2" spans="1:26" ht="15" thickBot="1" x14ac:dyDescent="0.35">
      <c r="A2" s="153"/>
      <c r="B2" s="170" t="s">
        <v>1</v>
      </c>
      <c r="C2" s="171" t="s">
        <v>2</v>
      </c>
      <c r="D2" s="171" t="s">
        <v>3</v>
      </c>
      <c r="E2" s="171" t="s">
        <v>4</v>
      </c>
      <c r="F2" s="171"/>
      <c r="G2" s="172" t="s">
        <v>5</v>
      </c>
      <c r="H2" s="173" t="s">
        <v>6</v>
      </c>
      <c r="I2" s="173" t="s">
        <v>7</v>
      </c>
      <c r="J2" s="173" t="s">
        <v>8</v>
      </c>
      <c r="K2" s="174"/>
      <c r="L2" s="175" t="s">
        <v>9</v>
      </c>
      <c r="M2" s="171" t="s">
        <v>10</v>
      </c>
      <c r="N2" s="171" t="s">
        <v>11</v>
      </c>
      <c r="O2" s="171" t="s">
        <v>12</v>
      </c>
      <c r="P2" s="176"/>
      <c r="Q2" s="171" t="s">
        <v>13</v>
      </c>
      <c r="R2" s="171" t="s">
        <v>14</v>
      </c>
      <c r="S2" s="171" t="s">
        <v>15</v>
      </c>
      <c r="T2" s="171" t="s">
        <v>16</v>
      </c>
      <c r="U2" s="171"/>
      <c r="V2" s="175" t="s">
        <v>17</v>
      </c>
      <c r="W2" s="171" t="s">
        <v>18</v>
      </c>
      <c r="X2" s="171" t="s">
        <v>19</v>
      </c>
      <c r="Y2" s="171" t="s">
        <v>20</v>
      </c>
      <c r="Z2" s="171"/>
    </row>
    <row r="3" spans="1:26" ht="17.399999999999999" x14ac:dyDescent="0.3">
      <c r="A3" s="193" t="s">
        <v>160</v>
      </c>
      <c r="B3" s="177"/>
      <c r="C3" s="178"/>
      <c r="D3" s="178"/>
      <c r="E3" s="178"/>
      <c r="F3" s="178" t="s">
        <v>79</v>
      </c>
      <c r="G3" s="179"/>
      <c r="H3" s="180"/>
      <c r="I3" s="180"/>
      <c r="J3" s="180"/>
      <c r="K3" s="181" t="s">
        <v>79</v>
      </c>
      <c r="L3" s="182"/>
      <c r="M3" s="178"/>
      <c r="N3" s="178"/>
      <c r="O3" s="178"/>
      <c r="P3" s="178" t="s">
        <v>79</v>
      </c>
      <c r="Q3" s="179"/>
      <c r="R3" s="180"/>
      <c r="S3" s="180"/>
      <c r="T3" s="180"/>
      <c r="U3" s="181" t="s">
        <v>79</v>
      </c>
      <c r="V3" s="179"/>
      <c r="W3" s="180"/>
      <c r="X3" s="180"/>
      <c r="Y3" s="180"/>
      <c r="Z3" s="183" t="s">
        <v>79</v>
      </c>
    </row>
    <row r="4" spans="1:26" x14ac:dyDescent="0.3">
      <c r="A4" s="184"/>
      <c r="B4" s="185" t="s">
        <v>25</v>
      </c>
      <c r="C4" s="186" t="s">
        <v>26</v>
      </c>
      <c r="D4" s="186" t="s">
        <v>27</v>
      </c>
      <c r="E4" s="186" t="s">
        <v>28</v>
      </c>
      <c r="F4" s="187" t="s">
        <v>148</v>
      </c>
      <c r="G4" s="188" t="s">
        <v>25</v>
      </c>
      <c r="H4" s="189" t="s">
        <v>26</v>
      </c>
      <c r="I4" s="189" t="s">
        <v>27</v>
      </c>
      <c r="J4" s="189" t="s">
        <v>28</v>
      </c>
      <c r="K4" s="190" t="s">
        <v>87</v>
      </c>
      <c r="L4" s="191" t="s">
        <v>25</v>
      </c>
      <c r="M4" s="186" t="s">
        <v>26</v>
      </c>
      <c r="N4" s="186" t="s">
        <v>27</v>
      </c>
      <c r="O4" s="186" t="s">
        <v>28</v>
      </c>
      <c r="P4" s="187" t="s">
        <v>88</v>
      </c>
      <c r="Q4" s="188" t="s">
        <v>25</v>
      </c>
      <c r="R4" s="189" t="s">
        <v>26</v>
      </c>
      <c r="S4" s="189" t="s">
        <v>27</v>
      </c>
      <c r="T4" s="189" t="s">
        <v>28</v>
      </c>
      <c r="U4" s="190" t="s">
        <v>149</v>
      </c>
      <c r="V4" s="188" t="s">
        <v>25</v>
      </c>
      <c r="W4" s="189" t="s">
        <v>26</v>
      </c>
      <c r="X4" s="189" t="s">
        <v>27</v>
      </c>
      <c r="Y4" s="189" t="s">
        <v>28</v>
      </c>
      <c r="Z4" s="192" t="s">
        <v>90</v>
      </c>
    </row>
    <row r="5" spans="1:26" x14ac:dyDescent="0.3">
      <c r="B5" s="194" t="s">
        <v>30</v>
      </c>
      <c r="C5" s="195" t="s">
        <v>30</v>
      </c>
      <c r="D5" s="195" t="s">
        <v>30</v>
      </c>
      <c r="E5" s="195" t="s">
        <v>30</v>
      </c>
      <c r="F5" s="195"/>
      <c r="G5" s="196" t="s">
        <v>30</v>
      </c>
      <c r="H5" s="197" t="s">
        <v>30</v>
      </c>
      <c r="I5" s="197" t="s">
        <v>30</v>
      </c>
      <c r="J5" s="197" t="s">
        <v>30</v>
      </c>
      <c r="K5" s="198"/>
      <c r="L5" s="199" t="s">
        <v>30</v>
      </c>
      <c r="M5" s="200" t="s">
        <v>30</v>
      </c>
      <c r="N5" s="200" t="s">
        <v>30</v>
      </c>
      <c r="O5" s="200" t="s">
        <v>30</v>
      </c>
      <c r="P5" s="200"/>
      <c r="Q5" s="196" t="s">
        <v>30</v>
      </c>
      <c r="R5" s="197" t="s">
        <v>30</v>
      </c>
      <c r="S5" s="197" t="s">
        <v>30</v>
      </c>
      <c r="T5" s="197" t="s">
        <v>30</v>
      </c>
      <c r="U5" s="198"/>
      <c r="V5" s="196" t="s">
        <v>30</v>
      </c>
      <c r="W5" s="197" t="s">
        <v>30</v>
      </c>
      <c r="X5" s="197" t="s">
        <v>30</v>
      </c>
      <c r="Y5" s="197" t="s">
        <v>30</v>
      </c>
      <c r="Z5" s="201"/>
    </row>
    <row r="6" spans="1:26" x14ac:dyDescent="0.3">
      <c r="A6" s="202" t="s">
        <v>59</v>
      </c>
      <c r="B6" s="203"/>
      <c r="C6" s="204"/>
      <c r="D6" s="204"/>
      <c r="E6" s="204"/>
      <c r="F6" s="204"/>
      <c r="G6" s="205"/>
      <c r="H6" s="206"/>
      <c r="I6" s="206"/>
      <c r="J6" s="206"/>
      <c r="K6" s="207"/>
      <c r="L6" s="208"/>
      <c r="M6" s="204"/>
      <c r="N6" s="204"/>
      <c r="O6" s="204"/>
      <c r="P6" s="204"/>
      <c r="Q6" s="205"/>
      <c r="R6" s="206"/>
      <c r="S6" s="206"/>
      <c r="T6" s="206"/>
      <c r="U6" s="207"/>
      <c r="V6" s="205"/>
      <c r="W6" s="206"/>
      <c r="X6" s="206"/>
      <c r="Y6" s="206"/>
      <c r="Z6" s="209"/>
    </row>
    <row r="7" spans="1:26" x14ac:dyDescent="0.3">
      <c r="A7" s="210" t="s">
        <v>34</v>
      </c>
      <c r="B7" s="211">
        <v>0</v>
      </c>
      <c r="C7" s="211">
        <v>0</v>
      </c>
      <c r="D7" s="211">
        <v>0</v>
      </c>
      <c r="E7" s="211">
        <f>projected_production!G8</f>
        <v>1140</v>
      </c>
      <c r="F7" s="212">
        <f>SUM(B7:E7)</f>
        <v>1140</v>
      </c>
      <c r="G7" s="213">
        <v>0</v>
      </c>
      <c r="H7" s="213">
        <v>0</v>
      </c>
      <c r="I7" s="213">
        <v>0</v>
      </c>
      <c r="J7" s="211">
        <f>projected_production!K8</f>
        <v>1881</v>
      </c>
      <c r="K7" s="212">
        <f>SUM(G7:J7)</f>
        <v>1881</v>
      </c>
      <c r="L7" s="211">
        <v>0</v>
      </c>
      <c r="M7" s="211">
        <v>0</v>
      </c>
      <c r="N7" s="211">
        <v>0</v>
      </c>
      <c r="O7" s="211">
        <f>projected_production!O8</f>
        <v>1197</v>
      </c>
      <c r="P7" s="216">
        <f>SUM(L7:O7)</f>
        <v>1197</v>
      </c>
      <c r="Q7" s="211">
        <v>0</v>
      </c>
      <c r="R7" s="211">
        <v>0</v>
      </c>
      <c r="S7" s="211">
        <v>0</v>
      </c>
      <c r="T7" s="211">
        <f>projected_production!S8</f>
        <v>3605.25</v>
      </c>
      <c r="U7" s="212">
        <f>SUM(Q7:T7)</f>
        <v>3605.25</v>
      </c>
      <c r="V7" s="211">
        <v>0</v>
      </c>
      <c r="W7" s="211">
        <v>0</v>
      </c>
      <c r="X7" s="211">
        <v>0</v>
      </c>
      <c r="Y7" s="211">
        <f>projected_production!W8</f>
        <v>4446</v>
      </c>
      <c r="Z7" s="215">
        <f>SUM(V7:Y7)</f>
        <v>4446</v>
      </c>
    </row>
    <row r="8" spans="1:26" x14ac:dyDescent="0.3">
      <c r="A8" s="210" t="s">
        <v>38</v>
      </c>
      <c r="B8" s="211">
        <v>0</v>
      </c>
      <c r="C8" s="211">
        <f>projected_production!E12</f>
        <v>2925</v>
      </c>
      <c r="D8" s="211">
        <v>0</v>
      </c>
      <c r="E8" s="211">
        <v>0</v>
      </c>
      <c r="F8" s="212">
        <f>SUM(B8:E8)</f>
        <v>2925</v>
      </c>
      <c r="G8" s="213">
        <v>0</v>
      </c>
      <c r="H8" s="211">
        <f>projected_production!I12</f>
        <v>3472.21875</v>
      </c>
      <c r="I8" s="213">
        <v>0</v>
      </c>
      <c r="J8" s="213">
        <v>0</v>
      </c>
      <c r="K8" s="212">
        <f>SUM(G8:J8)</f>
        <v>3472.21875</v>
      </c>
      <c r="L8" s="211">
        <v>0</v>
      </c>
      <c r="M8" s="211">
        <f>projected_production!M12</f>
        <v>4201.234375</v>
      </c>
      <c r="N8" s="211">
        <v>0</v>
      </c>
      <c r="O8" s="211">
        <v>0</v>
      </c>
      <c r="P8" s="216">
        <f>SUM(L8:O8)</f>
        <v>4201.234375</v>
      </c>
      <c r="Q8" s="211">
        <v>0</v>
      </c>
      <c r="R8" s="211">
        <f>projected_production!Q12</f>
        <v>4960.3125</v>
      </c>
      <c r="S8" s="211">
        <v>0</v>
      </c>
      <c r="T8" s="211">
        <v>0</v>
      </c>
      <c r="U8" s="212">
        <f>SUM(Q8:T8)</f>
        <v>4960.3125</v>
      </c>
      <c r="V8" s="211">
        <v>0</v>
      </c>
      <c r="W8" s="211">
        <f>projected_production!U12</f>
        <v>5877.21875</v>
      </c>
      <c r="X8" s="211">
        <v>0</v>
      </c>
      <c r="Y8" s="211">
        <v>0</v>
      </c>
      <c r="Z8" s="215">
        <f>SUM(V8:Y8)</f>
        <v>5877.21875</v>
      </c>
    </row>
    <row r="9" spans="1:26" x14ac:dyDescent="0.3">
      <c r="A9" s="210" t="s">
        <v>161</v>
      </c>
      <c r="B9" s="211">
        <v>0</v>
      </c>
      <c r="C9" s="211">
        <v>0</v>
      </c>
      <c r="D9" s="211">
        <f>projected_production!F16</f>
        <v>783.75</v>
      </c>
      <c r="E9" s="211">
        <v>0</v>
      </c>
      <c r="F9" s="212">
        <f>SUM(B9:E9)</f>
        <v>783.75</v>
      </c>
      <c r="G9" s="213">
        <v>0</v>
      </c>
      <c r="H9" s="213">
        <v>0</v>
      </c>
      <c r="I9" s="211">
        <f>projected_production!J16</f>
        <v>1535.625</v>
      </c>
      <c r="J9" s="213">
        <v>0</v>
      </c>
      <c r="K9" s="212">
        <f>SUM(G9:J9)</f>
        <v>1535.625</v>
      </c>
      <c r="L9" s="211">
        <v>0</v>
      </c>
      <c r="M9" s="211">
        <v>0</v>
      </c>
      <c r="N9" s="211">
        <f>projected_production!N16</f>
        <v>2010.9375</v>
      </c>
      <c r="O9" s="211">
        <v>0</v>
      </c>
      <c r="P9" s="216">
        <f>SUM(L9:O9)</f>
        <v>2010.9375</v>
      </c>
      <c r="Q9" s="211">
        <v>0</v>
      </c>
      <c r="R9" s="211">
        <v>0</v>
      </c>
      <c r="S9" s="211">
        <f>projected_production!R16</f>
        <v>2522.8125</v>
      </c>
      <c r="T9" s="211">
        <v>0</v>
      </c>
      <c r="U9" s="212">
        <f>SUM(Q9:T9)</f>
        <v>2522.8125</v>
      </c>
      <c r="V9" s="211">
        <v>0</v>
      </c>
      <c r="W9" s="211">
        <v>0</v>
      </c>
      <c r="X9" s="211">
        <f>projected_production!V16</f>
        <v>3071.25</v>
      </c>
      <c r="Y9" s="211">
        <v>0</v>
      </c>
      <c r="Z9" s="215">
        <f>SUM(V9:Y9)</f>
        <v>3071.25</v>
      </c>
    </row>
    <row r="10" spans="1:26" x14ac:dyDescent="0.3">
      <c r="A10" s="210" t="s">
        <v>41</v>
      </c>
      <c r="B10" s="211">
        <v>0</v>
      </c>
      <c r="C10" s="211">
        <f>projected_production!E20</f>
        <v>175</v>
      </c>
      <c r="D10" s="211">
        <v>0</v>
      </c>
      <c r="E10" s="211">
        <v>0</v>
      </c>
      <c r="F10" s="212">
        <f>SUM(B10:E10)</f>
        <v>175</v>
      </c>
      <c r="G10" s="213">
        <v>0</v>
      </c>
      <c r="H10" s="211">
        <f>projected_production!I20</f>
        <v>852.03125</v>
      </c>
      <c r="I10" s="213">
        <v>0</v>
      </c>
      <c r="J10" s="213">
        <v>0</v>
      </c>
      <c r="K10" s="212">
        <f>SUM(G10:J10)</f>
        <v>852.03125</v>
      </c>
      <c r="L10" s="211">
        <v>0</v>
      </c>
      <c r="M10" s="211">
        <f>projected_production!M20</f>
        <v>1745.625</v>
      </c>
      <c r="N10" s="211">
        <v>0</v>
      </c>
      <c r="O10" s="211">
        <v>0</v>
      </c>
      <c r="P10" s="216">
        <f>SUM(L10:O10)</f>
        <v>1745.625</v>
      </c>
      <c r="Q10" s="211">
        <v>0</v>
      </c>
      <c r="R10" s="211">
        <f>projected_production!Q20</f>
        <v>2743.125</v>
      </c>
      <c r="S10" s="211">
        <v>0</v>
      </c>
      <c r="T10" s="211">
        <v>0</v>
      </c>
      <c r="U10" s="212">
        <f>SUM(Q10:T10)</f>
        <v>2743.125</v>
      </c>
      <c r="V10" s="211">
        <v>0</v>
      </c>
      <c r="W10" s="211">
        <f>projected_production!U20</f>
        <v>4675.78125</v>
      </c>
      <c r="X10" s="211">
        <v>0</v>
      </c>
      <c r="Y10" s="211">
        <v>0</v>
      </c>
      <c r="Z10" s="215">
        <f>SUM(V10:Y10)</f>
        <v>4675.78125</v>
      </c>
    </row>
    <row r="11" spans="1:26" x14ac:dyDescent="0.3">
      <c r="A11" s="217" t="s">
        <v>162</v>
      </c>
      <c r="B11" s="218"/>
      <c r="C11" s="218"/>
      <c r="D11" s="218"/>
      <c r="E11" s="218"/>
      <c r="F11" s="219"/>
      <c r="G11" s="220"/>
      <c r="H11" s="218"/>
      <c r="I11" s="218"/>
      <c r="J11" s="218"/>
      <c r="K11" s="219"/>
      <c r="L11" s="221"/>
      <c r="M11" s="222"/>
      <c r="N11" s="222"/>
      <c r="O11" s="222"/>
      <c r="P11" s="223"/>
      <c r="Q11" s="220"/>
      <c r="R11" s="218"/>
      <c r="S11" s="218"/>
      <c r="T11" s="218"/>
      <c r="U11" s="219"/>
      <c r="V11" s="220"/>
      <c r="W11" s="218"/>
      <c r="X11" s="218"/>
      <c r="Y11" s="218"/>
      <c r="Z11" s="224"/>
    </row>
    <row r="12" spans="1:26" x14ac:dyDescent="0.3">
      <c r="A12" s="210" t="s">
        <v>34</v>
      </c>
      <c r="B12" s="211">
        <v>0</v>
      </c>
      <c r="C12" s="211">
        <v>0</v>
      </c>
      <c r="D12" s="211">
        <v>0</v>
      </c>
      <c r="E12" s="211">
        <f>projected_production!G25</f>
        <v>16534.750000000004</v>
      </c>
      <c r="F12" s="212">
        <f>SUM(B12:E12)</f>
        <v>16534.750000000004</v>
      </c>
      <c r="G12" s="211">
        <v>0</v>
      </c>
      <c r="H12" s="211">
        <v>0</v>
      </c>
      <c r="I12" s="211">
        <v>0</v>
      </c>
      <c r="J12" s="211">
        <f>projected_production!K25</f>
        <v>29212.5</v>
      </c>
      <c r="K12" s="212">
        <f>SUM(G12:J12)</f>
        <v>29212.5</v>
      </c>
      <c r="L12" s="211">
        <v>0</v>
      </c>
      <c r="M12" s="211">
        <v>0</v>
      </c>
      <c r="N12" s="211">
        <v>0</v>
      </c>
      <c r="O12" s="211">
        <f>projected_production!O25</f>
        <v>37406.25</v>
      </c>
      <c r="P12" s="216">
        <f>SUM(L12:O12)</f>
        <v>37406.25</v>
      </c>
      <c r="Q12" s="211">
        <v>0</v>
      </c>
      <c r="R12" s="211">
        <v>0</v>
      </c>
      <c r="S12" s="211">
        <v>0</v>
      </c>
      <c r="T12" s="211">
        <f>projected_production!S25</f>
        <v>43403.125</v>
      </c>
      <c r="U12" s="212">
        <f>SUM(Q12:T12)</f>
        <v>43403.125</v>
      </c>
      <c r="V12" s="211">
        <v>0</v>
      </c>
      <c r="W12" s="211">
        <v>0</v>
      </c>
      <c r="X12" s="211">
        <v>0</v>
      </c>
      <c r="Y12" s="211">
        <f>projected_production!W25</f>
        <v>52250</v>
      </c>
      <c r="Z12" s="215">
        <f>SUM(V12:Y12)</f>
        <v>52250</v>
      </c>
    </row>
    <row r="13" spans="1:26" x14ac:dyDescent="0.3">
      <c r="A13" s="210" t="s">
        <v>38</v>
      </c>
      <c r="B13" s="211">
        <v>0</v>
      </c>
      <c r="C13" s="211">
        <f>projected_production!E29</f>
        <v>24000</v>
      </c>
      <c r="D13" s="211">
        <v>0</v>
      </c>
      <c r="E13" s="211">
        <v>0</v>
      </c>
      <c r="F13" s="212">
        <f>SUM(B13:E13)</f>
        <v>24000</v>
      </c>
      <c r="G13" s="211">
        <v>0</v>
      </c>
      <c r="H13" s="211">
        <f>projected_production!I29</f>
        <v>34965</v>
      </c>
      <c r="I13" s="211">
        <v>0</v>
      </c>
      <c r="J13" s="211">
        <v>0</v>
      </c>
      <c r="K13" s="212">
        <f>SUM(G13:J13)</f>
        <v>34965</v>
      </c>
      <c r="L13" s="211">
        <v>0</v>
      </c>
      <c r="M13" s="211">
        <f>projected_production!M29</f>
        <v>48840</v>
      </c>
      <c r="N13" s="211">
        <v>0</v>
      </c>
      <c r="O13" s="211">
        <v>0</v>
      </c>
      <c r="P13" s="216">
        <f>SUM(L13:O13)</f>
        <v>48840</v>
      </c>
      <c r="Q13" s="211">
        <v>0</v>
      </c>
      <c r="R13" s="211">
        <f>projected_production!Q29</f>
        <v>63825</v>
      </c>
      <c r="S13" s="211">
        <v>0</v>
      </c>
      <c r="T13" s="211">
        <v>0</v>
      </c>
      <c r="U13" s="212">
        <f>SUM(Q13:T13)</f>
        <v>63825</v>
      </c>
      <c r="V13" s="211">
        <v>0</v>
      </c>
      <c r="W13" s="211">
        <f>projected_production!U29</f>
        <v>83250</v>
      </c>
      <c r="X13" s="211">
        <v>0</v>
      </c>
      <c r="Y13" s="211">
        <v>0</v>
      </c>
      <c r="Z13" s="215">
        <f>SUM(V13:Y13)</f>
        <v>83250</v>
      </c>
    </row>
    <row r="14" spans="1:26" x14ac:dyDescent="0.3">
      <c r="A14" s="210" t="s">
        <v>163</v>
      </c>
      <c r="B14" s="211">
        <v>0</v>
      </c>
      <c r="C14" s="211">
        <v>0</v>
      </c>
      <c r="D14" s="211">
        <f>projected_production!G33</f>
        <v>5521.546875</v>
      </c>
      <c r="E14" s="211">
        <v>0</v>
      </c>
      <c r="F14" s="212">
        <f>SUM(B14:E14)</f>
        <v>5521.546875</v>
      </c>
      <c r="G14" s="211">
        <v>0</v>
      </c>
      <c r="H14" s="211">
        <v>0</v>
      </c>
      <c r="I14" s="211">
        <f>projected_production!K33</f>
        <v>6654.375</v>
      </c>
      <c r="J14" s="211">
        <v>0</v>
      </c>
      <c r="K14" s="212">
        <f>SUM(G14:J14)</f>
        <v>6654.375</v>
      </c>
      <c r="L14" s="211">
        <v>0</v>
      </c>
      <c r="M14" s="211">
        <v>0</v>
      </c>
      <c r="N14" s="211">
        <f>projected_production!O33</f>
        <v>10219.21875</v>
      </c>
      <c r="O14" s="211">
        <v>0</v>
      </c>
      <c r="P14" s="216">
        <f>SUM(L14:O14)</f>
        <v>10219.21875</v>
      </c>
      <c r="Q14" s="211">
        <v>0</v>
      </c>
      <c r="R14" s="211">
        <v>0</v>
      </c>
      <c r="S14" s="211">
        <f>projected_production!S33</f>
        <v>13942.5</v>
      </c>
      <c r="T14" s="211">
        <v>0</v>
      </c>
      <c r="U14" s="212">
        <f>SUM(Q14:T14)</f>
        <v>13942.5</v>
      </c>
      <c r="V14" s="211">
        <v>0</v>
      </c>
      <c r="W14" s="211">
        <v>0</v>
      </c>
      <c r="X14" s="211">
        <f>projected_production!W33</f>
        <v>21389.0625</v>
      </c>
      <c r="Y14" s="211">
        <v>0</v>
      </c>
      <c r="Z14" s="215">
        <f>SUM(V14:Y14)</f>
        <v>21389.0625</v>
      </c>
    </row>
    <row r="15" spans="1:26" x14ac:dyDescent="0.3">
      <c r="A15" s="210" t="s">
        <v>41</v>
      </c>
      <c r="B15" s="211">
        <v>0</v>
      </c>
      <c r="C15" s="211">
        <f>projected_production!E37</f>
        <v>630</v>
      </c>
      <c r="D15" s="211">
        <v>0</v>
      </c>
      <c r="E15" s="211">
        <v>0</v>
      </c>
      <c r="F15" s="212">
        <f>SUM(B15:E15)</f>
        <v>630</v>
      </c>
      <c r="G15" s="211">
        <v>0</v>
      </c>
      <c r="H15" s="211">
        <f>projected_production!I37</f>
        <v>2190.9375</v>
      </c>
      <c r="I15" s="211">
        <v>0</v>
      </c>
      <c r="J15" s="211">
        <v>0</v>
      </c>
      <c r="K15" s="212">
        <f>SUM(G15:J15)</f>
        <v>2190.9375</v>
      </c>
      <c r="L15" s="211">
        <v>0</v>
      </c>
      <c r="M15" s="211">
        <f>projected_production!M37</f>
        <v>3740.625</v>
      </c>
      <c r="N15" s="211">
        <v>0</v>
      </c>
      <c r="O15" s="211">
        <v>0</v>
      </c>
      <c r="P15" s="216">
        <f>SUM(L15:O15)</f>
        <v>3740.625</v>
      </c>
      <c r="Q15" s="211">
        <v>0</v>
      </c>
      <c r="R15" s="211">
        <f>projected_production!Q37</f>
        <v>6270</v>
      </c>
      <c r="S15" s="211">
        <v>0</v>
      </c>
      <c r="T15" s="211">
        <v>0</v>
      </c>
      <c r="U15" s="212">
        <f>SUM(Q15:T15)</f>
        <v>6270</v>
      </c>
      <c r="V15" s="211">
        <v>0</v>
      </c>
      <c r="W15" s="211">
        <f>projected_production!U37</f>
        <v>9832.5</v>
      </c>
      <c r="X15" s="211">
        <v>0</v>
      </c>
      <c r="Y15" s="211">
        <v>0</v>
      </c>
      <c r="Z15" s="215">
        <f>SUM(V15:Y15)</f>
        <v>9832.5</v>
      </c>
    </row>
    <row r="16" spans="1:26" x14ac:dyDescent="0.3">
      <c r="A16" s="225" t="s">
        <v>164</v>
      </c>
      <c r="B16" s="226">
        <f t="shared" ref="B16:J16" si="0">SUM(B7:B15)</f>
        <v>0</v>
      </c>
      <c r="C16" s="226">
        <f t="shared" si="0"/>
        <v>27730</v>
      </c>
      <c r="D16" s="226">
        <f t="shared" si="0"/>
        <v>6305.296875</v>
      </c>
      <c r="E16" s="226">
        <f t="shared" si="0"/>
        <v>17674.750000000004</v>
      </c>
      <c r="F16" s="226">
        <f t="shared" si="0"/>
        <v>51710.046875</v>
      </c>
      <c r="G16" s="226">
        <f t="shared" si="0"/>
        <v>0</v>
      </c>
      <c r="H16" s="226">
        <f t="shared" si="0"/>
        <v>41480.1875</v>
      </c>
      <c r="I16" s="226">
        <f t="shared" si="0"/>
        <v>8190</v>
      </c>
      <c r="J16" s="226">
        <f t="shared" si="0"/>
        <v>31093.5</v>
      </c>
      <c r="K16" s="226">
        <f>SUM(G16:J16)</f>
        <v>80763.6875</v>
      </c>
      <c r="L16" s="226">
        <f>SUM(L7:L15)</f>
        <v>0</v>
      </c>
      <c r="M16" s="226">
        <f>SUM(M7:M15)</f>
        <v>58527.484375</v>
      </c>
      <c r="N16" s="226">
        <f>SUM(N7:N15)</f>
        <v>12230.15625</v>
      </c>
      <c r="O16" s="226">
        <f>SUM(O7:O15)</f>
        <v>38603.25</v>
      </c>
      <c r="P16" s="226">
        <f>SUM(L16:O16)</f>
        <v>109360.890625</v>
      </c>
      <c r="Q16" s="226">
        <f>SUM(Q7:Q15)</f>
        <v>0</v>
      </c>
      <c r="R16" s="226">
        <f>SUM(R7:R15)</f>
        <v>77798.4375</v>
      </c>
      <c r="S16" s="226">
        <f>SUM(S7:S15)</f>
        <v>16465.3125</v>
      </c>
      <c r="T16" s="226">
        <f>SUM(T7:T15)</f>
        <v>47008.375</v>
      </c>
      <c r="U16" s="226">
        <f>SUM(Q16:T16)</f>
        <v>141272.125</v>
      </c>
      <c r="V16" s="226">
        <f>SUM(V7:V15)</f>
        <v>0</v>
      </c>
      <c r="W16" s="226">
        <f>SUM(W7:W15)</f>
        <v>103635.5</v>
      </c>
      <c r="X16" s="226">
        <f>SUM(X7:X15)</f>
        <v>24460.3125</v>
      </c>
      <c r="Y16" s="226">
        <f>SUM(Y7:Y15)</f>
        <v>56696</v>
      </c>
      <c r="Z16" s="226">
        <f>SUM(V16:Y16)</f>
        <v>184791.8125</v>
      </c>
    </row>
    <row r="17" spans="1:26" ht="15.6" x14ac:dyDescent="0.3">
      <c r="A17" s="227" t="s">
        <v>165</v>
      </c>
      <c r="B17" s="228"/>
      <c r="C17" s="229"/>
      <c r="D17" s="229"/>
      <c r="E17" s="229"/>
      <c r="F17" s="216"/>
      <c r="G17" s="213"/>
      <c r="H17" s="211"/>
      <c r="I17" s="211"/>
      <c r="J17" s="211"/>
      <c r="K17" s="212"/>
      <c r="L17" s="214"/>
      <c r="M17" s="229"/>
      <c r="N17" s="229"/>
      <c r="O17" s="229"/>
      <c r="P17" s="216"/>
      <c r="Q17" s="213"/>
      <c r="R17" s="211"/>
      <c r="S17" s="211"/>
      <c r="T17" s="211"/>
      <c r="U17" s="212"/>
      <c r="V17" s="213"/>
      <c r="W17" s="211"/>
      <c r="X17" s="211"/>
      <c r="Y17" s="211"/>
      <c r="Z17" s="215"/>
    </row>
    <row r="18" spans="1:26" x14ac:dyDescent="0.3">
      <c r="A18" s="202" t="s">
        <v>59</v>
      </c>
      <c r="B18" s="230"/>
      <c r="C18" s="231"/>
      <c r="D18" s="231"/>
      <c r="E18" s="231"/>
      <c r="F18" s="231"/>
      <c r="G18" s="232"/>
      <c r="H18" s="233"/>
      <c r="I18" s="233"/>
      <c r="J18" s="233"/>
      <c r="K18" s="219"/>
      <c r="L18" s="234"/>
      <c r="M18" s="231"/>
      <c r="N18" s="231"/>
      <c r="O18" s="231"/>
      <c r="P18" s="223"/>
      <c r="Q18" s="232"/>
      <c r="R18" s="233"/>
      <c r="S18" s="233"/>
      <c r="T18" s="233"/>
      <c r="U18" s="219"/>
      <c r="V18" s="232"/>
      <c r="W18" s="233"/>
      <c r="X18" s="233"/>
      <c r="Y18" s="233"/>
      <c r="Z18" s="224"/>
    </row>
    <row r="19" spans="1:26" x14ac:dyDescent="0.3">
      <c r="A19" s="210" t="s">
        <v>62</v>
      </c>
      <c r="B19" s="211">
        <v>0</v>
      </c>
      <c r="C19" s="211">
        <f>projected_production!E9</f>
        <v>560</v>
      </c>
      <c r="D19" s="211">
        <v>0</v>
      </c>
      <c r="E19" s="211">
        <v>0</v>
      </c>
      <c r="F19" s="212">
        <f>SUM(B19:E19)</f>
        <v>560</v>
      </c>
      <c r="G19" s="211">
        <v>0</v>
      </c>
      <c r="H19" s="211">
        <f>projected_production!I9</f>
        <v>882</v>
      </c>
      <c r="I19" s="211">
        <v>0</v>
      </c>
      <c r="J19" s="211">
        <v>0</v>
      </c>
      <c r="K19" s="212">
        <f>SUM(G19:J19)</f>
        <v>882</v>
      </c>
      <c r="L19" s="211">
        <v>0</v>
      </c>
      <c r="M19" s="211">
        <f>projected_production!M9</f>
        <v>2640</v>
      </c>
      <c r="N19" s="211">
        <v>0</v>
      </c>
      <c r="O19" s="211">
        <v>0</v>
      </c>
      <c r="P19" s="216">
        <f>SUM(L19:O19)</f>
        <v>2640</v>
      </c>
      <c r="Q19" s="211">
        <v>0</v>
      </c>
      <c r="R19" s="211">
        <f>projected_production!Q9</f>
        <v>1771.0000000000002</v>
      </c>
      <c r="S19" s="211">
        <v>0</v>
      </c>
      <c r="T19" s="211">
        <v>0</v>
      </c>
      <c r="U19" s="212">
        <f>SUM(Q19:T19)</f>
        <v>1771.0000000000002</v>
      </c>
      <c r="V19" s="211">
        <v>0</v>
      </c>
      <c r="W19" s="211">
        <f>projected_production!U9</f>
        <v>2184</v>
      </c>
      <c r="X19" s="211">
        <v>0</v>
      </c>
      <c r="Y19" s="211">
        <v>0</v>
      </c>
      <c r="Z19" s="215">
        <f>SUM(V19:Y19)</f>
        <v>2184</v>
      </c>
    </row>
    <row r="20" spans="1:26" x14ac:dyDescent="0.3">
      <c r="A20" s="210" t="s">
        <v>44</v>
      </c>
      <c r="B20" s="211">
        <v>0</v>
      </c>
      <c r="C20" s="211">
        <v>0</v>
      </c>
      <c r="D20" s="211">
        <v>0</v>
      </c>
      <c r="E20" s="211">
        <f>projected_production!G13</f>
        <v>1925</v>
      </c>
      <c r="F20" s="212">
        <f>SUM(B20:E20)</f>
        <v>1925</v>
      </c>
      <c r="G20" s="211">
        <v>0</v>
      </c>
      <c r="H20" s="211">
        <v>0</v>
      </c>
      <c r="I20" s="211">
        <v>0</v>
      </c>
      <c r="J20" s="211">
        <f>projected_production!K13</f>
        <v>2388.75</v>
      </c>
      <c r="K20" s="212">
        <f>SUM(G20:J20)</f>
        <v>2388.75</v>
      </c>
      <c r="L20" s="211">
        <v>0</v>
      </c>
      <c r="M20" s="211">
        <v>0</v>
      </c>
      <c r="N20" s="211">
        <v>0</v>
      </c>
      <c r="O20" s="211">
        <f>projected_production!O13</f>
        <v>2821.875</v>
      </c>
      <c r="P20" s="216">
        <f>SUM(L20:O20)</f>
        <v>2821.875</v>
      </c>
      <c r="Q20" s="211">
        <v>0</v>
      </c>
      <c r="R20" s="211">
        <v>0</v>
      </c>
      <c r="S20" s="211">
        <v>0</v>
      </c>
      <c r="T20" s="211">
        <f>projected_production!S13</f>
        <v>3272.5</v>
      </c>
      <c r="U20" s="212">
        <f>SUM(Q20:T20)</f>
        <v>3272.5</v>
      </c>
      <c r="V20" s="211">
        <v>0</v>
      </c>
      <c r="W20" s="211">
        <v>0</v>
      </c>
      <c r="X20" s="211">
        <v>0</v>
      </c>
      <c r="Y20" s="211">
        <f>projected_production!W13</f>
        <v>4025</v>
      </c>
      <c r="Z20" s="215">
        <f>SUM(V20:Y20)</f>
        <v>4025</v>
      </c>
    </row>
    <row r="21" spans="1:26" x14ac:dyDescent="0.3">
      <c r="A21" s="210" t="s">
        <v>161</v>
      </c>
      <c r="B21" s="211">
        <f>projected_production!D17</f>
        <v>550</v>
      </c>
      <c r="C21" s="211">
        <v>0</v>
      </c>
      <c r="D21" s="211">
        <v>0</v>
      </c>
      <c r="E21" s="211">
        <v>0</v>
      </c>
      <c r="F21" s="212">
        <f>SUM(B21:E21)</f>
        <v>550</v>
      </c>
      <c r="G21" s="211">
        <f>projected_production!H17</f>
        <v>1050</v>
      </c>
      <c r="H21" s="211">
        <v>0</v>
      </c>
      <c r="I21" s="211">
        <v>0</v>
      </c>
      <c r="J21" s="211">
        <v>0</v>
      </c>
      <c r="K21" s="212">
        <f>SUM(G21:J21)</f>
        <v>1050</v>
      </c>
      <c r="L21" s="211">
        <f>projected_production!L17</f>
        <v>1375</v>
      </c>
      <c r="M21" s="211">
        <v>0</v>
      </c>
      <c r="N21" s="211">
        <v>0</v>
      </c>
      <c r="O21" s="211">
        <v>0</v>
      </c>
      <c r="P21" s="216">
        <f>SUM(L21:O21)</f>
        <v>1375</v>
      </c>
      <c r="Q21" s="211">
        <f>projected_production!P17</f>
        <v>1725</v>
      </c>
      <c r="R21" s="211">
        <v>0</v>
      </c>
      <c r="S21" s="211">
        <v>0</v>
      </c>
      <c r="T21" s="211">
        <v>0</v>
      </c>
      <c r="U21" s="212">
        <f>SUM(Q21:T21)</f>
        <v>1725</v>
      </c>
      <c r="V21" s="211">
        <f>projected_production!T17</f>
        <v>2100</v>
      </c>
      <c r="W21" s="211">
        <v>0</v>
      </c>
      <c r="X21" s="211">
        <v>0</v>
      </c>
      <c r="Y21" s="211">
        <v>0</v>
      </c>
      <c r="Z21" s="215">
        <f>SUM(V21:Y21)</f>
        <v>2100</v>
      </c>
    </row>
    <row r="22" spans="1:26" x14ac:dyDescent="0.3">
      <c r="A22" s="210" t="s">
        <v>41</v>
      </c>
      <c r="B22" s="235">
        <v>0</v>
      </c>
      <c r="C22" s="235">
        <v>0</v>
      </c>
      <c r="D22" s="235">
        <v>0</v>
      </c>
      <c r="E22" s="211">
        <f>projected_production!G21</f>
        <v>600</v>
      </c>
      <c r="F22" s="212">
        <f>SUM(B22:E22)</f>
        <v>600</v>
      </c>
      <c r="G22" s="235">
        <v>0</v>
      </c>
      <c r="H22" s="235">
        <v>0</v>
      </c>
      <c r="I22" s="235">
        <v>0</v>
      </c>
      <c r="J22" s="211">
        <f>projected_production!K21</f>
        <v>1230</v>
      </c>
      <c r="K22" s="212">
        <f>SUM(G22:J22)</f>
        <v>1230</v>
      </c>
      <c r="L22" s="235">
        <v>0</v>
      </c>
      <c r="M22" s="235">
        <v>0</v>
      </c>
      <c r="N22" s="235">
        <v>0</v>
      </c>
      <c r="O22" s="211">
        <f>projected_production!O21</f>
        <v>1890</v>
      </c>
      <c r="P22" s="216">
        <f>SUM(L22:O22)</f>
        <v>1890</v>
      </c>
      <c r="Q22" s="235">
        <v>0</v>
      </c>
      <c r="R22" s="235">
        <v>0</v>
      </c>
      <c r="S22" s="235">
        <v>0</v>
      </c>
      <c r="T22" s="211">
        <f>projected_production!S21</f>
        <v>3300</v>
      </c>
      <c r="U22" s="212">
        <f>SUM(Q22:T22)</f>
        <v>3300</v>
      </c>
      <c r="V22" s="235">
        <v>0</v>
      </c>
      <c r="W22" s="235">
        <v>0</v>
      </c>
      <c r="X22" s="235">
        <v>0</v>
      </c>
      <c r="Y22" s="211">
        <f>projected_production!W21</f>
        <v>4050</v>
      </c>
      <c r="Z22" s="215">
        <f>SUM(V22:Y22)</f>
        <v>4050</v>
      </c>
    </row>
    <row r="23" spans="1:26" x14ac:dyDescent="0.3">
      <c r="A23" s="236" t="s">
        <v>162</v>
      </c>
      <c r="B23" s="237"/>
      <c r="C23" s="237"/>
      <c r="D23" s="237"/>
      <c r="E23" s="237"/>
      <c r="F23" s="238"/>
      <c r="G23" s="239"/>
      <c r="H23" s="33"/>
      <c r="I23" s="33"/>
      <c r="J23" s="33"/>
      <c r="K23" s="219"/>
      <c r="L23" s="240"/>
      <c r="M23" s="237"/>
      <c r="N23" s="237"/>
      <c r="O23" s="237"/>
      <c r="P23" s="223"/>
      <c r="Q23" s="239"/>
      <c r="R23" s="33"/>
      <c r="S23" s="33"/>
      <c r="T23" s="33"/>
      <c r="U23" s="219"/>
      <c r="V23" s="239"/>
      <c r="W23" s="33"/>
      <c r="X23" s="33"/>
      <c r="Y23" s="33"/>
      <c r="Z23" s="224"/>
    </row>
    <row r="24" spans="1:26" x14ac:dyDescent="0.3">
      <c r="A24" s="210" t="s">
        <v>62</v>
      </c>
      <c r="B24" s="211">
        <v>0</v>
      </c>
      <c r="C24" s="211">
        <f>projected_production!E26</f>
        <v>9746.8000000000011</v>
      </c>
      <c r="D24" s="211">
        <v>0</v>
      </c>
      <c r="E24" s="211">
        <v>0</v>
      </c>
      <c r="F24" s="212">
        <f>SUM(B24:E24)</f>
        <v>9746.8000000000011</v>
      </c>
      <c r="G24" s="211">
        <v>0</v>
      </c>
      <c r="H24" s="211">
        <f>projected_production!I26</f>
        <v>17220</v>
      </c>
      <c r="I24" s="211">
        <v>0</v>
      </c>
      <c r="J24" s="211">
        <v>0</v>
      </c>
      <c r="K24" s="212">
        <f>SUM(G24:J24)</f>
        <v>17220</v>
      </c>
      <c r="L24" s="211">
        <v>0</v>
      </c>
      <c r="M24" s="211">
        <f>projected_production!M26</f>
        <v>22050</v>
      </c>
      <c r="N24" s="211">
        <v>0</v>
      </c>
      <c r="O24" s="211">
        <v>0</v>
      </c>
      <c r="P24" s="216">
        <f>SUM(L24:O24)</f>
        <v>22050</v>
      </c>
      <c r="Q24" s="211">
        <v>0</v>
      </c>
      <c r="R24" s="211">
        <f>projected_production!Q26</f>
        <v>25585</v>
      </c>
      <c r="S24" s="211">
        <v>0</v>
      </c>
      <c r="T24" s="211">
        <v>0</v>
      </c>
      <c r="U24" s="212">
        <f>SUM(Q24:T24)</f>
        <v>25585</v>
      </c>
      <c r="V24" s="211">
        <v>0</v>
      </c>
      <c r="W24" s="211">
        <f>projected_production!U26</f>
        <v>30800</v>
      </c>
      <c r="X24" s="211">
        <v>0</v>
      </c>
      <c r="Y24" s="211">
        <v>0</v>
      </c>
      <c r="Z24" s="215">
        <f>SUM(V24:Y24)</f>
        <v>30800</v>
      </c>
    </row>
    <row r="25" spans="1:26" x14ac:dyDescent="0.3">
      <c r="A25" s="210" t="s">
        <v>38</v>
      </c>
      <c r="B25" s="211">
        <v>0</v>
      </c>
      <c r="C25" s="211">
        <v>0</v>
      </c>
      <c r="D25" s="211">
        <v>0</v>
      </c>
      <c r="E25" s="211">
        <f>projected_production!G30</f>
        <v>18000</v>
      </c>
      <c r="F25" s="212">
        <f>SUM(B25:E25)</f>
        <v>18000</v>
      </c>
      <c r="G25" s="211">
        <v>0</v>
      </c>
      <c r="H25" s="211">
        <v>0</v>
      </c>
      <c r="I25" s="211">
        <v>0</v>
      </c>
      <c r="J25" s="211">
        <f>projected_production!K30</f>
        <v>25200</v>
      </c>
      <c r="K25" s="212">
        <f>SUM(G25:J25)</f>
        <v>25200</v>
      </c>
      <c r="L25" s="211">
        <v>0</v>
      </c>
      <c r="M25" s="211">
        <v>0</v>
      </c>
      <c r="N25" s="211">
        <v>0</v>
      </c>
      <c r="O25" s="211">
        <f>projected_production!O30</f>
        <v>33000</v>
      </c>
      <c r="P25" s="216">
        <f>SUM(L25:O25)</f>
        <v>33000</v>
      </c>
      <c r="Q25" s="211">
        <v>0</v>
      </c>
      <c r="R25" s="211">
        <v>0</v>
      </c>
      <c r="S25" s="211">
        <v>0</v>
      </c>
      <c r="T25" s="211">
        <f>projected_production!S30</f>
        <v>43125</v>
      </c>
      <c r="U25" s="212">
        <f>SUM(Q25:T25)</f>
        <v>43125</v>
      </c>
      <c r="V25" s="211">
        <v>0</v>
      </c>
      <c r="W25" s="211">
        <v>0</v>
      </c>
      <c r="X25" s="211">
        <v>0</v>
      </c>
      <c r="Y25" s="211">
        <f>projected_production!W30</f>
        <v>50400</v>
      </c>
      <c r="Z25" s="215">
        <f>SUM(V25:Y25)</f>
        <v>50400</v>
      </c>
    </row>
    <row r="26" spans="1:26" x14ac:dyDescent="0.3">
      <c r="A26" s="210" t="s">
        <v>161</v>
      </c>
      <c r="B26" s="211">
        <f>projected_production!F34</f>
        <v>3920.625</v>
      </c>
      <c r="C26" s="211">
        <v>0</v>
      </c>
      <c r="D26" s="256">
        <v>0</v>
      </c>
      <c r="E26" s="211">
        <v>0</v>
      </c>
      <c r="F26" s="212">
        <f>SUM(B26:E26)</f>
        <v>3920.625</v>
      </c>
      <c r="G26" s="211">
        <f>projected_production!J34</f>
        <v>4725</v>
      </c>
      <c r="H26" s="211">
        <v>0</v>
      </c>
      <c r="I26" s="257">
        <v>0</v>
      </c>
      <c r="J26" s="211">
        <v>0</v>
      </c>
      <c r="K26" s="212">
        <f>SUM(G26:J26)</f>
        <v>4725</v>
      </c>
      <c r="L26" s="211">
        <f>projected_production!N34</f>
        <v>7256.25</v>
      </c>
      <c r="M26" s="211">
        <v>0</v>
      </c>
      <c r="N26" s="256">
        <v>0</v>
      </c>
      <c r="O26" s="211">
        <v>0</v>
      </c>
      <c r="P26" s="216">
        <f>SUM(L26:O26)</f>
        <v>7256.25</v>
      </c>
      <c r="Q26" s="211">
        <f>projected_production!R34</f>
        <v>9900</v>
      </c>
      <c r="R26" s="211">
        <v>0</v>
      </c>
      <c r="S26" s="257">
        <v>0</v>
      </c>
      <c r="T26" s="211">
        <v>0</v>
      </c>
      <c r="U26" s="212">
        <f>SUM(Q26:T26)</f>
        <v>9900</v>
      </c>
      <c r="V26" s="211">
        <f>projected_production!V34</f>
        <v>15187.5</v>
      </c>
      <c r="W26" s="211">
        <v>0</v>
      </c>
      <c r="X26" s="257">
        <v>0</v>
      </c>
      <c r="Y26" s="211">
        <v>0</v>
      </c>
      <c r="Z26" s="215">
        <f>SUM(V26:Y26)</f>
        <v>15187.5</v>
      </c>
    </row>
    <row r="27" spans="1:26" ht="15" thickBot="1" x14ac:dyDescent="0.35">
      <c r="A27" s="210" t="s">
        <v>41</v>
      </c>
      <c r="B27" s="211">
        <v>0</v>
      </c>
      <c r="D27" s="211">
        <v>0</v>
      </c>
      <c r="E27" s="211">
        <f>projected_production!G38</f>
        <v>1650</v>
      </c>
      <c r="F27" s="212">
        <f>SUM(B27:E27)</f>
        <v>1650</v>
      </c>
      <c r="G27" s="211">
        <v>0</v>
      </c>
      <c r="I27" s="211">
        <v>0</v>
      </c>
      <c r="J27" s="211">
        <f>projected_production!K38</f>
        <v>2818.75</v>
      </c>
      <c r="K27" s="212">
        <f>SUM(G27:J27)</f>
        <v>2818.75</v>
      </c>
      <c r="L27" s="211">
        <v>0</v>
      </c>
      <c r="N27" s="211">
        <v>0</v>
      </c>
      <c r="O27" s="211">
        <f>projected_production!O38</f>
        <v>4620</v>
      </c>
      <c r="P27" s="216">
        <f>SUM(L27:O27)</f>
        <v>4620</v>
      </c>
      <c r="Q27" s="211">
        <v>0</v>
      </c>
      <c r="S27" s="211">
        <v>0</v>
      </c>
      <c r="T27" s="211">
        <f>projected_production!S38</f>
        <v>7260</v>
      </c>
      <c r="U27" s="212">
        <f>SUM(Q27:T27)</f>
        <v>7260</v>
      </c>
      <c r="V27" s="211">
        <v>0</v>
      </c>
      <c r="X27" s="211">
        <v>0</v>
      </c>
      <c r="Y27" s="211">
        <f>projected_production!W38</f>
        <v>8222.5</v>
      </c>
      <c r="Z27" s="215">
        <f>SUM(V27:Y27)</f>
        <v>8222.5</v>
      </c>
    </row>
    <row r="28" spans="1:26" x14ac:dyDescent="0.3">
      <c r="A28" s="241" t="s">
        <v>166</v>
      </c>
      <c r="B28" s="242">
        <f t="shared" ref="B28:Z28" si="1">SUM(B19:B27)</f>
        <v>4470.625</v>
      </c>
      <c r="C28" s="242">
        <f t="shared" si="1"/>
        <v>10306.800000000001</v>
      </c>
      <c r="D28" s="242">
        <f t="shared" si="1"/>
        <v>0</v>
      </c>
      <c r="E28" s="242">
        <f>SUM(E19:E27)</f>
        <v>22175</v>
      </c>
      <c r="F28" s="242">
        <f t="shared" si="1"/>
        <v>36952.425000000003</v>
      </c>
      <c r="G28" s="242">
        <f t="shared" si="1"/>
        <v>5775</v>
      </c>
      <c r="H28" s="242">
        <f t="shared" si="1"/>
        <v>18102</v>
      </c>
      <c r="I28" s="242">
        <f t="shared" si="1"/>
        <v>0</v>
      </c>
      <c r="J28" s="242">
        <f t="shared" si="1"/>
        <v>31637.5</v>
      </c>
      <c r="K28" s="243">
        <f t="shared" si="1"/>
        <v>55514.5</v>
      </c>
      <c r="L28" s="243">
        <f t="shared" si="1"/>
        <v>8631.25</v>
      </c>
      <c r="M28" s="243">
        <f t="shared" si="1"/>
        <v>24690</v>
      </c>
      <c r="N28" s="243">
        <f t="shared" si="1"/>
        <v>0</v>
      </c>
      <c r="O28" s="243">
        <f t="shared" si="1"/>
        <v>42331.875</v>
      </c>
      <c r="P28" s="242">
        <f t="shared" si="1"/>
        <v>75653.125</v>
      </c>
      <c r="Q28" s="242">
        <f t="shared" si="1"/>
        <v>11625</v>
      </c>
      <c r="R28" s="242">
        <f t="shared" si="1"/>
        <v>27356</v>
      </c>
      <c r="S28" s="242">
        <f t="shared" si="1"/>
        <v>0</v>
      </c>
      <c r="T28" s="242">
        <f t="shared" si="1"/>
        <v>56957.5</v>
      </c>
      <c r="U28" s="242">
        <f t="shared" si="1"/>
        <v>95938.5</v>
      </c>
      <c r="V28" s="242">
        <f t="shared" si="1"/>
        <v>17287.5</v>
      </c>
      <c r="W28" s="242">
        <f t="shared" si="1"/>
        <v>32984</v>
      </c>
      <c r="X28" s="242">
        <f t="shared" si="1"/>
        <v>0</v>
      </c>
      <c r="Y28" s="242">
        <f t="shared" si="1"/>
        <v>66697.5</v>
      </c>
      <c r="Z28" s="242">
        <f t="shared" si="1"/>
        <v>116969</v>
      </c>
    </row>
  </sheetData>
  <mergeCells count="5">
    <mergeCell ref="B1:E1"/>
    <mergeCell ref="G1:J1"/>
    <mergeCell ref="L1:O1"/>
    <mergeCell ref="Q1:T1"/>
    <mergeCell ref="V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A13" sqref="A13"/>
    </sheetView>
  </sheetViews>
  <sheetFormatPr defaultRowHeight="14.4" x14ac:dyDescent="0.3"/>
  <cols>
    <col min="2" max="2" width="9.109375" bestFit="1" customWidth="1"/>
    <col min="5" max="5" width="9.6640625" bestFit="1" customWidth="1"/>
    <col min="7" max="7" width="9.109375" bestFit="1" customWidth="1"/>
    <col min="10" max="10" width="9.109375" bestFit="1" customWidth="1"/>
    <col min="12" max="12" width="9.109375" bestFit="1" customWidth="1"/>
    <col min="15" max="15" width="9.109375" bestFit="1" customWidth="1"/>
    <col min="17" max="17" width="9.109375" bestFit="1" customWidth="1"/>
    <col min="20" max="20" width="9.109375" bestFit="1" customWidth="1"/>
    <col min="22" max="22" width="10.109375" bestFit="1" customWidth="1"/>
    <col min="25" max="25" width="9.109375" bestFit="1" customWidth="1"/>
  </cols>
  <sheetData>
    <row r="1" spans="1:26" x14ac:dyDescent="0.3">
      <c r="B1" t="s">
        <v>247</v>
      </c>
      <c r="G1" t="s">
        <v>248</v>
      </c>
      <c r="L1" t="s">
        <v>249</v>
      </c>
      <c r="Q1" t="s">
        <v>250</v>
      </c>
      <c r="V1" t="s">
        <v>251</v>
      </c>
    </row>
    <row r="2" spans="1:26" x14ac:dyDescent="0.3">
      <c r="B2" t="s">
        <v>1</v>
      </c>
      <c r="C2" t="s">
        <v>2</v>
      </c>
      <c r="D2" t="s">
        <v>3</v>
      </c>
      <c r="E2" t="s">
        <v>4</v>
      </c>
      <c r="F2" t="s">
        <v>255</v>
      </c>
      <c r="G2" t="s">
        <v>5</v>
      </c>
      <c r="H2" t="s">
        <v>6</v>
      </c>
      <c r="I2" t="s">
        <v>7</v>
      </c>
      <c r="J2" t="s">
        <v>8</v>
      </c>
      <c r="K2" t="s">
        <v>256</v>
      </c>
      <c r="L2" t="s">
        <v>9</v>
      </c>
      <c r="M2" t="s">
        <v>10</v>
      </c>
      <c r="N2" t="s">
        <v>11</v>
      </c>
      <c r="O2" t="s">
        <v>12</v>
      </c>
      <c r="P2" t="s">
        <v>257</v>
      </c>
      <c r="Q2" t="s">
        <v>13</v>
      </c>
      <c r="R2" t="s">
        <v>14</v>
      </c>
      <c r="S2" t="s">
        <v>15</v>
      </c>
      <c r="T2" t="s">
        <v>16</v>
      </c>
      <c r="U2" t="s">
        <v>258</v>
      </c>
      <c r="V2" t="s">
        <v>17</v>
      </c>
      <c r="W2" t="s">
        <v>18</v>
      </c>
      <c r="X2" t="s">
        <v>19</v>
      </c>
      <c r="Y2" t="s">
        <v>20</v>
      </c>
      <c r="Z2" t="s">
        <v>259</v>
      </c>
    </row>
    <row r="3" spans="1:26" x14ac:dyDescent="0.3">
      <c r="A3" t="s">
        <v>167</v>
      </c>
      <c r="B3">
        <v>240</v>
      </c>
      <c r="C3">
        <f>+B3</f>
        <v>240</v>
      </c>
      <c r="D3">
        <f>+B3</f>
        <v>240</v>
      </c>
      <c r="E3">
        <f>+C3</f>
        <v>240</v>
      </c>
      <c r="F3">
        <f t="shared" ref="F3:F10" si="0">SUM(B3:E3)</f>
        <v>960</v>
      </c>
      <c r="G3">
        <f>D3*1.1</f>
        <v>264</v>
      </c>
      <c r="H3">
        <f>G3</f>
        <v>264</v>
      </c>
      <c r="I3">
        <f>H3</f>
        <v>264</v>
      </c>
      <c r="J3">
        <f>I3</f>
        <v>264</v>
      </c>
      <c r="K3">
        <f t="shared" ref="K3:K10" si="1">SUM(G3:J3)</f>
        <v>1056</v>
      </c>
      <c r="L3">
        <f>I3*1.1</f>
        <v>290.40000000000003</v>
      </c>
      <c r="M3">
        <f>L3</f>
        <v>290.40000000000003</v>
      </c>
      <c r="N3">
        <f>M3</f>
        <v>290.40000000000003</v>
      </c>
      <c r="O3">
        <f>N3</f>
        <v>290.40000000000003</v>
      </c>
      <c r="P3">
        <f t="shared" ref="P3:P13" si="2">SUM(L3:O3)</f>
        <v>1161.6000000000001</v>
      </c>
      <c r="Q3">
        <f>N3*1.1</f>
        <v>319.44000000000005</v>
      </c>
      <c r="R3">
        <f>Q3</f>
        <v>319.44000000000005</v>
      </c>
      <c r="S3">
        <f>R3</f>
        <v>319.44000000000005</v>
      </c>
      <c r="T3">
        <f>S3</f>
        <v>319.44000000000005</v>
      </c>
      <c r="U3">
        <f t="shared" ref="U3:U10" si="3">SUM(Q3:T3)</f>
        <v>1277.7600000000002</v>
      </c>
      <c r="V3">
        <f>S3*1.1</f>
        <v>351.38400000000007</v>
      </c>
      <c r="W3">
        <f t="shared" ref="W3:X5" si="4">V3</f>
        <v>351.38400000000007</v>
      </c>
      <c r="X3">
        <f t="shared" si="4"/>
        <v>351.38400000000007</v>
      </c>
      <c r="Y3">
        <f>T3*1.05</f>
        <v>335.41200000000009</v>
      </c>
      <c r="Z3">
        <f t="shared" ref="Z3:Z10" si="5">SUM(V3:Y3)</f>
        <v>1389.5640000000003</v>
      </c>
    </row>
    <row r="4" spans="1:26" x14ac:dyDescent="0.3">
      <c r="A4" t="s">
        <v>168</v>
      </c>
      <c r="B4">
        <v>60</v>
      </c>
      <c r="C4">
        <f>B4</f>
        <v>60</v>
      </c>
      <c r="D4">
        <f>C4</f>
        <v>60</v>
      </c>
      <c r="E4">
        <v>80</v>
      </c>
      <c r="F4">
        <f t="shared" si="0"/>
        <v>260</v>
      </c>
      <c r="G4">
        <f>D4*1.05</f>
        <v>63</v>
      </c>
      <c r="H4">
        <f>G4</f>
        <v>63</v>
      </c>
      <c r="I4">
        <f>H4</f>
        <v>63</v>
      </c>
      <c r="J4">
        <f>E4*1.05</f>
        <v>84</v>
      </c>
      <c r="K4">
        <f t="shared" si="1"/>
        <v>273</v>
      </c>
      <c r="L4">
        <f>I4*1.05</f>
        <v>66.150000000000006</v>
      </c>
      <c r="M4">
        <f>L4</f>
        <v>66.150000000000006</v>
      </c>
      <c r="N4">
        <f>M4</f>
        <v>66.150000000000006</v>
      </c>
      <c r="O4">
        <f>J4*1.05</f>
        <v>88.2</v>
      </c>
      <c r="P4">
        <f t="shared" si="2"/>
        <v>286.65000000000003</v>
      </c>
      <c r="Q4">
        <f>N4*1.05</f>
        <v>69.45750000000001</v>
      </c>
      <c r="R4">
        <f>Q4</f>
        <v>69.45750000000001</v>
      </c>
      <c r="S4">
        <f>R4</f>
        <v>69.45750000000001</v>
      </c>
      <c r="T4">
        <f>O4*1.05</f>
        <v>92.610000000000014</v>
      </c>
      <c r="U4">
        <f t="shared" si="3"/>
        <v>300.98250000000007</v>
      </c>
      <c r="V4">
        <f>S4*1.1</f>
        <v>76.403250000000014</v>
      </c>
      <c r="W4">
        <f t="shared" si="4"/>
        <v>76.403250000000014</v>
      </c>
      <c r="X4">
        <f t="shared" si="4"/>
        <v>76.403250000000014</v>
      </c>
      <c r="Y4">
        <f>T4*1.05</f>
        <v>97.240500000000011</v>
      </c>
      <c r="Z4">
        <f t="shared" si="5"/>
        <v>326.45025000000004</v>
      </c>
    </row>
    <row r="5" spans="1:26" x14ac:dyDescent="0.3">
      <c r="A5" t="s">
        <v>168</v>
      </c>
      <c r="B5">
        <v>60</v>
      </c>
      <c r="C5">
        <f>B5</f>
        <v>60</v>
      </c>
      <c r="D5">
        <f>C5</f>
        <v>60</v>
      </c>
      <c r="E5">
        <v>80</v>
      </c>
      <c r="F5">
        <f>SUM(B5:E5)</f>
        <v>260</v>
      </c>
      <c r="G5">
        <f>D5*1.05</f>
        <v>63</v>
      </c>
      <c r="H5">
        <f>G5</f>
        <v>63</v>
      </c>
      <c r="I5">
        <f>H5</f>
        <v>63</v>
      </c>
      <c r="J5">
        <f>E5*1.05</f>
        <v>84</v>
      </c>
      <c r="K5">
        <f>SUM(G5:J5)</f>
        <v>273</v>
      </c>
      <c r="L5">
        <f>I5*1.05</f>
        <v>66.150000000000006</v>
      </c>
      <c r="M5">
        <f>L5</f>
        <v>66.150000000000006</v>
      </c>
      <c r="N5">
        <f>M5</f>
        <v>66.150000000000006</v>
      </c>
      <c r="O5">
        <f>J5*1.05</f>
        <v>88.2</v>
      </c>
      <c r="P5">
        <f>SUM(L5:O5)</f>
        <v>286.65000000000003</v>
      </c>
      <c r="Q5">
        <f>N5*1.05</f>
        <v>69.45750000000001</v>
      </c>
      <c r="R5">
        <f>Q5</f>
        <v>69.45750000000001</v>
      </c>
      <c r="S5">
        <f>R5</f>
        <v>69.45750000000001</v>
      </c>
      <c r="T5">
        <f>O5*1.05</f>
        <v>92.610000000000014</v>
      </c>
      <c r="U5">
        <f>SUM(Q5:T5)</f>
        <v>300.98250000000007</v>
      </c>
      <c r="V5">
        <f>S5*1.1</f>
        <v>76.403250000000014</v>
      </c>
      <c r="W5">
        <f t="shared" si="4"/>
        <v>76.403250000000014</v>
      </c>
      <c r="X5">
        <f t="shared" si="4"/>
        <v>76.403250000000014</v>
      </c>
      <c r="Y5">
        <f>T5*1.05</f>
        <v>97.240500000000011</v>
      </c>
      <c r="Z5">
        <f>SUM(V5:Y5)</f>
        <v>326.45025000000004</v>
      </c>
    </row>
    <row r="6" spans="1:26" x14ac:dyDescent="0.3">
      <c r="A6" t="s">
        <v>169</v>
      </c>
      <c r="B6">
        <v>72</v>
      </c>
      <c r="C6">
        <v>216</v>
      </c>
      <c r="D6">
        <v>216</v>
      </c>
      <c r="E6">
        <v>216</v>
      </c>
      <c r="F6">
        <f t="shared" si="0"/>
        <v>720</v>
      </c>
      <c r="G6">
        <f>B6*1.1</f>
        <v>79.2</v>
      </c>
      <c r="H6">
        <f>C6*1.1</f>
        <v>237.60000000000002</v>
      </c>
      <c r="I6">
        <f>D6*1.1</f>
        <v>237.60000000000002</v>
      </c>
      <c r="J6">
        <f>E6*1.1</f>
        <v>237.60000000000002</v>
      </c>
      <c r="K6">
        <f t="shared" si="1"/>
        <v>792.00000000000011</v>
      </c>
      <c r="L6">
        <f>G6*1.1</f>
        <v>87.12</v>
      </c>
      <c r="M6">
        <f>H6*1.1</f>
        <v>261.36000000000007</v>
      </c>
      <c r="N6">
        <f>I6*1.1</f>
        <v>261.36000000000007</v>
      </c>
      <c r="O6">
        <f>J6*1.1</f>
        <v>261.36000000000007</v>
      </c>
      <c r="P6">
        <f t="shared" si="2"/>
        <v>871.20000000000027</v>
      </c>
      <c r="Q6">
        <f>L6*1.1</f>
        <v>95.832000000000008</v>
      </c>
      <c r="R6">
        <f>M6*1.1</f>
        <v>287.49600000000009</v>
      </c>
      <c r="S6">
        <f>N6*1.1</f>
        <v>287.49600000000009</v>
      </c>
      <c r="T6">
        <f>O6*1.1</f>
        <v>287.49600000000009</v>
      </c>
      <c r="U6">
        <f t="shared" si="3"/>
        <v>958.32000000000028</v>
      </c>
      <c r="V6">
        <f>Q6*1.1</f>
        <v>105.41520000000001</v>
      </c>
      <c r="W6">
        <f>R6*1.1</f>
        <v>316.24560000000014</v>
      </c>
      <c r="X6">
        <f>S6*1.1</f>
        <v>316.24560000000014</v>
      </c>
      <c r="Y6">
        <f>T6*1.1</f>
        <v>316.24560000000014</v>
      </c>
      <c r="Z6">
        <f t="shared" si="5"/>
        <v>1054.1520000000005</v>
      </c>
    </row>
    <row r="7" spans="1:26" x14ac:dyDescent="0.3">
      <c r="A7" t="s">
        <v>170</v>
      </c>
      <c r="B7">
        <v>60</v>
      </c>
      <c r="C7">
        <v>75</v>
      </c>
      <c r="D7">
        <v>75</v>
      </c>
      <c r="E7">
        <v>80</v>
      </c>
      <c r="F7">
        <f t="shared" si="0"/>
        <v>290</v>
      </c>
      <c r="G7">
        <v>80</v>
      </c>
      <c r="H7">
        <v>80</v>
      </c>
      <c r="I7">
        <v>80</v>
      </c>
      <c r="J7">
        <v>80</v>
      </c>
      <c r="K7">
        <f t="shared" si="1"/>
        <v>320</v>
      </c>
      <c r="L7">
        <v>80</v>
      </c>
      <c r="M7">
        <v>80</v>
      </c>
      <c r="N7">
        <v>80</v>
      </c>
      <c r="O7">
        <v>80</v>
      </c>
      <c r="P7">
        <f t="shared" si="2"/>
        <v>320</v>
      </c>
      <c r="Q7">
        <v>90</v>
      </c>
      <c r="R7">
        <v>90</v>
      </c>
      <c r="S7">
        <v>90</v>
      </c>
      <c r="T7">
        <v>90</v>
      </c>
      <c r="U7">
        <f t="shared" si="3"/>
        <v>360</v>
      </c>
      <c r="V7">
        <v>90</v>
      </c>
      <c r="W7">
        <v>90</v>
      </c>
      <c r="X7">
        <v>90</v>
      </c>
      <c r="Y7">
        <v>90</v>
      </c>
      <c r="Z7">
        <f t="shared" si="5"/>
        <v>360</v>
      </c>
    </row>
    <row r="8" spans="1:26" x14ac:dyDescent="0.3">
      <c r="A8" t="s">
        <v>171</v>
      </c>
      <c r="B8">
        <v>10</v>
      </c>
      <c r="C8">
        <v>20</v>
      </c>
      <c r="D8">
        <v>20</v>
      </c>
      <c r="E8">
        <v>20</v>
      </c>
      <c r="F8">
        <f t="shared" si="0"/>
        <v>70</v>
      </c>
      <c r="G8">
        <v>25</v>
      </c>
      <c r="H8">
        <v>25</v>
      </c>
      <c r="I8">
        <v>25</v>
      </c>
      <c r="J8">
        <v>25</v>
      </c>
      <c r="K8">
        <f t="shared" si="1"/>
        <v>100</v>
      </c>
      <c r="L8">
        <v>30</v>
      </c>
      <c r="M8">
        <v>30</v>
      </c>
      <c r="N8">
        <v>30</v>
      </c>
      <c r="O8">
        <v>30</v>
      </c>
      <c r="P8">
        <f t="shared" si="2"/>
        <v>120</v>
      </c>
      <c r="Q8">
        <v>35</v>
      </c>
      <c r="R8">
        <v>35</v>
      </c>
      <c r="S8">
        <v>35</v>
      </c>
      <c r="T8">
        <v>35</v>
      </c>
      <c r="U8">
        <f t="shared" si="3"/>
        <v>140</v>
      </c>
      <c r="V8">
        <v>40</v>
      </c>
      <c r="W8">
        <v>40</v>
      </c>
      <c r="X8">
        <v>40</v>
      </c>
      <c r="Y8">
        <v>40</v>
      </c>
      <c r="Z8">
        <f t="shared" si="5"/>
        <v>160</v>
      </c>
    </row>
    <row r="9" spans="1:26" x14ac:dyDescent="0.3">
      <c r="A9" t="s">
        <v>172</v>
      </c>
      <c r="B9">
        <v>15</v>
      </c>
      <c r="C9">
        <v>20</v>
      </c>
      <c r="D9">
        <v>20</v>
      </c>
      <c r="E9">
        <v>20</v>
      </c>
      <c r="F9">
        <f t="shared" si="0"/>
        <v>75</v>
      </c>
      <c r="G9">
        <v>25</v>
      </c>
      <c r="H9">
        <v>25</v>
      </c>
      <c r="I9">
        <v>25</v>
      </c>
      <c r="J9">
        <v>25</v>
      </c>
      <c r="K9">
        <f t="shared" si="1"/>
        <v>100</v>
      </c>
      <c r="L9">
        <v>25</v>
      </c>
      <c r="M9">
        <v>25</v>
      </c>
      <c r="N9">
        <v>25</v>
      </c>
      <c r="O9">
        <v>25</v>
      </c>
      <c r="P9">
        <f t="shared" si="2"/>
        <v>100</v>
      </c>
      <c r="Q9">
        <v>25</v>
      </c>
      <c r="R9">
        <v>25</v>
      </c>
      <c r="S9">
        <v>25</v>
      </c>
      <c r="T9">
        <v>25</v>
      </c>
      <c r="U9">
        <f t="shared" si="3"/>
        <v>100</v>
      </c>
      <c r="V9">
        <v>30</v>
      </c>
      <c r="W9">
        <v>30</v>
      </c>
      <c r="X9">
        <v>30</v>
      </c>
      <c r="Y9">
        <v>30</v>
      </c>
      <c r="Z9">
        <f t="shared" si="5"/>
        <v>120</v>
      </c>
    </row>
    <row r="10" spans="1:26" x14ac:dyDescent="0.3">
      <c r="A10" t="s">
        <v>173</v>
      </c>
      <c r="B10">
        <v>30</v>
      </c>
      <c r="C10">
        <v>30</v>
      </c>
      <c r="D10">
        <v>30</v>
      </c>
      <c r="E10">
        <v>30</v>
      </c>
      <c r="F10">
        <f t="shared" si="0"/>
        <v>120</v>
      </c>
      <c r="G10">
        <v>40</v>
      </c>
      <c r="H10">
        <v>40</v>
      </c>
      <c r="I10">
        <v>40</v>
      </c>
      <c r="J10">
        <v>40</v>
      </c>
      <c r="K10">
        <f t="shared" si="1"/>
        <v>160</v>
      </c>
      <c r="L10">
        <v>45</v>
      </c>
      <c r="M10">
        <v>45</v>
      </c>
      <c r="N10">
        <v>45</v>
      </c>
      <c r="O10">
        <v>45</v>
      </c>
      <c r="P10">
        <f t="shared" si="2"/>
        <v>180</v>
      </c>
      <c r="Q10">
        <v>50</v>
      </c>
      <c r="R10">
        <v>50</v>
      </c>
      <c r="S10">
        <v>50</v>
      </c>
      <c r="T10">
        <v>50</v>
      </c>
      <c r="U10">
        <f t="shared" si="3"/>
        <v>200</v>
      </c>
      <c r="V10">
        <v>55</v>
      </c>
      <c r="W10">
        <v>55</v>
      </c>
      <c r="X10">
        <v>55</v>
      </c>
      <c r="Y10">
        <v>55</v>
      </c>
      <c r="Z10">
        <f t="shared" si="5"/>
        <v>220</v>
      </c>
    </row>
    <row r="11" spans="1:26" x14ac:dyDescent="0.3">
      <c r="A11" t="s">
        <v>254</v>
      </c>
      <c r="B11">
        <f t="shared" ref="B11:Z11" si="6">SUM(B3:B10)</f>
        <v>547</v>
      </c>
      <c r="C11">
        <f t="shared" si="6"/>
        <v>721</v>
      </c>
      <c r="D11">
        <f t="shared" si="6"/>
        <v>721</v>
      </c>
      <c r="E11">
        <f t="shared" si="6"/>
        <v>766</v>
      </c>
      <c r="F11">
        <f t="shared" si="6"/>
        <v>2755</v>
      </c>
      <c r="G11">
        <f t="shared" si="6"/>
        <v>639.20000000000005</v>
      </c>
      <c r="H11">
        <f t="shared" si="6"/>
        <v>797.6</v>
      </c>
      <c r="I11">
        <f t="shared" si="6"/>
        <v>797.6</v>
      </c>
      <c r="J11">
        <f t="shared" si="6"/>
        <v>839.6</v>
      </c>
      <c r="K11">
        <f t="shared" si="6"/>
        <v>3074</v>
      </c>
      <c r="L11">
        <f t="shared" si="6"/>
        <v>689.82</v>
      </c>
      <c r="M11">
        <f t="shared" si="6"/>
        <v>864.06000000000017</v>
      </c>
      <c r="N11">
        <f t="shared" si="6"/>
        <v>864.06000000000017</v>
      </c>
      <c r="O11">
        <f t="shared" si="6"/>
        <v>908.16000000000008</v>
      </c>
      <c r="P11">
        <f t="shared" si="6"/>
        <v>3326.1000000000004</v>
      </c>
      <c r="Q11">
        <f t="shared" si="6"/>
        <v>754.18700000000001</v>
      </c>
      <c r="R11">
        <f t="shared" si="6"/>
        <v>945.85100000000011</v>
      </c>
      <c r="S11">
        <f t="shared" si="6"/>
        <v>945.85100000000011</v>
      </c>
      <c r="T11">
        <f t="shared" si="6"/>
        <v>992.15600000000018</v>
      </c>
      <c r="U11">
        <f t="shared" si="6"/>
        <v>3638.0450000000005</v>
      </c>
      <c r="V11">
        <f t="shared" si="6"/>
        <v>824.60570000000007</v>
      </c>
      <c r="W11">
        <f t="shared" si="6"/>
        <v>1035.4361000000004</v>
      </c>
      <c r="X11">
        <f t="shared" si="6"/>
        <v>1035.4361000000004</v>
      </c>
      <c r="Y11">
        <f t="shared" si="6"/>
        <v>1061.1386000000002</v>
      </c>
      <c r="Z11">
        <f t="shared" si="6"/>
        <v>3956.616500000001</v>
      </c>
    </row>
    <row r="12" spans="1:26" x14ac:dyDescent="0.3">
      <c r="A12" t="s">
        <v>252</v>
      </c>
      <c r="B12" s="254">
        <f>projected_production!E12+projected_production!E20</f>
        <v>3100</v>
      </c>
      <c r="F12">
        <f>SUM(B12:E12)</f>
        <v>3100</v>
      </c>
      <c r="G12" s="254">
        <f>projected_production!I12+projected_production!I20</f>
        <v>4324.25</v>
      </c>
      <c r="K12">
        <f>SUM(G12:J12)</f>
        <v>4324.25</v>
      </c>
      <c r="L12" s="254">
        <f>projected_production!M12+projected_production!M20</f>
        <v>5946.859375</v>
      </c>
      <c r="P12">
        <f t="shared" si="2"/>
        <v>5946.859375</v>
      </c>
      <c r="Q12" s="254">
        <f>projected_production!Q12+projected_production!Q20</f>
        <v>7703.4375</v>
      </c>
      <c r="U12">
        <f>SUM(Q12:T12)</f>
        <v>7703.4375</v>
      </c>
      <c r="V12" s="254">
        <f>projected_production!U12+projected_production!U20</f>
        <v>10553</v>
      </c>
      <c r="Z12">
        <f>SUM(V12:Y12)</f>
        <v>10553</v>
      </c>
    </row>
    <row r="13" spans="1:26" x14ac:dyDescent="0.3">
      <c r="A13" t="s">
        <v>253</v>
      </c>
      <c r="E13" s="254">
        <f>projected_production!G13+projected_production!G21</f>
        <v>2525</v>
      </c>
      <c r="F13">
        <f>SUM(B13:E13)</f>
        <v>2525</v>
      </c>
      <c r="J13" s="254">
        <f>projected_production!K13+projected_production!K21</f>
        <v>3618.75</v>
      </c>
      <c r="K13">
        <f>SUM(G13:J13)</f>
        <v>3618.75</v>
      </c>
      <c r="O13" s="254">
        <f>projected_production!O13+projected_production!O21</f>
        <v>4711.875</v>
      </c>
      <c r="P13">
        <f t="shared" si="2"/>
        <v>4711.875</v>
      </c>
      <c r="T13" s="254">
        <f>projected_production!S13+projected_production!S21</f>
        <v>6572.5</v>
      </c>
      <c r="U13">
        <f>SUM(Q13:T13)</f>
        <v>6572.5</v>
      </c>
      <c r="Y13" s="254">
        <f>projected_production!W13+projected_production!W21</f>
        <v>8075</v>
      </c>
      <c r="Z13">
        <f>SUM(V13:Y13)</f>
        <v>8075</v>
      </c>
    </row>
    <row r="14" spans="1:26" x14ac:dyDescent="0.3">
      <c r="A14" t="s">
        <v>260</v>
      </c>
      <c r="B14" s="255">
        <f>B11+income_statement!B28+B12-B13</f>
        <v>8117.625</v>
      </c>
      <c r="C14" s="255">
        <f>C11+income_statement!C28+C12-C13</f>
        <v>11027.800000000001</v>
      </c>
      <c r="D14" s="255">
        <f>D11+income_statement!D28+D12-D13</f>
        <v>721</v>
      </c>
      <c r="E14" s="255">
        <f>E11+income_statement!E28+E12-E13</f>
        <v>20416</v>
      </c>
      <c r="F14" s="255">
        <f>F11+income_statement!F28+F12-F13</f>
        <v>40282.425000000003</v>
      </c>
      <c r="G14" s="255">
        <f>G11+income_statement!G28+G12-G13</f>
        <v>10738.45</v>
      </c>
      <c r="H14" s="255">
        <f>H11+income_statement!H28+H12-H13</f>
        <v>18899.599999999999</v>
      </c>
      <c r="I14" s="255">
        <f>I11+income_statement!I28+I12-I13</f>
        <v>797.6</v>
      </c>
      <c r="J14" s="255">
        <f>J11+income_statement!J28+J12-J13</f>
        <v>28858.35</v>
      </c>
      <c r="K14" s="255">
        <f>K11+income_statement!K28+K12-K13</f>
        <v>59294</v>
      </c>
      <c r="L14" s="255">
        <f>L11+income_statement!L28+L12-L13</f>
        <v>15267.929375</v>
      </c>
      <c r="M14" s="255">
        <f>M11+income_statement!M28+M12-M13</f>
        <v>25554.06</v>
      </c>
      <c r="N14" s="255">
        <f>N11+income_statement!N28+N12-N13</f>
        <v>864.06000000000017</v>
      </c>
      <c r="O14" s="255">
        <f>O11+income_statement!O28+O12-O13</f>
        <v>38528.160000000003</v>
      </c>
      <c r="P14" s="255">
        <f>P11+income_statement!P28+P12-P13</f>
        <v>80214.209375000006</v>
      </c>
      <c r="Q14" s="255">
        <f>Q11+income_statement!Q28+Q12-Q13</f>
        <v>20082.624499999998</v>
      </c>
      <c r="R14" s="255">
        <f>R11+income_statement!R28+R12-R13</f>
        <v>28301.850999999999</v>
      </c>
      <c r="S14" s="255">
        <f>S11+income_statement!S28+S12-S13</f>
        <v>945.85100000000011</v>
      </c>
      <c r="T14" s="255">
        <f>T11+income_statement!T28+T12-T13</f>
        <v>51377.156000000003</v>
      </c>
      <c r="U14" s="255">
        <f>U11+income_statement!U28+U12-U13</f>
        <v>100707.4825</v>
      </c>
      <c r="V14" s="255">
        <f>V11+income_statement!V28+V12-V13</f>
        <v>28665.1057</v>
      </c>
      <c r="W14" s="255">
        <f>W11+income_statement!W28+W12-W13</f>
        <v>34019.436099999999</v>
      </c>
      <c r="X14" s="255">
        <f>X11+income_statement!X28+X12-X13</f>
        <v>1035.4361000000004</v>
      </c>
      <c r="Y14" s="255">
        <f>Y11+income_statement!Y28+Y12-Y13</f>
        <v>59683.638600000006</v>
      </c>
      <c r="Z14" s="255">
        <f>Z11+income_statement!Z28+Z12-Z13</f>
        <v>123403.6165</v>
      </c>
    </row>
    <row r="15" spans="1:26" x14ac:dyDescent="0.3">
      <c r="A15" t="s">
        <v>174</v>
      </c>
      <c r="B15" s="255">
        <f>income_statement!B16-B14</f>
        <v>-8117.625</v>
      </c>
      <c r="C15" s="255">
        <f>income_statement!C16-C14</f>
        <v>16702.199999999997</v>
      </c>
      <c r="D15" s="255">
        <f>income_statement!D16-D14</f>
        <v>5584.296875</v>
      </c>
      <c r="E15" s="255">
        <f>income_statement!E16-E14</f>
        <v>-2741.2499999999964</v>
      </c>
      <c r="F15" s="255">
        <f>income_statement!F16-F14</f>
        <v>11427.621874999997</v>
      </c>
      <c r="G15" s="255">
        <f>income_statement!G16-G14</f>
        <v>-10738.45</v>
      </c>
      <c r="H15" s="255">
        <f>income_statement!H16-H14</f>
        <v>22580.587500000001</v>
      </c>
      <c r="I15" s="255">
        <f>income_statement!I16-I14</f>
        <v>7392.4</v>
      </c>
      <c r="J15" s="255">
        <f>income_statement!J16-J14</f>
        <v>2235.1500000000015</v>
      </c>
      <c r="K15" s="255">
        <f>income_statement!K16-K14</f>
        <v>21469.6875</v>
      </c>
      <c r="L15" s="255">
        <f>income_statement!L16-L14</f>
        <v>-15267.929375</v>
      </c>
      <c r="M15" s="255">
        <f>income_statement!M16-M14</f>
        <v>32973.424375000002</v>
      </c>
      <c r="N15" s="255">
        <f>income_statement!N16-N14</f>
        <v>11366.096250000001</v>
      </c>
      <c r="O15" s="255">
        <f>income_statement!O16-O14</f>
        <v>75.089999999996508</v>
      </c>
      <c r="P15" s="255">
        <f>income_statement!P16-P14</f>
        <v>29146.681249999994</v>
      </c>
      <c r="Q15" s="255">
        <f>income_statement!Q16-Q14</f>
        <v>-20082.624499999998</v>
      </c>
      <c r="R15" s="255">
        <f>income_statement!R16-R14</f>
        <v>49496.586500000005</v>
      </c>
      <c r="S15" s="255">
        <f>income_statement!S16-S14</f>
        <v>15519.461499999999</v>
      </c>
      <c r="T15" s="255">
        <f>income_statement!T16-T14</f>
        <v>-4368.7810000000027</v>
      </c>
      <c r="U15" s="255">
        <f>income_statement!U16-U14</f>
        <v>40564.642500000002</v>
      </c>
      <c r="V15" s="255">
        <f>income_statement!V16-V14</f>
        <v>-28665.1057</v>
      </c>
      <c r="W15" s="255">
        <f>income_statement!W16-W14</f>
        <v>69616.063900000008</v>
      </c>
      <c r="X15" s="255">
        <f>income_statement!X16-X14</f>
        <v>23424.876400000001</v>
      </c>
      <c r="Y15" s="255">
        <f>income_statement!Y16-Y14</f>
        <v>-2987.6386000000057</v>
      </c>
      <c r="Z15" s="255">
        <f>income_statement!Z16-Z14</f>
        <v>61388.195999999996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A4" workbookViewId="0">
      <selection activeCell="A32" sqref="A32"/>
    </sheetView>
  </sheetViews>
  <sheetFormatPr defaultRowHeight="14.4" x14ac:dyDescent="0.3"/>
  <sheetData>
    <row r="1" spans="1:26" x14ac:dyDescent="0.3">
      <c r="B1" t="s">
        <v>247</v>
      </c>
      <c r="G1" t="s">
        <v>248</v>
      </c>
      <c r="L1" t="s">
        <v>249</v>
      </c>
      <c r="Q1" t="s">
        <v>250</v>
      </c>
      <c r="V1" t="s">
        <v>251</v>
      </c>
    </row>
    <row r="2" spans="1:26" x14ac:dyDescent="0.3">
      <c r="B2" t="s">
        <v>1</v>
      </c>
      <c r="C2" t="s">
        <v>2</v>
      </c>
      <c r="D2" t="s">
        <v>3</v>
      </c>
      <c r="E2" t="s">
        <v>4</v>
      </c>
      <c r="F2" t="s">
        <v>255</v>
      </c>
      <c r="G2" t="s">
        <v>5</v>
      </c>
      <c r="H2" t="s">
        <v>6</v>
      </c>
      <c r="I2" t="s">
        <v>7</v>
      </c>
      <c r="J2" t="s">
        <v>8</v>
      </c>
      <c r="K2" t="s">
        <v>256</v>
      </c>
      <c r="L2" t="s">
        <v>9</v>
      </c>
      <c r="M2" t="s">
        <v>10</v>
      </c>
      <c r="N2" t="s">
        <v>11</v>
      </c>
      <c r="O2" t="s">
        <v>12</v>
      </c>
      <c r="P2" t="s">
        <v>257</v>
      </c>
      <c r="Q2" t="s">
        <v>13</v>
      </c>
      <c r="R2" t="s">
        <v>14</v>
      </c>
      <c r="S2" t="s">
        <v>15</v>
      </c>
      <c r="T2" t="s">
        <v>16</v>
      </c>
      <c r="U2" t="s">
        <v>258</v>
      </c>
      <c r="V2" t="s">
        <v>17</v>
      </c>
      <c r="W2" t="s">
        <v>18</v>
      </c>
      <c r="X2" t="s">
        <v>19</v>
      </c>
      <c r="Y2" t="s">
        <v>20</v>
      </c>
      <c r="Z2" t="s">
        <v>259</v>
      </c>
    </row>
    <row r="3" spans="1:26" x14ac:dyDescent="0.3">
      <c r="A3" t="s">
        <v>261</v>
      </c>
    </row>
    <row r="4" spans="1:26" x14ac:dyDescent="0.3">
      <c r="A4" t="s">
        <v>175</v>
      </c>
      <c r="B4">
        <v>0</v>
      </c>
      <c r="C4">
        <v>0</v>
      </c>
      <c r="D4">
        <v>0</v>
      </c>
      <c r="E4">
        <v>0</v>
      </c>
      <c r="F4">
        <v>0</v>
      </c>
      <c r="G4">
        <v>195</v>
      </c>
      <c r="H4">
        <f t="shared" ref="H4:I8" si="0">G4</f>
        <v>195</v>
      </c>
      <c r="I4">
        <f t="shared" si="0"/>
        <v>195</v>
      </c>
      <c r="J4">
        <v>260</v>
      </c>
      <c r="K4">
        <f t="shared" ref="K4:K21" si="1">SUM(G4:J4)</f>
        <v>845</v>
      </c>
      <c r="L4">
        <f>I4*1.05</f>
        <v>204.75</v>
      </c>
      <c r="M4">
        <f t="shared" ref="M4:N9" si="2">L4</f>
        <v>204.75</v>
      </c>
      <c r="N4">
        <f t="shared" si="2"/>
        <v>204.75</v>
      </c>
      <c r="O4">
        <f>J4*1.05</f>
        <v>273</v>
      </c>
      <c r="P4">
        <f t="shared" ref="P4:P21" si="3">SUM(L4:O4)</f>
        <v>887.25</v>
      </c>
      <c r="Q4">
        <f t="shared" ref="Q4:Q9" si="4">N4*1.05</f>
        <v>214.98750000000001</v>
      </c>
      <c r="R4">
        <f t="shared" ref="R4:S9" si="5">Q4</f>
        <v>214.98750000000001</v>
      </c>
      <c r="S4">
        <f t="shared" si="5"/>
        <v>214.98750000000001</v>
      </c>
      <c r="T4">
        <f t="shared" ref="T4:T9" si="6">O4*1.05</f>
        <v>286.65000000000003</v>
      </c>
      <c r="U4">
        <f t="shared" ref="U4:U21" si="7">SUM(Q4:T4)</f>
        <v>931.61250000000018</v>
      </c>
      <c r="V4">
        <f t="shared" ref="V4:V9" si="8">S4*1.05</f>
        <v>225.73687500000003</v>
      </c>
      <c r="W4">
        <f t="shared" ref="W4:X9" si="9">V4</f>
        <v>225.73687500000003</v>
      </c>
      <c r="X4">
        <f t="shared" si="9"/>
        <v>225.73687500000003</v>
      </c>
      <c r="Y4">
        <f t="shared" ref="Y4:Y9" si="10">T4*1.05</f>
        <v>300.98250000000007</v>
      </c>
      <c r="Z4">
        <f t="shared" ref="Z4:Z21" si="11">SUM(V4:Y4)</f>
        <v>978.19312500000012</v>
      </c>
    </row>
    <row r="5" spans="1:26" x14ac:dyDescent="0.3">
      <c r="A5" t="s">
        <v>176</v>
      </c>
      <c r="B5">
        <v>0</v>
      </c>
      <c r="C5">
        <v>0</v>
      </c>
      <c r="D5">
        <v>0</v>
      </c>
      <c r="E5">
        <v>0</v>
      </c>
      <c r="F5">
        <v>0</v>
      </c>
      <c r="G5">
        <v>60</v>
      </c>
      <c r="H5">
        <f t="shared" si="0"/>
        <v>60</v>
      </c>
      <c r="I5">
        <f t="shared" si="0"/>
        <v>60</v>
      </c>
      <c r="J5">
        <v>80</v>
      </c>
      <c r="K5">
        <f t="shared" si="1"/>
        <v>260</v>
      </c>
      <c r="L5">
        <f>I5*1.1</f>
        <v>66</v>
      </c>
      <c r="M5">
        <f t="shared" si="2"/>
        <v>66</v>
      </c>
      <c r="N5">
        <f t="shared" si="2"/>
        <v>66</v>
      </c>
      <c r="O5">
        <f>J5*1.05</f>
        <v>84</v>
      </c>
      <c r="P5">
        <f t="shared" si="3"/>
        <v>282</v>
      </c>
      <c r="Q5">
        <f t="shared" si="4"/>
        <v>69.3</v>
      </c>
      <c r="R5">
        <f t="shared" si="5"/>
        <v>69.3</v>
      </c>
      <c r="S5">
        <f t="shared" si="5"/>
        <v>69.3</v>
      </c>
      <c r="T5">
        <f t="shared" si="6"/>
        <v>88.2</v>
      </c>
      <c r="U5">
        <f t="shared" si="7"/>
        <v>296.09999999999997</v>
      </c>
      <c r="V5">
        <f t="shared" si="8"/>
        <v>72.765000000000001</v>
      </c>
      <c r="W5">
        <f t="shared" si="9"/>
        <v>72.765000000000001</v>
      </c>
      <c r="X5">
        <f t="shared" si="9"/>
        <v>72.765000000000001</v>
      </c>
      <c r="Y5">
        <f t="shared" si="10"/>
        <v>92.610000000000014</v>
      </c>
      <c r="Z5">
        <f t="shared" si="11"/>
        <v>310.90500000000003</v>
      </c>
    </row>
    <row r="6" spans="1:26" x14ac:dyDescent="0.3">
      <c r="A6" t="s">
        <v>177</v>
      </c>
      <c r="B6">
        <v>0</v>
      </c>
      <c r="C6">
        <v>0</v>
      </c>
      <c r="D6">
        <v>0</v>
      </c>
      <c r="E6">
        <v>0</v>
      </c>
      <c r="F6">
        <v>0</v>
      </c>
      <c r="G6">
        <v>60</v>
      </c>
      <c r="H6">
        <f>G6</f>
        <v>60</v>
      </c>
      <c r="I6">
        <f>H6</f>
        <v>60</v>
      </c>
      <c r="J6">
        <v>80</v>
      </c>
      <c r="K6">
        <f>SUM(G6:J6)</f>
        <v>260</v>
      </c>
      <c r="L6">
        <f>I6*1.1</f>
        <v>66</v>
      </c>
      <c r="M6">
        <f>L6</f>
        <v>66</v>
      </c>
      <c r="N6">
        <f>M6</f>
        <v>66</v>
      </c>
      <c r="O6">
        <f>J6*1.05</f>
        <v>84</v>
      </c>
      <c r="P6">
        <f>SUM(L6:O6)</f>
        <v>282</v>
      </c>
      <c r="Q6">
        <f>N6*1.05</f>
        <v>69.3</v>
      </c>
      <c r="R6">
        <f>Q6</f>
        <v>69.3</v>
      </c>
      <c r="S6">
        <f>R6</f>
        <v>69.3</v>
      </c>
      <c r="T6">
        <f>O6*1.05</f>
        <v>88.2</v>
      </c>
      <c r="U6">
        <f>SUM(Q6:T6)</f>
        <v>296.09999999999997</v>
      </c>
      <c r="V6">
        <f>S6*1.05</f>
        <v>72.765000000000001</v>
      </c>
      <c r="W6">
        <f>V6</f>
        <v>72.765000000000001</v>
      </c>
      <c r="X6">
        <f>W6</f>
        <v>72.765000000000001</v>
      </c>
      <c r="Y6">
        <f>T6*1.05</f>
        <v>92.610000000000014</v>
      </c>
      <c r="Z6">
        <f>SUM(V6:Y6)</f>
        <v>310.90500000000003</v>
      </c>
    </row>
    <row r="7" spans="1:26" x14ac:dyDescent="0.3">
      <c r="A7" t="s">
        <v>178</v>
      </c>
      <c r="B7">
        <v>0</v>
      </c>
      <c r="C7">
        <v>45</v>
      </c>
      <c r="D7">
        <v>45</v>
      </c>
      <c r="E7">
        <v>60</v>
      </c>
      <c r="F7">
        <f t="shared" ref="F7:F22" si="12">SUM(B7:E7)</f>
        <v>150</v>
      </c>
      <c r="G7">
        <v>90</v>
      </c>
      <c r="H7">
        <f t="shared" si="0"/>
        <v>90</v>
      </c>
      <c r="I7">
        <f t="shared" si="0"/>
        <v>90</v>
      </c>
      <c r="J7">
        <v>120</v>
      </c>
      <c r="K7">
        <f t="shared" si="1"/>
        <v>390</v>
      </c>
      <c r="L7">
        <f>I7*1.05</f>
        <v>94.5</v>
      </c>
      <c r="M7">
        <f t="shared" si="2"/>
        <v>94.5</v>
      </c>
      <c r="N7">
        <f t="shared" si="2"/>
        <v>94.5</v>
      </c>
      <c r="O7">
        <f>N7*1.33</f>
        <v>125.685</v>
      </c>
      <c r="P7">
        <f t="shared" si="3"/>
        <v>409.185</v>
      </c>
      <c r="Q7">
        <f t="shared" si="4"/>
        <v>99.225000000000009</v>
      </c>
      <c r="R7">
        <f t="shared" si="5"/>
        <v>99.225000000000009</v>
      </c>
      <c r="S7">
        <f t="shared" si="5"/>
        <v>99.225000000000009</v>
      </c>
      <c r="T7">
        <f t="shared" si="6"/>
        <v>131.96925000000002</v>
      </c>
      <c r="U7">
        <f t="shared" si="7"/>
        <v>429.64425000000006</v>
      </c>
      <c r="V7">
        <f t="shared" si="8"/>
        <v>104.18625000000002</v>
      </c>
      <c r="W7">
        <f t="shared" si="9"/>
        <v>104.18625000000002</v>
      </c>
      <c r="X7">
        <f t="shared" si="9"/>
        <v>104.18625000000002</v>
      </c>
      <c r="Y7">
        <f t="shared" si="10"/>
        <v>138.56771250000003</v>
      </c>
      <c r="Z7">
        <f t="shared" si="11"/>
        <v>451.12646250000006</v>
      </c>
    </row>
    <row r="8" spans="1:26" x14ac:dyDescent="0.3">
      <c r="A8" t="s">
        <v>179</v>
      </c>
      <c r="B8">
        <v>50</v>
      </c>
      <c r="C8">
        <v>75</v>
      </c>
      <c r="D8">
        <f>C8</f>
        <v>75</v>
      </c>
      <c r="E8">
        <v>100</v>
      </c>
      <c r="F8">
        <f t="shared" si="12"/>
        <v>300</v>
      </c>
      <c r="G8">
        <f>D8*1.05</f>
        <v>78.75</v>
      </c>
      <c r="H8">
        <f t="shared" si="0"/>
        <v>78.75</v>
      </c>
      <c r="I8">
        <f t="shared" si="0"/>
        <v>78.75</v>
      </c>
      <c r="J8">
        <f>E8*1.05</f>
        <v>105</v>
      </c>
      <c r="K8">
        <f t="shared" si="1"/>
        <v>341.25</v>
      </c>
      <c r="L8">
        <f>I8*1.05</f>
        <v>82.6875</v>
      </c>
      <c r="M8">
        <f t="shared" si="2"/>
        <v>82.6875</v>
      </c>
      <c r="N8">
        <f t="shared" si="2"/>
        <v>82.6875</v>
      </c>
      <c r="O8">
        <f>J8*1.05</f>
        <v>110.25</v>
      </c>
      <c r="P8">
        <f t="shared" si="3"/>
        <v>358.3125</v>
      </c>
      <c r="Q8">
        <f t="shared" si="4"/>
        <v>86.821875000000006</v>
      </c>
      <c r="R8">
        <f t="shared" si="5"/>
        <v>86.821875000000006</v>
      </c>
      <c r="S8">
        <f t="shared" si="5"/>
        <v>86.821875000000006</v>
      </c>
      <c r="T8">
        <f t="shared" si="6"/>
        <v>115.7625</v>
      </c>
      <c r="U8">
        <f t="shared" si="7"/>
        <v>376.22812500000003</v>
      </c>
      <c r="V8">
        <f t="shared" si="8"/>
        <v>91.162968750000005</v>
      </c>
      <c r="W8">
        <f t="shared" si="9"/>
        <v>91.162968750000005</v>
      </c>
      <c r="X8">
        <f t="shared" si="9"/>
        <v>91.162968750000005</v>
      </c>
      <c r="Y8">
        <f t="shared" si="10"/>
        <v>121.55062500000001</v>
      </c>
      <c r="Z8">
        <f t="shared" si="11"/>
        <v>395.03953125000004</v>
      </c>
    </row>
    <row r="9" spans="1:26" x14ac:dyDescent="0.3">
      <c r="A9" t="s">
        <v>180</v>
      </c>
      <c r="F9">
        <f t="shared" si="12"/>
        <v>0</v>
      </c>
      <c r="K9">
        <f t="shared" si="1"/>
        <v>0</v>
      </c>
      <c r="L9">
        <v>24</v>
      </c>
      <c r="M9">
        <f t="shared" si="2"/>
        <v>24</v>
      </c>
      <c r="N9">
        <f t="shared" si="2"/>
        <v>24</v>
      </c>
      <c r="O9">
        <v>32</v>
      </c>
      <c r="P9">
        <f t="shared" si="3"/>
        <v>104</v>
      </c>
      <c r="Q9">
        <f t="shared" si="4"/>
        <v>25.200000000000003</v>
      </c>
      <c r="R9">
        <f t="shared" si="5"/>
        <v>25.200000000000003</v>
      </c>
      <c r="S9">
        <f t="shared" si="5"/>
        <v>25.200000000000003</v>
      </c>
      <c r="T9">
        <f t="shared" si="6"/>
        <v>33.6</v>
      </c>
      <c r="U9">
        <f t="shared" si="7"/>
        <v>109.20000000000002</v>
      </c>
      <c r="V9">
        <f t="shared" si="8"/>
        <v>26.460000000000004</v>
      </c>
      <c r="W9">
        <f t="shared" si="9"/>
        <v>26.460000000000004</v>
      </c>
      <c r="X9">
        <f t="shared" si="9"/>
        <v>26.460000000000004</v>
      </c>
      <c r="Y9">
        <f t="shared" si="10"/>
        <v>35.28</v>
      </c>
      <c r="Z9">
        <f t="shared" si="11"/>
        <v>114.66000000000001</v>
      </c>
    </row>
    <row r="10" spans="1:26" x14ac:dyDescent="0.3">
      <c r="A10" t="s">
        <v>181</v>
      </c>
      <c r="B10">
        <v>45</v>
      </c>
      <c r="C10">
        <v>45</v>
      </c>
      <c r="D10">
        <v>45</v>
      </c>
      <c r="E10">
        <v>45</v>
      </c>
      <c r="F10">
        <f t="shared" si="12"/>
        <v>180</v>
      </c>
      <c r="G10">
        <f>B10*1.1</f>
        <v>49.500000000000007</v>
      </c>
      <c r="H10">
        <f t="shared" ref="H10:J12" si="13">G10</f>
        <v>49.500000000000007</v>
      </c>
      <c r="I10">
        <f t="shared" si="13"/>
        <v>49.500000000000007</v>
      </c>
      <c r="J10">
        <f t="shared" si="13"/>
        <v>49.500000000000007</v>
      </c>
      <c r="K10">
        <f t="shared" si="1"/>
        <v>198.00000000000003</v>
      </c>
      <c r="L10">
        <f>G10*1.1</f>
        <v>54.45000000000001</v>
      </c>
      <c r="M10">
        <f>H10*1.1</f>
        <v>54.45000000000001</v>
      </c>
      <c r="N10">
        <f>I10*1.1</f>
        <v>54.45000000000001</v>
      </c>
      <c r="O10">
        <f>J10*1.1</f>
        <v>54.45000000000001</v>
      </c>
      <c r="P10">
        <f t="shared" si="3"/>
        <v>217.80000000000004</v>
      </c>
      <c r="Q10">
        <f>L10*1.1</f>
        <v>59.895000000000017</v>
      </c>
      <c r="R10">
        <f>M10*1.1</f>
        <v>59.895000000000017</v>
      </c>
      <c r="S10">
        <f>N10*1.1</f>
        <v>59.895000000000017</v>
      </c>
      <c r="T10">
        <f>O10*1.1</f>
        <v>59.895000000000017</v>
      </c>
      <c r="U10">
        <f t="shared" si="7"/>
        <v>239.58000000000007</v>
      </c>
      <c r="V10">
        <f>Q10*1.1</f>
        <v>65.884500000000031</v>
      </c>
      <c r="W10">
        <f>R10*1.1</f>
        <v>65.884500000000031</v>
      </c>
      <c r="X10">
        <f>S10*1.1</f>
        <v>65.884500000000031</v>
      </c>
      <c r="Y10">
        <f>T10*1.1</f>
        <v>65.884500000000031</v>
      </c>
      <c r="Z10">
        <f t="shared" si="11"/>
        <v>263.53800000000012</v>
      </c>
    </row>
    <row r="11" spans="1:26" x14ac:dyDescent="0.3">
      <c r="A11" t="s">
        <v>170</v>
      </c>
      <c r="B11">
        <v>10</v>
      </c>
      <c r="C11">
        <v>12</v>
      </c>
      <c r="D11">
        <v>12</v>
      </c>
      <c r="E11">
        <v>12</v>
      </c>
      <c r="F11">
        <f t="shared" si="12"/>
        <v>46</v>
      </c>
      <c r="G11">
        <v>14</v>
      </c>
      <c r="H11">
        <f t="shared" si="13"/>
        <v>14</v>
      </c>
      <c r="I11">
        <f t="shared" si="13"/>
        <v>14</v>
      </c>
      <c r="J11">
        <v>15</v>
      </c>
      <c r="K11">
        <f t="shared" si="1"/>
        <v>57</v>
      </c>
      <c r="L11">
        <v>15</v>
      </c>
      <c r="M11">
        <v>15</v>
      </c>
      <c r="N11">
        <v>15</v>
      </c>
      <c r="O11">
        <v>20</v>
      </c>
      <c r="P11">
        <f t="shared" si="3"/>
        <v>65</v>
      </c>
      <c r="Q11">
        <v>20</v>
      </c>
      <c r="R11">
        <v>20</v>
      </c>
      <c r="S11">
        <v>20</v>
      </c>
      <c r="T11">
        <v>20</v>
      </c>
      <c r="U11">
        <f t="shared" si="7"/>
        <v>80</v>
      </c>
      <c r="V11">
        <v>25</v>
      </c>
      <c r="W11">
        <v>25</v>
      </c>
      <c r="X11">
        <v>25</v>
      </c>
      <c r="Y11">
        <v>25</v>
      </c>
      <c r="Z11">
        <f t="shared" si="11"/>
        <v>100</v>
      </c>
    </row>
    <row r="12" spans="1:26" x14ac:dyDescent="0.3">
      <c r="A12" t="s">
        <v>182</v>
      </c>
      <c r="B12">
        <v>9</v>
      </c>
      <c r="C12">
        <v>9</v>
      </c>
      <c r="D12">
        <v>9</v>
      </c>
      <c r="E12">
        <v>9</v>
      </c>
      <c r="F12">
        <f t="shared" si="12"/>
        <v>36</v>
      </c>
      <c r="G12">
        <v>15</v>
      </c>
      <c r="H12">
        <f t="shared" si="13"/>
        <v>15</v>
      </c>
      <c r="I12">
        <f t="shared" si="13"/>
        <v>15</v>
      </c>
      <c r="J12">
        <v>15</v>
      </c>
      <c r="K12">
        <f t="shared" si="1"/>
        <v>60</v>
      </c>
      <c r="L12">
        <v>20</v>
      </c>
      <c r="M12">
        <v>20</v>
      </c>
      <c r="N12">
        <v>20</v>
      </c>
      <c r="O12">
        <v>20</v>
      </c>
      <c r="P12">
        <f t="shared" si="3"/>
        <v>80</v>
      </c>
      <c r="Q12">
        <v>25</v>
      </c>
      <c r="R12">
        <v>25</v>
      </c>
      <c r="S12">
        <v>25</v>
      </c>
      <c r="T12">
        <v>25</v>
      </c>
      <c r="U12">
        <f t="shared" si="7"/>
        <v>100</v>
      </c>
      <c r="V12">
        <v>30</v>
      </c>
      <c r="W12">
        <v>30</v>
      </c>
      <c r="X12">
        <v>30</v>
      </c>
      <c r="Y12">
        <v>30</v>
      </c>
      <c r="Z12">
        <f t="shared" si="11"/>
        <v>120</v>
      </c>
    </row>
    <row r="13" spans="1:26" x14ac:dyDescent="0.3">
      <c r="A13" t="s">
        <v>183</v>
      </c>
      <c r="B13">
        <v>15</v>
      </c>
      <c r="C13">
        <v>20</v>
      </c>
      <c r="D13">
        <v>20</v>
      </c>
      <c r="E13">
        <v>20</v>
      </c>
      <c r="F13">
        <f t="shared" si="12"/>
        <v>75</v>
      </c>
      <c r="G13">
        <v>22</v>
      </c>
      <c r="H13">
        <v>22</v>
      </c>
      <c r="I13">
        <v>22</v>
      </c>
      <c r="J13">
        <v>22</v>
      </c>
      <c r="K13">
        <f t="shared" si="1"/>
        <v>88</v>
      </c>
      <c r="L13">
        <v>25</v>
      </c>
      <c r="M13">
        <v>25</v>
      </c>
      <c r="N13">
        <v>25</v>
      </c>
      <c r="O13">
        <v>25</v>
      </c>
      <c r="P13">
        <f t="shared" si="3"/>
        <v>100</v>
      </c>
      <c r="Q13">
        <v>26</v>
      </c>
      <c r="R13">
        <v>26</v>
      </c>
      <c r="S13">
        <v>26</v>
      </c>
      <c r="T13">
        <v>26</v>
      </c>
      <c r="U13">
        <f t="shared" si="7"/>
        <v>104</v>
      </c>
      <c r="V13">
        <v>26</v>
      </c>
      <c r="W13">
        <v>26</v>
      </c>
      <c r="X13">
        <v>26</v>
      </c>
      <c r="Y13">
        <v>26</v>
      </c>
      <c r="Z13">
        <f t="shared" si="11"/>
        <v>104</v>
      </c>
    </row>
    <row r="14" spans="1:26" x14ac:dyDescent="0.3">
      <c r="A14" t="s">
        <v>184</v>
      </c>
      <c r="F14">
        <f t="shared" si="12"/>
        <v>0</v>
      </c>
      <c r="G14">
        <v>40</v>
      </c>
      <c r="K14">
        <f t="shared" si="1"/>
        <v>40</v>
      </c>
      <c r="L14">
        <v>20</v>
      </c>
      <c r="P14">
        <f t="shared" si="3"/>
        <v>20</v>
      </c>
      <c r="Q14">
        <v>25</v>
      </c>
      <c r="U14">
        <f t="shared" si="7"/>
        <v>25</v>
      </c>
      <c r="V14">
        <v>35</v>
      </c>
      <c r="Z14">
        <f t="shared" si="11"/>
        <v>35</v>
      </c>
    </row>
    <row r="15" spans="1:26" x14ac:dyDescent="0.3">
      <c r="A15" t="s">
        <v>185</v>
      </c>
      <c r="B15">
        <v>4.5</v>
      </c>
      <c r="C15">
        <v>5</v>
      </c>
      <c r="D15">
        <v>5</v>
      </c>
      <c r="E15">
        <v>5</v>
      </c>
      <c r="F15">
        <f t="shared" si="12"/>
        <v>19.5</v>
      </c>
      <c r="G15">
        <v>6</v>
      </c>
      <c r="H15">
        <v>6</v>
      </c>
      <c r="I15">
        <v>6</v>
      </c>
      <c r="J15">
        <v>6</v>
      </c>
      <c r="K15">
        <f t="shared" si="1"/>
        <v>24</v>
      </c>
      <c r="L15">
        <v>7.5</v>
      </c>
      <c r="M15">
        <v>7.5</v>
      </c>
      <c r="N15">
        <v>7.5</v>
      </c>
      <c r="O15">
        <v>7.5</v>
      </c>
      <c r="P15">
        <f t="shared" si="3"/>
        <v>30</v>
      </c>
      <c r="Q15">
        <v>9</v>
      </c>
      <c r="R15">
        <v>9</v>
      </c>
      <c r="S15">
        <v>9</v>
      </c>
      <c r="T15">
        <v>9</v>
      </c>
      <c r="U15">
        <f t="shared" si="7"/>
        <v>36</v>
      </c>
      <c r="V15">
        <v>10</v>
      </c>
      <c r="W15">
        <v>10</v>
      </c>
      <c r="X15">
        <v>10</v>
      </c>
      <c r="Y15">
        <v>10</v>
      </c>
      <c r="Z15">
        <f t="shared" si="11"/>
        <v>40</v>
      </c>
    </row>
    <row r="16" spans="1:26" x14ac:dyDescent="0.3">
      <c r="A16" t="s">
        <v>186</v>
      </c>
      <c r="B16">
        <v>5</v>
      </c>
      <c r="C16">
        <v>5</v>
      </c>
      <c r="D16">
        <v>5</v>
      </c>
      <c r="E16">
        <v>5</v>
      </c>
      <c r="F16">
        <f t="shared" si="12"/>
        <v>20</v>
      </c>
      <c r="G16">
        <v>10</v>
      </c>
      <c r="H16">
        <v>10</v>
      </c>
      <c r="I16">
        <v>10</v>
      </c>
      <c r="J16">
        <v>10</v>
      </c>
      <c r="K16">
        <f t="shared" si="1"/>
        <v>40</v>
      </c>
      <c r="L16">
        <v>10</v>
      </c>
      <c r="M16">
        <v>15</v>
      </c>
      <c r="N16">
        <v>15</v>
      </c>
      <c r="O16">
        <v>15</v>
      </c>
      <c r="P16">
        <f t="shared" si="3"/>
        <v>55</v>
      </c>
      <c r="Q16">
        <v>15</v>
      </c>
      <c r="R16">
        <v>15</v>
      </c>
      <c r="S16">
        <v>15</v>
      </c>
      <c r="T16">
        <v>15</v>
      </c>
      <c r="U16">
        <f t="shared" si="7"/>
        <v>60</v>
      </c>
      <c r="V16">
        <v>15</v>
      </c>
      <c r="W16">
        <v>15</v>
      </c>
      <c r="Z16">
        <f t="shared" si="11"/>
        <v>30</v>
      </c>
    </row>
    <row r="17" spans="1:26" x14ac:dyDescent="0.3">
      <c r="A17" t="s">
        <v>187</v>
      </c>
      <c r="F17">
        <f t="shared" si="12"/>
        <v>0</v>
      </c>
      <c r="H17">
        <v>400</v>
      </c>
      <c r="K17">
        <f t="shared" si="1"/>
        <v>400</v>
      </c>
      <c r="M17">
        <v>200</v>
      </c>
      <c r="P17">
        <f t="shared" si="3"/>
        <v>200</v>
      </c>
      <c r="R17">
        <v>200</v>
      </c>
      <c r="U17">
        <f t="shared" si="7"/>
        <v>200</v>
      </c>
      <c r="W17">
        <v>100</v>
      </c>
      <c r="Z17">
        <f t="shared" si="11"/>
        <v>100</v>
      </c>
    </row>
    <row r="18" spans="1:26" x14ac:dyDescent="0.3">
      <c r="A18" t="s">
        <v>188</v>
      </c>
      <c r="B18">
        <v>200</v>
      </c>
      <c r="C18">
        <v>0</v>
      </c>
      <c r="D18">
        <v>0</v>
      </c>
      <c r="F18">
        <f t="shared" si="12"/>
        <v>200</v>
      </c>
      <c r="G18">
        <v>0</v>
      </c>
      <c r="H18">
        <v>0</v>
      </c>
      <c r="I18">
        <v>0</v>
      </c>
      <c r="J18">
        <v>40</v>
      </c>
      <c r="K18">
        <f t="shared" si="1"/>
        <v>40</v>
      </c>
      <c r="L18">
        <v>0</v>
      </c>
      <c r="M18">
        <v>0</v>
      </c>
      <c r="N18">
        <v>0</v>
      </c>
      <c r="O18">
        <f>40</f>
        <v>40</v>
      </c>
      <c r="P18">
        <f t="shared" si="3"/>
        <v>40</v>
      </c>
      <c r="Q18">
        <v>0</v>
      </c>
      <c r="R18">
        <v>0</v>
      </c>
      <c r="S18">
        <v>0</v>
      </c>
      <c r="T18">
        <v>40</v>
      </c>
      <c r="U18">
        <f t="shared" si="7"/>
        <v>40</v>
      </c>
      <c r="V18">
        <v>0</v>
      </c>
      <c r="W18">
        <v>0</v>
      </c>
      <c r="X18">
        <v>0</v>
      </c>
      <c r="Y18">
        <v>40</v>
      </c>
      <c r="Z18">
        <f t="shared" si="11"/>
        <v>40</v>
      </c>
    </row>
    <row r="19" spans="1:26" x14ac:dyDescent="0.3">
      <c r="A19" t="s">
        <v>189</v>
      </c>
      <c r="B19">
        <v>0</v>
      </c>
      <c r="C19">
        <v>0</v>
      </c>
      <c r="D19">
        <v>0</v>
      </c>
      <c r="E19">
        <v>0</v>
      </c>
      <c r="F19">
        <f t="shared" si="12"/>
        <v>0</v>
      </c>
      <c r="J19">
        <v>104.181175</v>
      </c>
      <c r="K19">
        <f t="shared" si="1"/>
        <v>104.181175</v>
      </c>
      <c r="L19">
        <v>0</v>
      </c>
      <c r="M19">
        <v>0</v>
      </c>
      <c r="N19">
        <v>0</v>
      </c>
      <c r="O19">
        <v>72.248227062500007</v>
      </c>
      <c r="P19">
        <f t="shared" si="3"/>
        <v>72.248227062500007</v>
      </c>
      <c r="Q19">
        <v>0</v>
      </c>
      <c r="R19">
        <v>0</v>
      </c>
      <c r="S19">
        <v>0</v>
      </c>
      <c r="T19">
        <v>60.573910028124992</v>
      </c>
      <c r="U19">
        <f t="shared" si="7"/>
        <v>60.573910028124992</v>
      </c>
      <c r="V19">
        <v>0</v>
      </c>
      <c r="W19">
        <v>0</v>
      </c>
      <c r="X19">
        <v>0</v>
      </c>
      <c r="Y19">
        <v>51.033525478906256</v>
      </c>
      <c r="Z19">
        <f t="shared" si="11"/>
        <v>51.033525478906256</v>
      </c>
    </row>
    <row r="20" spans="1:26" x14ac:dyDescent="0.3">
      <c r="A20" t="s">
        <v>190</v>
      </c>
      <c r="E20">
        <v>3.4724999999999997</v>
      </c>
      <c r="F20">
        <f t="shared" si="12"/>
        <v>3.4724999999999997</v>
      </c>
      <c r="J20">
        <v>1398.9066250000001</v>
      </c>
      <c r="K20">
        <f t="shared" si="1"/>
        <v>1398.9066250000001</v>
      </c>
      <c r="L20">
        <v>0</v>
      </c>
      <c r="M20">
        <v>0</v>
      </c>
      <c r="N20">
        <v>0</v>
      </c>
      <c r="O20">
        <v>1161.0736312500001</v>
      </c>
      <c r="P20">
        <f t="shared" si="3"/>
        <v>1161.0736312500001</v>
      </c>
      <c r="Q20">
        <v>0</v>
      </c>
      <c r="R20">
        <v>0</v>
      </c>
      <c r="S20">
        <v>0</v>
      </c>
      <c r="T20">
        <v>969.65013656249994</v>
      </c>
      <c r="U20">
        <f t="shared" si="7"/>
        <v>969.65013656249994</v>
      </c>
      <c r="V20">
        <v>0</v>
      </c>
      <c r="W20">
        <v>0</v>
      </c>
      <c r="X20">
        <v>0</v>
      </c>
      <c r="Y20">
        <v>814.97115482812501</v>
      </c>
      <c r="Z20">
        <f t="shared" si="11"/>
        <v>814.97115482812501</v>
      </c>
    </row>
    <row r="21" spans="1:26" x14ac:dyDescent="0.3">
      <c r="A21" t="s">
        <v>191</v>
      </c>
      <c r="B21">
        <v>10</v>
      </c>
      <c r="C21">
        <v>10</v>
      </c>
      <c r="D21">
        <v>10</v>
      </c>
      <c r="E21">
        <v>10</v>
      </c>
      <c r="F21">
        <f t="shared" si="12"/>
        <v>40</v>
      </c>
      <c r="G21">
        <v>15</v>
      </c>
      <c r="H21">
        <v>15</v>
      </c>
      <c r="I21">
        <v>15</v>
      </c>
      <c r="J21">
        <v>15</v>
      </c>
      <c r="K21">
        <f t="shared" si="1"/>
        <v>60</v>
      </c>
      <c r="L21">
        <v>20</v>
      </c>
      <c r="M21">
        <v>20</v>
      </c>
      <c r="N21">
        <v>20</v>
      </c>
      <c r="O21">
        <v>20</v>
      </c>
      <c r="P21">
        <f t="shared" si="3"/>
        <v>80</v>
      </c>
      <c r="Q21">
        <v>20</v>
      </c>
      <c r="R21">
        <v>20</v>
      </c>
      <c r="S21">
        <v>20</v>
      </c>
      <c r="T21">
        <v>20</v>
      </c>
      <c r="U21">
        <f t="shared" si="7"/>
        <v>80</v>
      </c>
      <c r="V21">
        <v>20</v>
      </c>
      <c r="W21">
        <v>20</v>
      </c>
      <c r="X21">
        <v>20</v>
      </c>
      <c r="Y21">
        <v>20</v>
      </c>
      <c r="Z21">
        <f t="shared" si="11"/>
        <v>80</v>
      </c>
    </row>
    <row r="22" spans="1:26" x14ac:dyDescent="0.3">
      <c r="A22" t="s">
        <v>192</v>
      </c>
      <c r="B22">
        <f>SUM(B4:B21)</f>
        <v>348.5</v>
      </c>
      <c r="C22">
        <f>SUM(C4:C21)</f>
        <v>226</v>
      </c>
      <c r="D22">
        <f>SUM(D4:D21)</f>
        <v>226</v>
      </c>
      <c r="E22">
        <f>SUM(E4:E21)</f>
        <v>269.47250000000003</v>
      </c>
      <c r="F22">
        <f t="shared" si="12"/>
        <v>1069.9725000000001</v>
      </c>
      <c r="G22">
        <f t="shared" ref="G22:Z22" si="14">SUM(G4:G21)</f>
        <v>655.25</v>
      </c>
      <c r="H22">
        <f t="shared" si="14"/>
        <v>1015.25</v>
      </c>
      <c r="I22">
        <f t="shared" si="14"/>
        <v>615.25</v>
      </c>
      <c r="J22">
        <f t="shared" si="14"/>
        <v>2320.5878000000002</v>
      </c>
      <c r="K22">
        <f t="shared" si="14"/>
        <v>4606.3378000000002</v>
      </c>
      <c r="L22">
        <f t="shared" si="14"/>
        <v>709.88750000000005</v>
      </c>
      <c r="M22">
        <f t="shared" si="14"/>
        <v>894.88750000000005</v>
      </c>
      <c r="N22">
        <f t="shared" si="14"/>
        <v>694.88750000000005</v>
      </c>
      <c r="O22">
        <f t="shared" si="14"/>
        <v>2144.2068583125001</v>
      </c>
      <c r="P22">
        <f t="shared" si="14"/>
        <v>4443.8693583125005</v>
      </c>
      <c r="Q22">
        <f t="shared" si="14"/>
        <v>764.72937500000012</v>
      </c>
      <c r="R22">
        <f t="shared" si="14"/>
        <v>939.72937500000012</v>
      </c>
      <c r="S22">
        <f t="shared" si="14"/>
        <v>739.72937500000012</v>
      </c>
      <c r="T22">
        <f t="shared" si="14"/>
        <v>1989.500796590625</v>
      </c>
      <c r="U22">
        <f t="shared" si="14"/>
        <v>4433.6889215906249</v>
      </c>
      <c r="V22">
        <f t="shared" si="14"/>
        <v>819.96059375000016</v>
      </c>
      <c r="W22">
        <f t="shared" si="14"/>
        <v>884.96059375000016</v>
      </c>
      <c r="X22">
        <f t="shared" si="14"/>
        <v>769.96059375000016</v>
      </c>
      <c r="Y22">
        <f t="shared" si="14"/>
        <v>1864.4900178070313</v>
      </c>
      <c r="Z22">
        <f t="shared" si="14"/>
        <v>4339.3717990570312</v>
      </c>
    </row>
    <row r="23" spans="1:26" x14ac:dyDescent="0.3">
      <c r="A23" t="s">
        <v>193</v>
      </c>
    </row>
    <row r="24" spans="1:26" x14ac:dyDescent="0.3">
      <c r="A24" t="s">
        <v>194</v>
      </c>
      <c r="B24">
        <f>income_statement!B28*0.02</f>
        <v>89.412500000000009</v>
      </c>
      <c r="C24">
        <f>income_statement!C28*0.02</f>
        <v>206.13600000000002</v>
      </c>
      <c r="D24">
        <f>income_statement!D28*0.02</f>
        <v>0</v>
      </c>
      <c r="E24">
        <f>income_statement!E28*0.02</f>
        <v>443.5</v>
      </c>
      <c r="F24">
        <f>income_statement!F28*0.02</f>
        <v>739.0485000000001</v>
      </c>
      <c r="G24">
        <f>income_statement!G28*0.02</f>
        <v>115.5</v>
      </c>
      <c r="H24">
        <f>income_statement!H28*0.02</f>
        <v>362.04</v>
      </c>
      <c r="I24">
        <f>income_statement!I28*0.02</f>
        <v>0</v>
      </c>
      <c r="J24">
        <f>income_statement!J28*0.02</f>
        <v>632.75</v>
      </c>
      <c r="K24">
        <f>income_statement!K28*0.02</f>
        <v>1110.29</v>
      </c>
      <c r="L24">
        <f>income_statement!L28*0.02</f>
        <v>172.625</v>
      </c>
      <c r="M24">
        <f>income_statement!M28*0.02</f>
        <v>493.8</v>
      </c>
      <c r="N24">
        <f>income_statement!N28*0.02</f>
        <v>0</v>
      </c>
      <c r="O24">
        <f>income_statement!O28*0.02</f>
        <v>846.63750000000005</v>
      </c>
      <c r="P24">
        <f>income_statement!P28*0.02</f>
        <v>1513.0625</v>
      </c>
      <c r="Q24">
        <f>income_statement!Q28*0.02</f>
        <v>232.5</v>
      </c>
      <c r="R24">
        <f>income_statement!R28*0.02</f>
        <v>547.12</v>
      </c>
      <c r="S24">
        <f>income_statement!S28*0.02</f>
        <v>0</v>
      </c>
      <c r="T24">
        <f>income_statement!T28*0.02</f>
        <v>1139.1500000000001</v>
      </c>
      <c r="U24">
        <f>income_statement!U28*0.02</f>
        <v>1918.77</v>
      </c>
      <c r="V24">
        <f>income_statement!V28*0.02</f>
        <v>345.75</v>
      </c>
      <c r="W24">
        <f>income_statement!W28*0.02</f>
        <v>659.68000000000006</v>
      </c>
      <c r="X24">
        <f>income_statement!X28*0.02</f>
        <v>0</v>
      </c>
      <c r="Y24">
        <f>income_statement!Y28*0.02</f>
        <v>1333.95</v>
      </c>
      <c r="Z24">
        <f>income_statement!Z28*0.02</f>
        <v>2339.38</v>
      </c>
    </row>
    <row r="25" spans="1:26" x14ac:dyDescent="0.3">
      <c r="A25" t="s">
        <v>195</v>
      </c>
      <c r="B25">
        <f>income_statement!B16*0.03</f>
        <v>0</v>
      </c>
      <c r="C25">
        <f>income_statement!C16*0.03</f>
        <v>831.9</v>
      </c>
      <c r="D25">
        <f>income_statement!D16*0.03</f>
        <v>189.15890625</v>
      </c>
      <c r="E25">
        <f>income_statement!E16*0.03</f>
        <v>530.24250000000006</v>
      </c>
      <c r="F25">
        <f>income_statement!F16*0.03</f>
        <v>1551.3014062499999</v>
      </c>
      <c r="G25">
        <f>income_statement!G16*0.03</f>
        <v>0</v>
      </c>
      <c r="H25">
        <f>income_statement!H16*0.03</f>
        <v>1244.4056249999999</v>
      </c>
      <c r="I25">
        <f>income_statement!I16*0.03</f>
        <v>245.7</v>
      </c>
      <c r="J25">
        <f>income_statement!J16*0.03</f>
        <v>932.80499999999995</v>
      </c>
      <c r="K25">
        <f>income_statement!K16*0.03</f>
        <v>2422.910625</v>
      </c>
      <c r="L25">
        <f>income_statement!L16*0.03</f>
        <v>0</v>
      </c>
      <c r="M25">
        <f>income_statement!M16*0.03</f>
        <v>1755.8245312499998</v>
      </c>
      <c r="N25">
        <f>income_statement!N16*0.03</f>
        <v>366.90468749999997</v>
      </c>
      <c r="O25">
        <f>income_statement!O16*0.03</f>
        <v>1158.0974999999999</v>
      </c>
      <c r="P25">
        <f>income_statement!P16*0.03</f>
        <v>3280.8267187500001</v>
      </c>
      <c r="Q25">
        <f>income_statement!Q16*0.03</f>
        <v>0</v>
      </c>
      <c r="R25">
        <f>income_statement!R16*0.03</f>
        <v>2333.953125</v>
      </c>
      <c r="S25">
        <f>income_statement!S16*0.03</f>
        <v>493.95937499999997</v>
      </c>
      <c r="T25">
        <f>income_statement!T16*0.03</f>
        <v>1410.25125</v>
      </c>
      <c r="U25">
        <f>income_statement!U16*0.03</f>
        <v>4238.1637499999997</v>
      </c>
      <c r="V25">
        <f>income_statement!V16*0.03</f>
        <v>0</v>
      </c>
      <c r="W25">
        <f>income_statement!W16*0.03</f>
        <v>3109.0650000000001</v>
      </c>
      <c r="X25">
        <f>income_statement!X16*0.03</f>
        <v>733.80937499999993</v>
      </c>
      <c r="Y25">
        <f>income_statement!Y16*0.03</f>
        <v>1700.8799999999999</v>
      </c>
      <c r="Z25">
        <f>income_statement!Z16*0.03</f>
        <v>5543.7543749999995</v>
      </c>
    </row>
    <row r="26" spans="1:26" x14ac:dyDescent="0.3">
      <c r="A26" t="s">
        <v>196</v>
      </c>
      <c r="B26">
        <f>B25</f>
        <v>0</v>
      </c>
      <c r="C26">
        <f>C25</f>
        <v>831.9</v>
      </c>
      <c r="D26">
        <f>D25</f>
        <v>189.15890625</v>
      </c>
      <c r="E26">
        <f>E25</f>
        <v>530.24250000000006</v>
      </c>
      <c r="F26">
        <f t="shared" ref="F26:F30" si="15">SUM(B26:E26)</f>
        <v>1551.3014062500001</v>
      </c>
      <c r="G26">
        <f t="shared" ref="G26:Z26" si="16">G25</f>
        <v>0</v>
      </c>
      <c r="H26">
        <f t="shared" si="16"/>
        <v>1244.4056249999999</v>
      </c>
      <c r="I26">
        <f t="shared" si="16"/>
        <v>245.7</v>
      </c>
      <c r="J26">
        <f t="shared" si="16"/>
        <v>932.80499999999995</v>
      </c>
      <c r="K26">
        <f t="shared" si="16"/>
        <v>2422.910625</v>
      </c>
      <c r="L26">
        <f t="shared" si="16"/>
        <v>0</v>
      </c>
      <c r="M26">
        <f t="shared" si="16"/>
        <v>1755.8245312499998</v>
      </c>
      <c r="N26">
        <f t="shared" si="16"/>
        <v>366.90468749999997</v>
      </c>
      <c r="O26">
        <f t="shared" si="16"/>
        <v>1158.0974999999999</v>
      </c>
      <c r="P26">
        <f t="shared" si="16"/>
        <v>3280.8267187500001</v>
      </c>
      <c r="Q26">
        <f t="shared" si="16"/>
        <v>0</v>
      </c>
      <c r="R26">
        <f t="shared" si="16"/>
        <v>2333.953125</v>
      </c>
      <c r="S26">
        <f t="shared" si="16"/>
        <v>493.95937499999997</v>
      </c>
      <c r="T26">
        <f t="shared" si="16"/>
        <v>1410.25125</v>
      </c>
      <c r="U26">
        <f t="shared" si="16"/>
        <v>4238.1637499999997</v>
      </c>
      <c r="V26">
        <f t="shared" si="16"/>
        <v>0</v>
      </c>
      <c r="W26">
        <f t="shared" si="16"/>
        <v>3109.0650000000001</v>
      </c>
      <c r="X26">
        <f t="shared" si="16"/>
        <v>733.80937499999993</v>
      </c>
      <c r="Y26">
        <f t="shared" si="16"/>
        <v>1700.8799999999999</v>
      </c>
      <c r="Z26">
        <f t="shared" si="16"/>
        <v>5543.7543749999995</v>
      </c>
    </row>
    <row r="27" spans="1:26" x14ac:dyDescent="0.3">
      <c r="A27" t="s">
        <v>197</v>
      </c>
      <c r="B27">
        <f>B24</f>
        <v>89.412500000000009</v>
      </c>
      <c r="C27">
        <f t="shared" ref="C27:Z27" si="17">C24</f>
        <v>206.13600000000002</v>
      </c>
      <c r="D27">
        <f t="shared" si="17"/>
        <v>0</v>
      </c>
      <c r="E27">
        <f t="shared" si="17"/>
        <v>443.5</v>
      </c>
      <c r="F27">
        <f t="shared" si="17"/>
        <v>739.0485000000001</v>
      </c>
      <c r="G27">
        <f t="shared" si="17"/>
        <v>115.5</v>
      </c>
      <c r="H27">
        <f t="shared" si="17"/>
        <v>362.04</v>
      </c>
      <c r="I27">
        <f t="shared" si="17"/>
        <v>0</v>
      </c>
      <c r="J27">
        <f t="shared" si="17"/>
        <v>632.75</v>
      </c>
      <c r="K27">
        <f t="shared" si="17"/>
        <v>1110.29</v>
      </c>
      <c r="L27">
        <f t="shared" si="17"/>
        <v>172.625</v>
      </c>
      <c r="M27">
        <f t="shared" si="17"/>
        <v>493.8</v>
      </c>
      <c r="N27">
        <f t="shared" si="17"/>
        <v>0</v>
      </c>
      <c r="O27">
        <f t="shared" si="17"/>
        <v>846.63750000000005</v>
      </c>
      <c r="P27">
        <f t="shared" si="17"/>
        <v>1513.0625</v>
      </c>
      <c r="Q27">
        <f t="shared" si="17"/>
        <v>232.5</v>
      </c>
      <c r="R27">
        <f t="shared" si="17"/>
        <v>547.12</v>
      </c>
      <c r="S27">
        <f t="shared" si="17"/>
        <v>0</v>
      </c>
      <c r="T27">
        <f t="shared" si="17"/>
        <v>1139.1500000000001</v>
      </c>
      <c r="U27">
        <f t="shared" si="17"/>
        <v>1918.77</v>
      </c>
      <c r="V27">
        <f t="shared" si="17"/>
        <v>345.75</v>
      </c>
      <c r="W27">
        <f t="shared" si="17"/>
        <v>659.68000000000006</v>
      </c>
      <c r="X27">
        <f t="shared" si="17"/>
        <v>0</v>
      </c>
      <c r="Y27">
        <f t="shared" si="17"/>
        <v>1333.95</v>
      </c>
      <c r="Z27">
        <f t="shared" si="17"/>
        <v>2339.38</v>
      </c>
    </row>
    <row r="28" spans="1:26" x14ac:dyDescent="0.3">
      <c r="A28" t="s">
        <v>198</v>
      </c>
      <c r="B28">
        <f>income_statement!B16*0.002</f>
        <v>0</v>
      </c>
      <c r="C28">
        <f>income_statement!C16*0.002</f>
        <v>55.46</v>
      </c>
      <c r="D28">
        <f>income_statement!D16*0.002</f>
        <v>12.61059375</v>
      </c>
      <c r="E28">
        <f>income_statement!E16*0.002</f>
        <v>35.349500000000006</v>
      </c>
      <c r="F28">
        <f>income_statement!F16*0.002</f>
        <v>103.42009375000001</v>
      </c>
      <c r="G28">
        <f>income_statement!G16*0.002</f>
        <v>0</v>
      </c>
      <c r="H28">
        <f>income_statement!H16*0.002</f>
        <v>82.960374999999999</v>
      </c>
      <c r="I28">
        <f>income_statement!I16*0.002</f>
        <v>16.38</v>
      </c>
      <c r="J28">
        <f>income_statement!J16*0.002</f>
        <v>62.187000000000005</v>
      </c>
      <c r="K28">
        <f>income_statement!K16*0.002</f>
        <v>161.52737500000001</v>
      </c>
      <c r="L28">
        <f>income_statement!L16*0.002</f>
        <v>0</v>
      </c>
      <c r="M28">
        <f>income_statement!M16*0.002</f>
        <v>117.05496875</v>
      </c>
      <c r="N28">
        <f>income_statement!N16*0.002</f>
        <v>24.460312500000001</v>
      </c>
      <c r="O28">
        <f>income_statement!O16*0.002</f>
        <v>77.206500000000005</v>
      </c>
      <c r="P28">
        <f>income_statement!P16*0.002</f>
        <v>218.72178124999999</v>
      </c>
      <c r="Q28">
        <f>income_statement!Q16*0.002</f>
        <v>0</v>
      </c>
      <c r="R28">
        <f>income_statement!R16*0.002</f>
        <v>155.59687500000001</v>
      </c>
      <c r="S28">
        <f>income_statement!S16*0.002</f>
        <v>32.930624999999999</v>
      </c>
      <c r="T28">
        <f>income_statement!T16*0.002</f>
        <v>94.016750000000002</v>
      </c>
      <c r="U28">
        <f>income_statement!U16*0.002</f>
        <v>282.54425000000003</v>
      </c>
      <c r="V28">
        <f>income_statement!V16*0.002</f>
        <v>0</v>
      </c>
      <c r="W28">
        <f>income_statement!W16*0.002</f>
        <v>207.27100000000002</v>
      </c>
      <c r="X28">
        <f>income_statement!X16*0.002</f>
        <v>48.920625000000001</v>
      </c>
      <c r="Y28">
        <f>income_statement!Y16*0.002</f>
        <v>113.392</v>
      </c>
      <c r="Z28">
        <f>income_statement!Z16*0.002</f>
        <v>369.58362499999998</v>
      </c>
    </row>
    <row r="29" spans="1:26" x14ac:dyDescent="0.3">
      <c r="A29" t="s">
        <v>199</v>
      </c>
      <c r="F29">
        <f t="shared" si="15"/>
        <v>0</v>
      </c>
      <c r="G29">
        <v>100</v>
      </c>
      <c r="K29">
        <f>SUM(G29:J29)</f>
        <v>100</v>
      </c>
      <c r="L29">
        <v>50</v>
      </c>
      <c r="P29">
        <f>SUM(L29:O29)</f>
        <v>50</v>
      </c>
      <c r="Q29">
        <v>50</v>
      </c>
      <c r="U29">
        <f>SUM(Q29:T29)</f>
        <v>50</v>
      </c>
      <c r="V29">
        <v>50</v>
      </c>
      <c r="Z29">
        <f>SUM(V29:Y29)</f>
        <v>50</v>
      </c>
    </row>
    <row r="30" spans="1:26" x14ac:dyDescent="0.3">
      <c r="A30" t="s">
        <v>200</v>
      </c>
      <c r="B30">
        <v>191.25</v>
      </c>
      <c r="C30">
        <v>191.25</v>
      </c>
      <c r="D30">
        <v>191.25</v>
      </c>
      <c r="E30">
        <v>191.25</v>
      </c>
      <c r="F30">
        <f t="shared" si="15"/>
        <v>765</v>
      </c>
      <c r="G30">
        <f>B30*1.25</f>
        <v>239.0625</v>
      </c>
      <c r="H30">
        <f>C30*1.25</f>
        <v>239.0625</v>
      </c>
      <c r="I30">
        <f>D30*1.25</f>
        <v>239.0625</v>
      </c>
      <c r="J30">
        <f>E30*1.25</f>
        <v>239.0625</v>
      </c>
      <c r="K30">
        <f>SUM(G30:J30)</f>
        <v>956.25</v>
      </c>
      <c r="L30">
        <f>G30*1.25</f>
        <v>298.828125</v>
      </c>
      <c r="M30">
        <f>H30*1.25</f>
        <v>298.828125</v>
      </c>
      <c r="N30">
        <f>I30*1.25</f>
        <v>298.828125</v>
      </c>
      <c r="O30">
        <f>J30*1.25</f>
        <v>298.828125</v>
      </c>
      <c r="P30">
        <f>SUM(L30:O30)</f>
        <v>1195.3125</v>
      </c>
      <c r="Q30">
        <f>L30*1.25</f>
        <v>373.53515625</v>
      </c>
      <c r="R30">
        <f>M30*1.25</f>
        <v>373.53515625</v>
      </c>
      <c r="S30">
        <f>N30*1.25</f>
        <v>373.53515625</v>
      </c>
      <c r="T30">
        <f>O30*1.25</f>
        <v>373.53515625</v>
      </c>
      <c r="U30">
        <f>SUM(Q30:T30)</f>
        <v>1494.140625</v>
      </c>
      <c r="V30">
        <f>Q30*1.25</f>
        <v>466.9189453125</v>
      </c>
      <c r="W30">
        <f>R30*1.25</f>
        <v>466.9189453125</v>
      </c>
      <c r="X30">
        <f>S30*1.25</f>
        <v>466.9189453125</v>
      </c>
      <c r="Y30">
        <f>T30*1.25</f>
        <v>466.9189453125</v>
      </c>
      <c r="Z30">
        <f>SUM(V30:Y30)</f>
        <v>1867.67578125</v>
      </c>
    </row>
    <row r="31" spans="1:26" x14ac:dyDescent="0.3">
      <c r="A31" t="s">
        <v>201</v>
      </c>
      <c r="B31">
        <f>SUM(B24:B30)</f>
        <v>370.07500000000005</v>
      </c>
      <c r="C31">
        <f>SUM(C24:C30)</f>
        <v>2322.7820000000002</v>
      </c>
      <c r="D31">
        <f>SUM(D24:D30)</f>
        <v>582.17840625000008</v>
      </c>
      <c r="E31">
        <f>SUM(E24:E30)</f>
        <v>2174.0844999999999</v>
      </c>
      <c r="F31">
        <f>SUM(F24:F30)</f>
        <v>5449.11990625</v>
      </c>
      <c r="G31">
        <f t="shared" ref="G31:J31" si="18">SUM(G24:G30)</f>
        <v>570.0625</v>
      </c>
      <c r="H31">
        <f t="shared" si="18"/>
        <v>3534.9141249999998</v>
      </c>
      <c r="I31">
        <f t="shared" si="18"/>
        <v>746.84249999999997</v>
      </c>
      <c r="J31">
        <f t="shared" si="18"/>
        <v>3432.3594999999996</v>
      </c>
      <c r="K31">
        <f t="shared" ref="K31" si="19">SUM(K24:K30)</f>
        <v>8284.1786250000005</v>
      </c>
      <c r="L31">
        <f t="shared" ref="L31" si="20">SUM(L24:L30)</f>
        <v>694.078125</v>
      </c>
      <c r="M31">
        <f t="shared" ref="M31" si="21">SUM(M24:M30)</f>
        <v>4915.1321562499998</v>
      </c>
      <c r="N31">
        <f t="shared" ref="N31" si="22">SUM(N24:N30)</f>
        <v>1057.0978124999999</v>
      </c>
      <c r="O31">
        <f t="shared" ref="O31" si="23">SUM(O24:O30)</f>
        <v>4385.5046249999996</v>
      </c>
      <c r="P31">
        <f t="shared" ref="P31" si="24">SUM(P24:P30)</f>
        <v>11051.812718750001</v>
      </c>
      <c r="Q31">
        <f t="shared" ref="Q31" si="25">SUM(Q24:Q30)</f>
        <v>888.53515625</v>
      </c>
      <c r="R31">
        <f t="shared" ref="R31" si="26">SUM(R24:R30)</f>
        <v>6291.27828125</v>
      </c>
      <c r="S31">
        <f t="shared" ref="S31" si="27">SUM(S24:S30)</f>
        <v>1394.3845312499998</v>
      </c>
      <c r="T31">
        <f t="shared" ref="T31" si="28">SUM(T24:T30)</f>
        <v>5566.3544062499996</v>
      </c>
      <c r="U31">
        <f t="shared" ref="U31" si="29">SUM(U24:U30)</f>
        <v>14140.552375000001</v>
      </c>
      <c r="V31">
        <f t="shared" ref="V31" si="30">SUM(V24:V30)</f>
        <v>1208.4189453125</v>
      </c>
      <c r="W31">
        <f t="shared" ref="W31" si="31">SUM(W24:W30)</f>
        <v>8211.6799453124986</v>
      </c>
      <c r="X31">
        <f t="shared" ref="X31" si="32">SUM(X24:X30)</f>
        <v>1983.4583203124998</v>
      </c>
      <c r="Y31">
        <f t="shared" ref="Y31" si="33">SUM(Y24:Y30)</f>
        <v>6649.9709453124997</v>
      </c>
      <c r="Z31">
        <f t="shared" ref="Z31" si="34">SUM(Z24:Z30)</f>
        <v>18053.528156249999</v>
      </c>
    </row>
    <row r="32" spans="1:26" x14ac:dyDescent="0.3">
      <c r="A32" t="s">
        <v>262</v>
      </c>
      <c r="B32">
        <f t="shared" ref="B32:Z32" si="35">B31+B22</f>
        <v>718.57500000000005</v>
      </c>
      <c r="C32">
        <f t="shared" si="35"/>
        <v>2548.7820000000002</v>
      </c>
      <c r="D32">
        <f t="shared" si="35"/>
        <v>808.17840625000008</v>
      </c>
      <c r="E32">
        <f t="shared" si="35"/>
        <v>2443.5569999999998</v>
      </c>
      <c r="F32">
        <f t="shared" si="35"/>
        <v>6519.0924062499998</v>
      </c>
      <c r="G32">
        <f t="shared" si="35"/>
        <v>1225.3125</v>
      </c>
      <c r="H32">
        <f t="shared" si="35"/>
        <v>4550.1641249999993</v>
      </c>
      <c r="I32">
        <f t="shared" si="35"/>
        <v>1362.0925</v>
      </c>
      <c r="J32">
        <f t="shared" si="35"/>
        <v>5752.9472999999998</v>
      </c>
      <c r="K32">
        <f t="shared" si="35"/>
        <v>12890.516425000002</v>
      </c>
      <c r="L32">
        <f t="shared" si="35"/>
        <v>1403.965625</v>
      </c>
      <c r="M32">
        <f t="shared" si="35"/>
        <v>5810.0196562499996</v>
      </c>
      <c r="N32">
        <f t="shared" si="35"/>
        <v>1751.9853125</v>
      </c>
      <c r="O32">
        <f t="shared" si="35"/>
        <v>6529.7114833124997</v>
      </c>
      <c r="P32">
        <f t="shared" si="35"/>
        <v>15495.682077062502</v>
      </c>
      <c r="Q32">
        <f t="shared" si="35"/>
        <v>1653.2645312500001</v>
      </c>
      <c r="R32">
        <f t="shared" si="35"/>
        <v>7231.0076562499999</v>
      </c>
      <c r="S32">
        <f t="shared" si="35"/>
        <v>2134.1139062499997</v>
      </c>
      <c r="T32">
        <f t="shared" si="35"/>
        <v>7555.8552028406248</v>
      </c>
      <c r="U32">
        <f t="shared" si="35"/>
        <v>18574.241296590626</v>
      </c>
      <c r="V32">
        <f t="shared" si="35"/>
        <v>2028.3795390625</v>
      </c>
      <c r="W32">
        <f t="shared" si="35"/>
        <v>9096.6405390624986</v>
      </c>
      <c r="X32">
        <f t="shared" si="35"/>
        <v>2753.4189140624999</v>
      </c>
      <c r="Y32">
        <f t="shared" si="35"/>
        <v>8514.4609631195308</v>
      </c>
      <c r="Z32">
        <f t="shared" si="35"/>
        <v>22392.899955307032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>
      <selection activeCell="B5" sqref="B5"/>
    </sheetView>
  </sheetViews>
  <sheetFormatPr defaultRowHeight="14.4" x14ac:dyDescent="0.3"/>
  <sheetData>
    <row r="1" spans="1:26" x14ac:dyDescent="0.3">
      <c r="B1" t="s">
        <v>247</v>
      </c>
      <c r="G1" t="s">
        <v>248</v>
      </c>
      <c r="L1" t="s">
        <v>249</v>
      </c>
      <c r="Q1" t="s">
        <v>250</v>
      </c>
      <c r="V1" t="s">
        <v>251</v>
      </c>
    </row>
    <row r="2" spans="1:26" x14ac:dyDescent="0.3">
      <c r="B2" t="s">
        <v>1</v>
      </c>
      <c r="C2" t="s">
        <v>2</v>
      </c>
      <c r="D2" t="s">
        <v>3</v>
      </c>
      <c r="E2" t="s">
        <v>4</v>
      </c>
      <c r="F2" t="s">
        <v>255</v>
      </c>
      <c r="G2" t="s">
        <v>5</v>
      </c>
      <c r="H2" t="s">
        <v>6</v>
      </c>
      <c r="I2" t="s">
        <v>7</v>
      </c>
      <c r="J2" t="s">
        <v>8</v>
      </c>
      <c r="K2" t="s">
        <v>256</v>
      </c>
      <c r="L2" t="s">
        <v>9</v>
      </c>
      <c r="M2" t="s">
        <v>10</v>
      </c>
      <c r="N2" t="s">
        <v>11</v>
      </c>
      <c r="O2" t="s">
        <v>12</v>
      </c>
      <c r="P2" t="s">
        <v>257</v>
      </c>
      <c r="Q2" t="s">
        <v>13</v>
      </c>
      <c r="R2" t="s">
        <v>14</v>
      </c>
      <c r="S2" t="s">
        <v>15</v>
      </c>
      <c r="T2" t="s">
        <v>16</v>
      </c>
      <c r="U2" t="s">
        <v>258</v>
      </c>
      <c r="V2" t="s">
        <v>17</v>
      </c>
      <c r="W2" t="s">
        <v>18</v>
      </c>
      <c r="X2" t="s">
        <v>19</v>
      </c>
      <c r="Y2" t="s">
        <v>20</v>
      </c>
      <c r="Z2" t="s">
        <v>259</v>
      </c>
    </row>
    <row r="3" spans="1:26" x14ac:dyDescent="0.3">
      <c r="A3" t="s">
        <v>202</v>
      </c>
      <c r="B3">
        <f>indirect_expenses!B32*0.05</f>
        <v>35.928750000000001</v>
      </c>
      <c r="C3">
        <f>indirect_expenses!C32*0.05</f>
        <v>127.43910000000001</v>
      </c>
      <c r="D3">
        <f>indirect_expenses!D32*0.05</f>
        <v>40.408920312500008</v>
      </c>
      <c r="E3">
        <f>indirect_expenses!E32*0.05</f>
        <v>122.17784999999999</v>
      </c>
      <c r="F3">
        <f>indirect_expenses!F32*0.05</f>
        <v>325.95462031250003</v>
      </c>
      <c r="G3">
        <f>indirect_expenses!G32*0.05</f>
        <v>61.265625</v>
      </c>
      <c r="H3">
        <f>indirect_expenses!H32*0.05</f>
        <v>227.50820624999997</v>
      </c>
      <c r="I3">
        <f>indirect_expenses!I32*0.05</f>
        <v>68.104624999999999</v>
      </c>
      <c r="J3">
        <f>indirect_expenses!J32*0.05</f>
        <v>287.64736499999998</v>
      </c>
      <c r="K3">
        <f>indirect_expenses!K32*0.05</f>
        <v>644.52582125000015</v>
      </c>
      <c r="L3">
        <f>indirect_expenses!L32*0.05</f>
        <v>70.198281250000008</v>
      </c>
      <c r="M3">
        <f>indirect_expenses!M32*0.05</f>
        <v>290.50098281250001</v>
      </c>
      <c r="N3">
        <f>indirect_expenses!N32*0.05</f>
        <v>87.599265625000001</v>
      </c>
      <c r="O3">
        <f>indirect_expenses!O32*0.05</f>
        <v>326.485574165625</v>
      </c>
      <c r="P3">
        <f>indirect_expenses!P32*0.05</f>
        <v>774.78410385312509</v>
      </c>
      <c r="Q3">
        <f>indirect_expenses!Q32*0.05</f>
        <v>82.663226562500014</v>
      </c>
      <c r="R3">
        <f>indirect_expenses!R32*0.05</f>
        <v>361.5503828125</v>
      </c>
      <c r="S3">
        <f>indirect_expenses!S32*0.05</f>
        <v>106.70569531249998</v>
      </c>
      <c r="T3">
        <f>indirect_expenses!T32*0.05</f>
        <v>377.79276014203128</v>
      </c>
      <c r="U3">
        <f>indirect_expenses!U32*0.05</f>
        <v>928.7120648295313</v>
      </c>
      <c r="V3">
        <f>indirect_expenses!V32*0.05</f>
        <v>101.41897695312501</v>
      </c>
      <c r="W3">
        <f>indirect_expenses!W32*0.05</f>
        <v>454.83202695312497</v>
      </c>
      <c r="X3">
        <f>indirect_expenses!X32*0.05</f>
        <v>137.670945703125</v>
      </c>
      <c r="Y3">
        <f>indirect_expenses!Y32*0.05</f>
        <v>425.72304815597658</v>
      </c>
      <c r="Z3">
        <f>indirect_expenses!Z32*0.05</f>
        <v>1119.6449977653517</v>
      </c>
    </row>
    <row r="4" spans="1:26" x14ac:dyDescent="0.3">
      <c r="A4" t="s">
        <v>266</v>
      </c>
      <c r="B4">
        <f>B3+indirect_expenses!B32</f>
        <v>754.50375000000008</v>
      </c>
      <c r="C4">
        <f>C3+indirect_expenses!C32</f>
        <v>2676.2211000000002</v>
      </c>
      <c r="D4">
        <f>D3+indirect_expenses!D32</f>
        <v>848.58732656250004</v>
      </c>
      <c r="E4">
        <f>E3+indirect_expenses!E32</f>
        <v>2565.7348499999998</v>
      </c>
      <c r="F4">
        <f>F3+indirect_expenses!F32</f>
        <v>6845.0470265624999</v>
      </c>
      <c r="G4">
        <f>G3+indirect_expenses!G32</f>
        <v>1286.578125</v>
      </c>
      <c r="H4">
        <f>H3+indirect_expenses!H32</f>
        <v>4777.6723312499989</v>
      </c>
      <c r="I4">
        <f>I3+indirect_expenses!I32</f>
        <v>1430.1971249999999</v>
      </c>
      <c r="J4">
        <f>J3+indirect_expenses!J32</f>
        <v>6040.5946649999996</v>
      </c>
      <c r="K4">
        <f>K3+indirect_expenses!K32</f>
        <v>13535.042246250001</v>
      </c>
      <c r="L4">
        <f>L3+indirect_expenses!L32</f>
        <v>1474.1639062500001</v>
      </c>
      <c r="M4">
        <f>M3+indirect_expenses!M32</f>
        <v>6100.5206390624999</v>
      </c>
      <c r="N4">
        <f>N3+indirect_expenses!N32</f>
        <v>1839.584578125</v>
      </c>
      <c r="O4">
        <f>O3+indirect_expenses!O32</f>
        <v>6856.1970574781244</v>
      </c>
      <c r="P4">
        <f>P3+indirect_expenses!P32</f>
        <v>16270.466180915628</v>
      </c>
      <c r="Q4">
        <f>Q3+indirect_expenses!Q32</f>
        <v>1735.9277578125002</v>
      </c>
      <c r="R4">
        <f>R3+indirect_expenses!R32</f>
        <v>7592.5580390625</v>
      </c>
      <c r="S4">
        <f>S3+indirect_expenses!S32</f>
        <v>2240.8196015624999</v>
      </c>
      <c r="T4">
        <f>T3+indirect_expenses!T32</f>
        <v>7933.6479629826563</v>
      </c>
      <c r="U4">
        <f>U3+indirect_expenses!U32</f>
        <v>19502.953361420157</v>
      </c>
      <c r="V4">
        <f>V3+indirect_expenses!V32</f>
        <v>2129.798516015625</v>
      </c>
      <c r="W4">
        <f>W3+indirect_expenses!W32</f>
        <v>9551.4725660156237</v>
      </c>
      <c r="X4">
        <f>X3+indirect_expenses!X32</f>
        <v>2891.0898597656251</v>
      </c>
      <c r="Y4">
        <f>Y3+indirect_expenses!Y32</f>
        <v>8940.1840112755071</v>
      </c>
      <c r="Z4">
        <f>Z3+indirect_expenses!Z32</f>
        <v>23512.544953072382</v>
      </c>
    </row>
    <row r="5" spans="1:26" x14ac:dyDescent="0.3">
      <c r="A5" t="s">
        <v>267</v>
      </c>
      <c r="B5" s="255">
        <f>direct_expenses!B15-B4</f>
        <v>-8872.1287499999999</v>
      </c>
      <c r="C5" s="255">
        <f>direct_expenses!C15-C4</f>
        <v>14025.978899999996</v>
      </c>
      <c r="D5" s="255">
        <f>direct_expenses!D15-D4</f>
        <v>4735.7095484375004</v>
      </c>
      <c r="E5" s="255">
        <f>direct_expenses!E15-E4</f>
        <v>-5306.9848499999962</v>
      </c>
      <c r="F5" s="255">
        <f>direct_expenses!F15-F4</f>
        <v>4582.5748484374972</v>
      </c>
      <c r="G5" s="255">
        <f>direct_expenses!G15-G4</f>
        <v>-12025.028125000001</v>
      </c>
      <c r="H5" s="255">
        <f>direct_expenses!H15-H4</f>
        <v>17802.915168750002</v>
      </c>
      <c r="I5" s="255">
        <f>direct_expenses!I15-I4</f>
        <v>5962.2028749999999</v>
      </c>
      <c r="J5" s="255">
        <f>direct_expenses!J15-J4</f>
        <v>-3805.4446649999982</v>
      </c>
      <c r="K5" s="255">
        <f>direct_expenses!K15-K4</f>
        <v>7934.645253749999</v>
      </c>
      <c r="L5" s="255">
        <f>direct_expenses!L15-L4</f>
        <v>-16742.09328125</v>
      </c>
      <c r="M5" s="255">
        <f>direct_expenses!M15-M4</f>
        <v>26872.903735937503</v>
      </c>
      <c r="N5" s="255">
        <f>direct_expenses!N15-N4</f>
        <v>9526.5116718749996</v>
      </c>
      <c r="O5" s="255">
        <f>direct_expenses!O15-O4</f>
        <v>-6781.1070574781279</v>
      </c>
      <c r="P5" s="255">
        <f>direct_expenses!P15-P4</f>
        <v>12876.215069084366</v>
      </c>
      <c r="Q5" s="255">
        <f>direct_expenses!Q15-Q4</f>
        <v>-21818.552257812498</v>
      </c>
      <c r="R5" s="255">
        <f>direct_expenses!R15-R4</f>
        <v>41904.028460937508</v>
      </c>
      <c r="S5" s="255">
        <f>direct_expenses!S15-S4</f>
        <v>13278.6418984375</v>
      </c>
      <c r="T5" s="255">
        <f>direct_expenses!T15-T4</f>
        <v>-12302.42896298266</v>
      </c>
      <c r="U5" s="255">
        <f>direct_expenses!U15-U4</f>
        <v>21061.689138579844</v>
      </c>
      <c r="V5" s="255">
        <f>direct_expenses!V15-V4</f>
        <v>-30794.904216015624</v>
      </c>
      <c r="W5" s="255">
        <f>direct_expenses!W15-W4</f>
        <v>60064.591333984383</v>
      </c>
      <c r="X5" s="255">
        <f>direct_expenses!X15-X4</f>
        <v>20533.786540234374</v>
      </c>
      <c r="Y5" s="255">
        <f>direct_expenses!Y15-Y4</f>
        <v>-11927.822611275513</v>
      </c>
      <c r="Z5" s="255">
        <f>direct_expenses!Z15-Z4</f>
        <v>37875.651046927611</v>
      </c>
    </row>
    <row r="6" spans="1:26" x14ac:dyDescent="0.3">
      <c r="A6" t="s">
        <v>203</v>
      </c>
      <c r="B6">
        <v>0</v>
      </c>
      <c r="C6">
        <v>0</v>
      </c>
      <c r="D6">
        <v>0</v>
      </c>
      <c r="E6">
        <v>0</v>
      </c>
      <c r="F6">
        <v>0</v>
      </c>
      <c r="K6">
        <f>K5*25%</f>
        <v>1983.6613134374998</v>
      </c>
      <c r="P6">
        <f>P5*25%</f>
        <v>3219.0537672710916</v>
      </c>
      <c r="Q6">
        <v>0</v>
      </c>
      <c r="R6">
        <v>0</v>
      </c>
      <c r="S6">
        <f>S5*25%</f>
        <v>3319.6604746093749</v>
      </c>
      <c r="T6">
        <f>T5*25%</f>
        <v>-3075.607240745665</v>
      </c>
      <c r="U6">
        <f>U5*25%</f>
        <v>5265.4222846449611</v>
      </c>
      <c r="V6">
        <f>V5*25%</f>
        <v>-7698.726054003906</v>
      </c>
      <c r="W6">
        <v>0</v>
      </c>
      <c r="X6">
        <f>X5*25%</f>
        <v>5133.4466350585935</v>
      </c>
      <c r="Y6">
        <f>Y5*25%</f>
        <v>-2981.9556528188782</v>
      </c>
      <c r="Z6">
        <f>Z5*25%</f>
        <v>9468.9127617319027</v>
      </c>
    </row>
    <row r="7" spans="1:26" x14ac:dyDescent="0.3">
      <c r="A7" t="s">
        <v>263</v>
      </c>
      <c r="F7">
        <f>F5-F6</f>
        <v>4582.5748484374972</v>
      </c>
      <c r="K7">
        <f>K5-K6</f>
        <v>5950.9839403124988</v>
      </c>
      <c r="P7">
        <f>P5-P6</f>
        <v>9657.1613018132739</v>
      </c>
      <c r="U7">
        <f>U5-U6</f>
        <v>15796.266853934883</v>
      </c>
      <c r="Z7">
        <f>Z5-Z6</f>
        <v>28406.738285195708</v>
      </c>
    </row>
    <row r="8" spans="1:26" x14ac:dyDescent="0.3">
      <c r="A8" t="s">
        <v>268</v>
      </c>
      <c r="F8">
        <f>F7</f>
        <v>4582.5748484374972</v>
      </c>
      <c r="K8">
        <f>K7+F8</f>
        <v>10533.558788749997</v>
      </c>
      <c r="P8">
        <f>P7+K8</f>
        <v>20190.720090563271</v>
      </c>
      <c r="U8">
        <f>P8+U7</f>
        <v>35986.986944498152</v>
      </c>
      <c r="Z8">
        <f>U8+Z7</f>
        <v>64393.72522969386</v>
      </c>
    </row>
    <row r="10" spans="1:26" x14ac:dyDescent="0.3">
      <c r="A10" t="s">
        <v>264</v>
      </c>
    </row>
    <row r="11" spans="1:26" x14ac:dyDescent="0.3">
      <c r="A11" t="s">
        <v>265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218</v>
      </c>
      <c r="B1" t="s">
        <v>232</v>
      </c>
    </row>
    <row r="2" spans="1:2" x14ac:dyDescent="0.3">
      <c r="A2" t="s">
        <v>219</v>
      </c>
      <c r="B2" t="s">
        <v>230</v>
      </c>
    </row>
    <row r="3" spans="1:2" x14ac:dyDescent="0.3">
      <c r="A3" t="s">
        <v>220</v>
      </c>
      <c r="B3" t="s">
        <v>231</v>
      </c>
    </row>
    <row r="4" spans="1:2" x14ac:dyDescent="0.3">
      <c r="A4" t="s">
        <v>221</v>
      </c>
      <c r="B4" t="s">
        <v>232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topLeftCell="F1" workbookViewId="0">
      <selection activeCell="N6" sqref="N6"/>
    </sheetView>
  </sheetViews>
  <sheetFormatPr defaultRowHeight="14.4" x14ac:dyDescent="0.3"/>
  <cols>
    <col min="1" max="1" width="29" customWidth="1"/>
    <col min="2" max="2" width="9.109375" customWidth="1"/>
    <col min="3" max="3" width="11.6640625" customWidth="1"/>
    <col min="4" max="4" width="9.88671875" customWidth="1"/>
    <col min="5" max="5" width="10.6640625" customWidth="1"/>
    <col min="6" max="6" width="12.109375" customWidth="1"/>
    <col min="7" max="7" width="9.44140625" customWidth="1"/>
    <col min="8" max="8" width="8.6640625" customWidth="1"/>
    <col min="9" max="9" width="8.88671875" customWidth="1"/>
    <col min="10" max="11" width="10.44140625" bestFit="1" customWidth="1"/>
    <col min="12" max="13" width="13" bestFit="1" customWidth="1"/>
    <col min="14" max="14" width="10.44140625" bestFit="1" customWidth="1"/>
    <col min="15" max="15" width="11.5546875" bestFit="1" customWidth="1"/>
    <col min="16" max="30" width="10.44140625" bestFit="1" customWidth="1"/>
    <col min="31" max="31" width="12.33203125" bestFit="1" customWidth="1"/>
  </cols>
  <sheetData>
    <row r="1" spans="1:31" ht="17.399999999999999" x14ac:dyDescent="0.3">
      <c r="A1" s="273" t="s">
        <v>80</v>
      </c>
      <c r="B1" s="273"/>
      <c r="C1" s="273"/>
      <c r="D1" s="273"/>
      <c r="E1" s="273"/>
      <c r="F1" s="272" t="s">
        <v>222</v>
      </c>
      <c r="G1" s="272"/>
      <c r="H1" s="272"/>
      <c r="I1" s="272"/>
      <c r="J1" s="66"/>
      <c r="K1" s="272" t="s">
        <v>223</v>
      </c>
      <c r="L1" s="272"/>
      <c r="M1" s="272"/>
      <c r="N1" s="272"/>
      <c r="O1" s="66"/>
      <c r="P1" s="272" t="s">
        <v>224</v>
      </c>
      <c r="Q1" s="272"/>
      <c r="R1" s="272"/>
      <c r="S1" s="272"/>
      <c r="T1" s="66"/>
      <c r="U1" s="272" t="s">
        <v>225</v>
      </c>
      <c r="V1" s="272"/>
      <c r="W1" s="272"/>
      <c r="X1" s="272"/>
      <c r="Y1" s="66"/>
      <c r="Z1" s="272" t="s">
        <v>226</v>
      </c>
      <c r="AA1" s="272"/>
      <c r="AB1" s="272"/>
      <c r="AC1" s="272"/>
      <c r="AD1" s="67"/>
      <c r="AE1" s="4"/>
    </row>
    <row r="2" spans="1:31" ht="30" x14ac:dyDescent="0.5">
      <c r="A2" s="68"/>
      <c r="B2" s="68"/>
      <c r="C2" s="68"/>
      <c r="D2" s="68"/>
      <c r="E2" s="68"/>
      <c r="F2" s="69" t="s">
        <v>1</v>
      </c>
      <c r="G2" s="69" t="s">
        <v>2</v>
      </c>
      <c r="H2" s="69" t="s">
        <v>3</v>
      </c>
      <c r="I2" s="69" t="s">
        <v>4</v>
      </c>
      <c r="J2" s="70" t="s">
        <v>79</v>
      </c>
      <c r="K2" s="71" t="s">
        <v>5</v>
      </c>
      <c r="L2" s="71" t="s">
        <v>6</v>
      </c>
      <c r="M2" s="71" t="s">
        <v>7</v>
      </c>
      <c r="N2" s="71" t="s">
        <v>8</v>
      </c>
      <c r="O2" s="70" t="s">
        <v>79</v>
      </c>
      <c r="P2" s="71" t="s">
        <v>9</v>
      </c>
      <c r="Q2" s="71" t="s">
        <v>10</v>
      </c>
      <c r="R2" s="71" t="s">
        <v>11</v>
      </c>
      <c r="S2" s="71" t="s">
        <v>12</v>
      </c>
      <c r="T2" s="70" t="s">
        <v>79</v>
      </c>
      <c r="U2" s="71" t="s">
        <v>13</v>
      </c>
      <c r="V2" s="71" t="s">
        <v>14</v>
      </c>
      <c r="W2" s="71" t="s">
        <v>15</v>
      </c>
      <c r="X2" s="71" t="s">
        <v>16</v>
      </c>
      <c r="Y2" s="70" t="s">
        <v>79</v>
      </c>
      <c r="Z2" s="71" t="s">
        <v>17</v>
      </c>
      <c r="AA2" s="71" t="s">
        <v>18</v>
      </c>
      <c r="AB2" s="71" t="s">
        <v>19</v>
      </c>
      <c r="AC2" s="71" t="s">
        <v>20</v>
      </c>
      <c r="AD2" s="72" t="s">
        <v>79</v>
      </c>
      <c r="AE2" s="73" t="s">
        <v>81</v>
      </c>
    </row>
    <row r="3" spans="1:31" ht="15.6" x14ac:dyDescent="0.3">
      <c r="A3" s="74" t="s">
        <v>82</v>
      </c>
      <c r="B3" s="66" t="s">
        <v>83</v>
      </c>
      <c r="C3" s="66" t="s">
        <v>84</v>
      </c>
      <c r="D3" s="66" t="s">
        <v>85</v>
      </c>
      <c r="E3" s="66" t="s">
        <v>79</v>
      </c>
      <c r="F3" s="75" t="s">
        <v>25</v>
      </c>
      <c r="G3" s="75" t="s">
        <v>26</v>
      </c>
      <c r="H3" s="75" t="s">
        <v>27</v>
      </c>
      <c r="I3" s="75" t="s">
        <v>28</v>
      </c>
      <c r="J3" s="76" t="s">
        <v>86</v>
      </c>
      <c r="K3" s="75" t="s">
        <v>25</v>
      </c>
      <c r="L3" s="75" t="s">
        <v>26</v>
      </c>
      <c r="M3" s="75" t="s">
        <v>27</v>
      </c>
      <c r="N3" s="75" t="s">
        <v>28</v>
      </c>
      <c r="O3" s="76" t="s">
        <v>87</v>
      </c>
      <c r="P3" s="75" t="s">
        <v>25</v>
      </c>
      <c r="Q3" s="75" t="s">
        <v>26</v>
      </c>
      <c r="R3" s="75" t="s">
        <v>27</v>
      </c>
      <c r="S3" s="75" t="s">
        <v>28</v>
      </c>
      <c r="T3" s="76" t="s">
        <v>88</v>
      </c>
      <c r="U3" s="75" t="s">
        <v>25</v>
      </c>
      <c r="V3" s="75" t="s">
        <v>26</v>
      </c>
      <c r="W3" s="75" t="s">
        <v>27</v>
      </c>
      <c r="X3" s="75" t="s">
        <v>28</v>
      </c>
      <c r="Y3" s="76" t="s">
        <v>89</v>
      </c>
      <c r="Z3" s="75" t="s">
        <v>25</v>
      </c>
      <c r="AA3" s="75" t="s">
        <v>26</v>
      </c>
      <c r="AB3" s="75" t="s">
        <v>27</v>
      </c>
      <c r="AC3" s="75" t="s">
        <v>28</v>
      </c>
      <c r="AD3" s="77" t="s">
        <v>90</v>
      </c>
      <c r="AE3" s="78" t="s">
        <v>79</v>
      </c>
    </row>
    <row r="4" spans="1:31" ht="16.2" thickBot="1" x14ac:dyDescent="0.35">
      <c r="A4" s="79" t="s">
        <v>91</v>
      </c>
      <c r="B4" s="79"/>
      <c r="C4" s="79"/>
      <c r="D4" s="79" t="s">
        <v>30</v>
      </c>
      <c r="E4" s="80"/>
      <c r="F4" s="7" t="s">
        <v>30</v>
      </c>
      <c r="G4" s="7" t="s">
        <v>30</v>
      </c>
      <c r="H4" s="7" t="s">
        <v>30</v>
      </c>
      <c r="I4" s="7" t="s">
        <v>30</v>
      </c>
      <c r="J4" s="7"/>
      <c r="K4" s="7" t="s">
        <v>30</v>
      </c>
      <c r="L4" s="7" t="s">
        <v>30</v>
      </c>
      <c r="M4" s="7" t="s">
        <v>30</v>
      </c>
      <c r="N4" s="7" t="s">
        <v>30</v>
      </c>
      <c r="O4" s="7"/>
      <c r="P4" s="7" t="s">
        <v>30</v>
      </c>
      <c r="Q4" s="7" t="s">
        <v>30</v>
      </c>
      <c r="R4" s="7" t="s">
        <v>30</v>
      </c>
      <c r="S4" s="7" t="s">
        <v>30</v>
      </c>
      <c r="T4" s="7"/>
      <c r="U4" s="7" t="s">
        <v>30</v>
      </c>
      <c r="V4" s="7" t="s">
        <v>30</v>
      </c>
      <c r="W4" s="7" t="s">
        <v>30</v>
      </c>
      <c r="X4" s="7" t="s">
        <v>30</v>
      </c>
      <c r="Y4" s="7"/>
      <c r="Z4" s="7" t="s">
        <v>30</v>
      </c>
      <c r="AA4" s="7" t="s">
        <v>30</v>
      </c>
      <c r="AB4" s="7" t="s">
        <v>30</v>
      </c>
      <c r="AC4" s="7" t="s">
        <v>30</v>
      </c>
      <c r="AD4" s="67"/>
      <c r="AE4" s="4"/>
    </row>
    <row r="5" spans="1:31" ht="15" thickBot="1" x14ac:dyDescent="0.35">
      <c r="A5" s="81"/>
      <c r="B5" s="82"/>
      <c r="C5" s="82"/>
      <c r="D5" s="83"/>
      <c r="E5" s="84"/>
      <c r="F5" s="85"/>
      <c r="G5" s="85"/>
      <c r="H5" s="85"/>
      <c r="I5" s="85"/>
      <c r="J5" s="86"/>
      <c r="K5" s="85"/>
      <c r="L5" s="85"/>
      <c r="M5" s="85"/>
      <c r="N5" s="85"/>
      <c r="O5" s="86"/>
      <c r="P5" s="85"/>
      <c r="Q5" s="85"/>
      <c r="R5" s="85"/>
      <c r="S5" s="85"/>
      <c r="T5" s="86"/>
      <c r="U5" s="85"/>
      <c r="V5" s="85"/>
      <c r="W5" s="85"/>
      <c r="X5" s="85"/>
      <c r="Y5" s="86">
        <f t="shared" ref="Y5:Y52" si="0">SUM(U5:X5)</f>
        <v>0</v>
      </c>
      <c r="Z5" s="85"/>
      <c r="AA5" s="85"/>
      <c r="AB5" s="85"/>
      <c r="AC5" s="85"/>
      <c r="AD5" s="87">
        <f t="shared" ref="AD5:AD52" si="1">SUM(Z5:AC5)</f>
        <v>0</v>
      </c>
      <c r="AE5" s="88">
        <f>SUM(F5:AC5)</f>
        <v>0</v>
      </c>
    </row>
    <row r="6" spans="1:31" ht="15" thickBot="1" x14ac:dyDescent="0.35">
      <c r="A6" s="89" t="s">
        <v>92</v>
      </c>
      <c r="B6" s="90" t="s">
        <v>93</v>
      </c>
      <c r="C6" s="91">
        <v>1</v>
      </c>
      <c r="D6" s="92">
        <f>6000</f>
        <v>6000</v>
      </c>
      <c r="E6" s="93">
        <f>D6*C6</f>
        <v>6000</v>
      </c>
      <c r="F6" s="94">
        <v>1000</v>
      </c>
      <c r="G6" s="94">
        <v>500</v>
      </c>
      <c r="H6" s="94"/>
      <c r="I6" s="94"/>
      <c r="J6" s="95">
        <f>SUM(F6:I6)</f>
        <v>1500</v>
      </c>
      <c r="K6" s="94"/>
      <c r="L6" s="94"/>
      <c r="M6" s="94"/>
      <c r="N6" s="94"/>
      <c r="O6" s="95">
        <f t="shared" ref="O6:O52" si="2">SUM(K6:N6)</f>
        <v>0</v>
      </c>
      <c r="P6" s="94"/>
      <c r="Q6" s="94"/>
      <c r="R6" s="94"/>
      <c r="S6" s="94"/>
      <c r="T6" s="95">
        <f t="shared" ref="T6:T52" si="3">SUM(P6:S6)</f>
        <v>0</v>
      </c>
      <c r="U6" s="94"/>
      <c r="V6" s="94"/>
      <c r="W6" s="94"/>
      <c r="X6" s="94"/>
      <c r="Y6" s="86">
        <f t="shared" si="0"/>
        <v>0</v>
      </c>
      <c r="Z6" s="94"/>
      <c r="AA6" s="94"/>
      <c r="AB6" s="94"/>
      <c r="AC6" s="94"/>
      <c r="AD6" s="87">
        <f t="shared" si="1"/>
        <v>0</v>
      </c>
      <c r="AE6" s="96">
        <f t="shared" ref="AE6:AE54" si="4">AD6+Y6+T6+O6+J6</f>
        <v>1500</v>
      </c>
    </row>
    <row r="7" spans="1:31" ht="15" thickBot="1" x14ac:dyDescent="0.35">
      <c r="A7" s="97"/>
      <c r="B7" s="90"/>
      <c r="C7" s="91"/>
      <c r="D7" s="92"/>
      <c r="E7" s="93"/>
      <c r="F7" s="94"/>
      <c r="G7" s="94"/>
      <c r="H7" s="94"/>
      <c r="I7" s="94"/>
      <c r="J7" s="95"/>
      <c r="K7" s="94"/>
      <c r="L7" s="94"/>
      <c r="M7" s="94"/>
      <c r="N7" s="94"/>
      <c r="O7" s="95">
        <f t="shared" si="2"/>
        <v>0</v>
      </c>
      <c r="P7" s="94"/>
      <c r="Q7" s="94"/>
      <c r="R7" s="94"/>
      <c r="S7" s="94"/>
      <c r="T7" s="95">
        <f t="shared" si="3"/>
        <v>0</v>
      </c>
      <c r="U7" s="94"/>
      <c r="V7" s="94"/>
      <c r="W7" s="94"/>
      <c r="X7" s="94"/>
      <c r="Y7" s="86">
        <f t="shared" si="0"/>
        <v>0</v>
      </c>
      <c r="Z7" s="94"/>
      <c r="AA7" s="94"/>
      <c r="AB7" s="94"/>
      <c r="AC7" s="94"/>
      <c r="AD7" s="87">
        <f t="shared" si="1"/>
        <v>0</v>
      </c>
      <c r="AE7" s="98">
        <f t="shared" si="4"/>
        <v>0</v>
      </c>
    </row>
    <row r="8" spans="1:31" ht="15" thickBot="1" x14ac:dyDescent="0.35">
      <c r="A8" s="89" t="s">
        <v>94</v>
      </c>
      <c r="B8" s="99"/>
      <c r="C8" s="100"/>
      <c r="D8" s="101"/>
      <c r="E8" s="93"/>
      <c r="F8" s="94"/>
      <c r="G8" s="94"/>
      <c r="H8" s="94"/>
      <c r="I8" s="94"/>
      <c r="J8" s="95">
        <f t="shared" ref="J8:J14" si="5">SUM(F8:I8)</f>
        <v>0</v>
      </c>
      <c r="K8" s="94"/>
      <c r="L8" s="94"/>
      <c r="M8" s="94"/>
      <c r="N8" s="94"/>
      <c r="O8" s="95">
        <f t="shared" si="2"/>
        <v>0</v>
      </c>
      <c r="P8" s="94"/>
      <c r="Q8" s="94"/>
      <c r="R8" s="94"/>
      <c r="S8" s="94"/>
      <c r="T8" s="95">
        <f t="shared" si="3"/>
        <v>0</v>
      </c>
      <c r="U8" s="94"/>
      <c r="V8" s="94"/>
      <c r="W8" s="94"/>
      <c r="X8" s="94"/>
      <c r="Y8" s="86">
        <f t="shared" si="0"/>
        <v>0</v>
      </c>
      <c r="Z8" s="94"/>
      <c r="AA8" s="94"/>
      <c r="AB8" s="94"/>
      <c r="AC8" s="94"/>
      <c r="AD8" s="87">
        <f t="shared" si="1"/>
        <v>0</v>
      </c>
      <c r="AE8" s="98">
        <f t="shared" si="4"/>
        <v>0</v>
      </c>
    </row>
    <row r="9" spans="1:31" ht="15" thickBot="1" x14ac:dyDescent="0.35">
      <c r="A9" s="102" t="s">
        <v>95</v>
      </c>
      <c r="B9" s="90"/>
      <c r="C9" s="91">
        <v>1</v>
      </c>
      <c r="D9" s="103">
        <v>3000</v>
      </c>
      <c r="E9" s="93">
        <f>C9*D9</f>
        <v>3000</v>
      </c>
      <c r="F9" s="94"/>
      <c r="G9" s="94"/>
      <c r="H9" s="94"/>
      <c r="I9" s="94"/>
      <c r="J9" s="95"/>
      <c r="K9" s="94"/>
      <c r="L9" s="94">
        <v>100</v>
      </c>
      <c r="M9" s="94"/>
      <c r="N9" s="94">
        <v>100</v>
      </c>
      <c r="O9" s="95">
        <f t="shared" si="2"/>
        <v>200</v>
      </c>
      <c r="P9" s="94">
        <v>100</v>
      </c>
      <c r="Q9" s="94"/>
      <c r="R9" s="94"/>
      <c r="S9" s="94"/>
      <c r="T9" s="95">
        <f t="shared" si="3"/>
        <v>100</v>
      </c>
      <c r="U9" s="94"/>
      <c r="V9" s="94"/>
      <c r="W9" s="94"/>
      <c r="X9" s="94"/>
      <c r="Y9" s="86">
        <f t="shared" si="0"/>
        <v>0</v>
      </c>
      <c r="Z9" s="94"/>
      <c r="AA9" s="94"/>
      <c r="AB9" s="94"/>
      <c r="AC9" s="94"/>
      <c r="AD9" s="87">
        <f t="shared" si="1"/>
        <v>0</v>
      </c>
      <c r="AE9" s="98">
        <f t="shared" si="4"/>
        <v>300</v>
      </c>
    </row>
    <row r="10" spans="1:31" ht="15" thickBot="1" x14ac:dyDescent="0.35">
      <c r="A10" s="104" t="s">
        <v>96</v>
      </c>
      <c r="B10" s="105" t="s">
        <v>97</v>
      </c>
      <c r="C10" s="105">
        <v>2000</v>
      </c>
      <c r="D10" s="106">
        <f>2000/1000</f>
        <v>2</v>
      </c>
      <c r="E10" s="107">
        <f>C10*D10</f>
        <v>4000</v>
      </c>
      <c r="F10" s="108"/>
      <c r="G10" s="108">
        <v>2000</v>
      </c>
      <c r="H10" s="108">
        <v>1000</v>
      </c>
      <c r="I10" s="108">
        <v>1000</v>
      </c>
      <c r="J10" s="109">
        <f t="shared" si="5"/>
        <v>4000</v>
      </c>
      <c r="K10" s="108"/>
      <c r="L10" s="108"/>
      <c r="M10" s="108"/>
      <c r="N10" s="108"/>
      <c r="O10" s="109">
        <f t="shared" si="2"/>
        <v>0</v>
      </c>
      <c r="P10" s="108"/>
      <c r="Q10" s="108"/>
      <c r="R10" s="108"/>
      <c r="S10" s="108"/>
      <c r="T10" s="109">
        <f t="shared" si="3"/>
        <v>0</v>
      </c>
      <c r="U10" s="108"/>
      <c r="V10" s="108"/>
      <c r="W10" s="108"/>
      <c r="X10" s="108"/>
      <c r="Y10" s="110">
        <f t="shared" si="0"/>
        <v>0</v>
      </c>
      <c r="Z10" s="108"/>
      <c r="AA10" s="108"/>
      <c r="AB10" s="108"/>
      <c r="AC10" s="108"/>
      <c r="AD10" s="111">
        <f t="shared" si="1"/>
        <v>0</v>
      </c>
      <c r="AE10" s="112">
        <f t="shared" si="4"/>
        <v>4000</v>
      </c>
    </row>
    <row r="11" spans="1:31" ht="15" thickBot="1" x14ac:dyDescent="0.35">
      <c r="A11" s="104" t="s">
        <v>98</v>
      </c>
      <c r="B11" s="105" t="s">
        <v>99</v>
      </c>
      <c r="C11" s="105"/>
      <c r="D11" s="106"/>
      <c r="E11" s="107"/>
      <c r="F11" s="108"/>
      <c r="G11" s="108"/>
      <c r="H11" s="108"/>
      <c r="I11" s="108"/>
      <c r="J11" s="109"/>
      <c r="K11" s="108"/>
      <c r="L11" s="108"/>
      <c r="M11" s="108"/>
      <c r="N11" s="108"/>
      <c r="O11" s="109"/>
      <c r="P11" s="108"/>
      <c r="Q11" s="108"/>
      <c r="R11" s="108"/>
      <c r="S11" s="108"/>
      <c r="T11" s="109"/>
      <c r="U11" s="108"/>
      <c r="V11" s="108"/>
      <c r="W11" s="108"/>
      <c r="X11" s="108"/>
      <c r="Y11" s="110"/>
      <c r="Z11" s="108"/>
      <c r="AA11" s="108"/>
      <c r="AB11" s="108"/>
      <c r="AC11" s="108"/>
      <c r="AD11" s="111"/>
      <c r="AE11" s="112"/>
    </row>
    <row r="12" spans="1:31" ht="15" thickBot="1" x14ac:dyDescent="0.35">
      <c r="A12" s="104" t="s">
        <v>100</v>
      </c>
      <c r="B12" s="105" t="s">
        <v>101</v>
      </c>
      <c r="C12" s="105">
        <v>700</v>
      </c>
      <c r="D12" s="106">
        <f>1400/1000</f>
        <v>1.4</v>
      </c>
      <c r="E12" s="107">
        <v>700</v>
      </c>
      <c r="F12" s="108"/>
      <c r="G12" s="108"/>
      <c r="H12" s="108">
        <v>700</v>
      </c>
      <c r="I12" s="108"/>
      <c r="J12" s="109">
        <f t="shared" si="5"/>
        <v>700</v>
      </c>
      <c r="K12" s="108"/>
      <c r="L12" s="108"/>
      <c r="M12" s="108"/>
      <c r="N12" s="108"/>
      <c r="O12" s="109">
        <f t="shared" si="2"/>
        <v>0</v>
      </c>
      <c r="P12" s="108"/>
      <c r="Q12" s="108"/>
      <c r="R12" s="108"/>
      <c r="S12" s="108"/>
      <c r="T12" s="109">
        <f t="shared" si="3"/>
        <v>0</v>
      </c>
      <c r="U12" s="108"/>
      <c r="V12" s="108"/>
      <c r="W12" s="108"/>
      <c r="X12" s="108"/>
      <c r="Y12" s="110">
        <f t="shared" si="0"/>
        <v>0</v>
      </c>
      <c r="Z12" s="108"/>
      <c r="AA12" s="108"/>
      <c r="AB12" s="108"/>
      <c r="AC12" s="108"/>
      <c r="AD12" s="111">
        <f t="shared" si="1"/>
        <v>0</v>
      </c>
      <c r="AE12" s="112">
        <f t="shared" si="4"/>
        <v>700</v>
      </c>
    </row>
    <row r="13" spans="1:31" ht="15" thickBot="1" x14ac:dyDescent="0.35">
      <c r="A13" s="104" t="s">
        <v>102</v>
      </c>
      <c r="B13" s="105"/>
      <c r="C13" s="105">
        <v>1</v>
      </c>
      <c r="D13" s="106">
        <f>150000/1000</f>
        <v>150</v>
      </c>
      <c r="E13" s="107">
        <f>C13*D13</f>
        <v>150</v>
      </c>
      <c r="F13" s="108"/>
      <c r="G13" s="108"/>
      <c r="H13" s="108">
        <v>150</v>
      </c>
      <c r="I13" s="108"/>
      <c r="J13" s="109">
        <f t="shared" si="5"/>
        <v>150</v>
      </c>
      <c r="K13" s="108"/>
      <c r="L13" s="108"/>
      <c r="M13" s="108"/>
      <c r="N13" s="108"/>
      <c r="O13" s="109">
        <f t="shared" si="2"/>
        <v>0</v>
      </c>
      <c r="P13" s="108"/>
      <c r="Q13" s="108"/>
      <c r="R13" s="108"/>
      <c r="S13" s="108"/>
      <c r="T13" s="109">
        <f t="shared" si="3"/>
        <v>0</v>
      </c>
      <c r="U13" s="108"/>
      <c r="V13" s="108"/>
      <c r="W13" s="108"/>
      <c r="X13" s="108"/>
      <c r="Y13" s="110">
        <f t="shared" si="0"/>
        <v>0</v>
      </c>
      <c r="Z13" s="108"/>
      <c r="AA13" s="108"/>
      <c r="AB13" s="108"/>
      <c r="AC13" s="108"/>
      <c r="AD13" s="111">
        <f t="shared" si="1"/>
        <v>0</v>
      </c>
      <c r="AE13" s="112">
        <f t="shared" si="4"/>
        <v>150</v>
      </c>
    </row>
    <row r="14" spans="1:31" x14ac:dyDescent="0.3">
      <c r="A14" s="102" t="s">
        <v>103</v>
      </c>
      <c r="B14" s="90"/>
      <c r="C14" s="91">
        <v>1</v>
      </c>
      <c r="D14" s="103">
        <f>500000/1000</f>
        <v>500</v>
      </c>
      <c r="E14" s="93">
        <f>C14*D14</f>
        <v>500</v>
      </c>
      <c r="F14" s="94"/>
      <c r="G14" s="94"/>
      <c r="H14" s="94"/>
      <c r="I14" s="94"/>
      <c r="J14" s="95">
        <f t="shared" si="5"/>
        <v>0</v>
      </c>
      <c r="K14" s="94">
        <v>500</v>
      </c>
      <c r="L14" s="94">
        <v>0</v>
      </c>
      <c r="M14" s="94">
        <v>0</v>
      </c>
      <c r="N14" s="94">
        <v>0</v>
      </c>
      <c r="O14" s="95">
        <f t="shared" si="2"/>
        <v>500</v>
      </c>
      <c r="P14" s="94"/>
      <c r="Q14" s="94"/>
      <c r="R14" s="94"/>
      <c r="S14" s="94"/>
      <c r="T14" s="95">
        <f t="shared" si="3"/>
        <v>0</v>
      </c>
      <c r="U14" s="94"/>
      <c r="V14" s="94"/>
      <c r="W14" s="94"/>
      <c r="X14" s="94"/>
      <c r="Y14" s="86">
        <f t="shared" si="0"/>
        <v>0</v>
      </c>
      <c r="Z14" s="94"/>
      <c r="AA14" s="94"/>
      <c r="AB14" s="94"/>
      <c r="AC14" s="94"/>
      <c r="AD14" s="87">
        <f t="shared" si="1"/>
        <v>0</v>
      </c>
      <c r="AE14" s="98">
        <f t="shared" si="4"/>
        <v>500</v>
      </c>
    </row>
    <row r="15" spans="1:31" ht="15" thickBot="1" x14ac:dyDescent="0.35">
      <c r="A15" s="113" t="s">
        <v>104</v>
      </c>
      <c r="B15" s="99"/>
      <c r="C15" s="100"/>
      <c r="D15" s="101"/>
      <c r="E15" s="114">
        <f>SUM(E9:E14)</f>
        <v>8350</v>
      </c>
      <c r="F15" s="94"/>
      <c r="G15" s="94"/>
      <c r="H15" s="94"/>
      <c r="I15" s="94"/>
      <c r="J15" s="115">
        <f>SUM(J8:J14)</f>
        <v>4850</v>
      </c>
      <c r="K15" s="115"/>
      <c r="L15" s="115"/>
      <c r="M15" s="115"/>
      <c r="N15" s="115"/>
      <c r="O15" s="115">
        <f t="shared" si="2"/>
        <v>0</v>
      </c>
      <c r="P15" s="115">
        <f>SUM(P8:P14)</f>
        <v>100</v>
      </c>
      <c r="Q15" s="115">
        <f>SUM(Q8:Q14)</f>
        <v>0</v>
      </c>
      <c r="R15" s="115">
        <f>SUM(R8:R14)</f>
        <v>0</v>
      </c>
      <c r="S15" s="115">
        <f>SUM(S8:S14)</f>
        <v>0</v>
      </c>
      <c r="T15" s="115">
        <f t="shared" si="3"/>
        <v>100</v>
      </c>
      <c r="U15" s="115">
        <f>SUM(U8:U14)</f>
        <v>0</v>
      </c>
      <c r="V15" s="115">
        <f>SUM(V8:V14)</f>
        <v>0</v>
      </c>
      <c r="W15" s="115">
        <f>SUM(W8:W14)</f>
        <v>0</v>
      </c>
      <c r="X15" s="115">
        <f>SUM(X8:X14)</f>
        <v>0</v>
      </c>
      <c r="Y15" s="115">
        <f t="shared" si="0"/>
        <v>0</v>
      </c>
      <c r="Z15" s="115">
        <f>SUM(Z8:Z14)</f>
        <v>0</v>
      </c>
      <c r="AA15" s="115">
        <f>SUM(AA8:AA14)</f>
        <v>0</v>
      </c>
      <c r="AB15" s="115">
        <f>SUM(AB8:AB14)</f>
        <v>0</v>
      </c>
      <c r="AC15" s="115">
        <f>SUM(AC8:AC14)</f>
        <v>0</v>
      </c>
      <c r="AD15" s="115">
        <f t="shared" si="1"/>
        <v>0</v>
      </c>
      <c r="AE15" s="115">
        <f t="shared" si="4"/>
        <v>4950</v>
      </c>
    </row>
    <row r="16" spans="1:31" ht="15.6" thickTop="1" thickBot="1" x14ac:dyDescent="0.35">
      <c r="A16" s="97"/>
      <c r="B16" s="90"/>
      <c r="C16" s="91"/>
      <c r="D16" s="92"/>
      <c r="E16" s="93"/>
      <c r="F16" s="94"/>
      <c r="G16" s="94"/>
      <c r="H16" s="94"/>
      <c r="I16" s="94"/>
      <c r="J16" s="116">
        <f t="shared" ref="J16:J48" si="6">SUM(F16:I16)</f>
        <v>0</v>
      </c>
      <c r="K16" s="94"/>
      <c r="L16" s="94"/>
      <c r="M16" s="94"/>
      <c r="N16" s="94"/>
      <c r="O16" s="95">
        <f t="shared" si="2"/>
        <v>0</v>
      </c>
      <c r="P16" s="94"/>
      <c r="Q16" s="94"/>
      <c r="R16" s="94"/>
      <c r="S16" s="94"/>
      <c r="T16" s="95">
        <f t="shared" si="3"/>
        <v>0</v>
      </c>
      <c r="U16" s="94"/>
      <c r="V16" s="94"/>
      <c r="W16" s="94"/>
      <c r="X16" s="94"/>
      <c r="Y16" s="86">
        <f t="shared" si="0"/>
        <v>0</v>
      </c>
      <c r="Z16" s="94"/>
      <c r="AA16" s="94"/>
      <c r="AB16" s="94"/>
      <c r="AC16" s="94"/>
      <c r="AD16" s="87">
        <f t="shared" si="1"/>
        <v>0</v>
      </c>
      <c r="AE16" s="98">
        <f t="shared" si="4"/>
        <v>0</v>
      </c>
    </row>
    <row r="17" spans="1:31" ht="15" thickBot="1" x14ac:dyDescent="0.35">
      <c r="A17" s="89" t="s">
        <v>105</v>
      </c>
      <c r="B17" s="99"/>
      <c r="C17" s="100"/>
      <c r="D17" s="101"/>
      <c r="E17" s="93"/>
      <c r="F17" s="94"/>
      <c r="G17" s="94"/>
      <c r="H17" s="94"/>
      <c r="I17" s="94"/>
      <c r="J17" s="95">
        <f t="shared" si="6"/>
        <v>0</v>
      </c>
      <c r="K17" s="94"/>
      <c r="L17" s="94"/>
      <c r="M17" s="94"/>
      <c r="N17" s="94"/>
      <c r="O17" s="95">
        <f t="shared" si="2"/>
        <v>0</v>
      </c>
      <c r="P17" s="94"/>
      <c r="Q17" s="94"/>
      <c r="R17" s="94"/>
      <c r="S17" s="94"/>
      <c r="T17" s="95">
        <f t="shared" si="3"/>
        <v>0</v>
      </c>
      <c r="U17" s="94"/>
      <c r="V17" s="94"/>
      <c r="W17" s="94"/>
      <c r="X17" s="94"/>
      <c r="Y17" s="86">
        <f t="shared" si="0"/>
        <v>0</v>
      </c>
      <c r="Z17" s="94"/>
      <c r="AA17" s="94"/>
      <c r="AB17" s="94"/>
      <c r="AC17" s="94"/>
      <c r="AD17" s="87">
        <f t="shared" si="1"/>
        <v>0</v>
      </c>
      <c r="AE17" s="98">
        <f t="shared" si="4"/>
        <v>0</v>
      </c>
    </row>
    <row r="18" spans="1:31" ht="15" thickBot="1" x14ac:dyDescent="0.35">
      <c r="A18" s="97" t="s">
        <v>106</v>
      </c>
      <c r="B18" s="90"/>
      <c r="C18" s="91">
        <v>1</v>
      </c>
      <c r="D18" s="92">
        <f>100000/1000</f>
        <v>100</v>
      </c>
      <c r="E18" s="93">
        <f t="shared" ref="E18:E30" si="7">C18*D18</f>
        <v>100</v>
      </c>
      <c r="F18" s="94"/>
      <c r="G18" s="94"/>
      <c r="H18" s="94"/>
      <c r="I18" s="94"/>
      <c r="J18" s="95">
        <f t="shared" si="6"/>
        <v>0</v>
      </c>
      <c r="K18" s="94">
        <v>100</v>
      </c>
      <c r="L18" s="94"/>
      <c r="M18" s="94"/>
      <c r="N18" s="94"/>
      <c r="O18" s="95">
        <f t="shared" si="2"/>
        <v>100</v>
      </c>
      <c r="P18" s="94"/>
      <c r="Q18" s="94"/>
      <c r="R18" s="94"/>
      <c r="S18" s="94"/>
      <c r="T18" s="95">
        <f t="shared" si="3"/>
        <v>0</v>
      </c>
      <c r="U18" s="94"/>
      <c r="V18" s="94"/>
      <c r="W18" s="94"/>
      <c r="X18" s="94"/>
      <c r="Y18" s="86">
        <f t="shared" si="0"/>
        <v>0</v>
      </c>
      <c r="Z18" s="94"/>
      <c r="AA18" s="94"/>
      <c r="AB18" s="94"/>
      <c r="AC18" s="94"/>
      <c r="AD18" s="87">
        <f t="shared" si="1"/>
        <v>0</v>
      </c>
      <c r="AE18" s="98">
        <f t="shared" si="4"/>
        <v>100</v>
      </c>
    </row>
    <row r="19" spans="1:31" ht="15" thickBot="1" x14ac:dyDescent="0.35">
      <c r="A19" s="97" t="s">
        <v>107</v>
      </c>
      <c r="B19" s="90" t="s">
        <v>108</v>
      </c>
      <c r="C19" s="91">
        <v>1</v>
      </c>
      <c r="D19" s="92">
        <f>1000000/1000</f>
        <v>1000</v>
      </c>
      <c r="E19" s="93">
        <f t="shared" si="7"/>
        <v>1000</v>
      </c>
      <c r="F19" s="94"/>
      <c r="G19" s="94"/>
      <c r="H19" s="94"/>
      <c r="I19" s="94"/>
      <c r="J19" s="95">
        <f t="shared" si="6"/>
        <v>0</v>
      </c>
      <c r="K19" s="94"/>
      <c r="L19" s="94"/>
      <c r="M19" s="94">
        <v>1000</v>
      </c>
      <c r="N19" s="94"/>
      <c r="O19" s="95">
        <f t="shared" si="2"/>
        <v>1000</v>
      </c>
      <c r="P19" s="94"/>
      <c r="Q19" s="94"/>
      <c r="R19" s="94"/>
      <c r="S19" s="94"/>
      <c r="T19" s="95">
        <f t="shared" si="3"/>
        <v>0</v>
      </c>
      <c r="U19" s="94"/>
      <c r="V19" s="94"/>
      <c r="W19" s="94"/>
      <c r="X19" s="94"/>
      <c r="Y19" s="86">
        <f t="shared" si="0"/>
        <v>0</v>
      </c>
      <c r="Z19" s="94"/>
      <c r="AA19" s="94"/>
      <c r="AB19" s="94"/>
      <c r="AC19" s="94"/>
      <c r="AD19" s="87">
        <f t="shared" si="1"/>
        <v>0</v>
      </c>
      <c r="AE19" s="98">
        <f t="shared" si="4"/>
        <v>1000</v>
      </c>
    </row>
    <row r="20" spans="1:31" ht="15" thickBot="1" x14ac:dyDescent="0.35">
      <c r="A20" s="97" t="s">
        <v>109</v>
      </c>
      <c r="B20" s="90" t="s">
        <v>110</v>
      </c>
      <c r="C20" s="91">
        <v>1</v>
      </c>
      <c r="D20" s="92">
        <f>15000/1000</f>
        <v>15</v>
      </c>
      <c r="E20" s="93">
        <f t="shared" si="7"/>
        <v>15</v>
      </c>
      <c r="F20" s="94"/>
      <c r="G20" s="94">
        <v>15</v>
      </c>
      <c r="H20" s="94"/>
      <c r="I20" s="94"/>
      <c r="J20" s="95">
        <f t="shared" si="6"/>
        <v>15</v>
      </c>
      <c r="K20" s="94"/>
      <c r="L20" s="94"/>
      <c r="M20" s="94"/>
      <c r="N20" s="94"/>
      <c r="O20" s="95">
        <f t="shared" si="2"/>
        <v>0</v>
      </c>
      <c r="P20" s="94"/>
      <c r="Q20" s="94"/>
      <c r="R20" s="94"/>
      <c r="S20" s="94"/>
      <c r="T20" s="95">
        <f t="shared" si="3"/>
        <v>0</v>
      </c>
      <c r="U20" s="94"/>
      <c r="V20" s="94"/>
      <c r="W20" s="94"/>
      <c r="X20" s="94"/>
      <c r="Y20" s="86">
        <f t="shared" si="0"/>
        <v>0</v>
      </c>
      <c r="Z20" s="94"/>
      <c r="AA20" s="94"/>
      <c r="AB20" s="94"/>
      <c r="AC20" s="94"/>
      <c r="AD20" s="87">
        <f t="shared" si="1"/>
        <v>0</v>
      </c>
      <c r="AE20" s="98">
        <f t="shared" si="4"/>
        <v>15</v>
      </c>
    </row>
    <row r="21" spans="1:31" ht="15" thickBot="1" x14ac:dyDescent="0.35">
      <c r="A21" s="97" t="s">
        <v>111</v>
      </c>
      <c r="B21" s="90" t="s">
        <v>110</v>
      </c>
      <c r="C21" s="91">
        <v>2</v>
      </c>
      <c r="D21" s="92">
        <f>15000/1000</f>
        <v>15</v>
      </c>
      <c r="E21" s="93">
        <f t="shared" si="7"/>
        <v>30</v>
      </c>
      <c r="F21" s="94"/>
      <c r="G21" s="94"/>
      <c r="H21" s="94"/>
      <c r="I21" s="94"/>
      <c r="J21" s="95">
        <f t="shared" si="6"/>
        <v>0</v>
      </c>
      <c r="K21" s="94">
        <v>30</v>
      </c>
      <c r="L21" s="94"/>
      <c r="M21" s="94"/>
      <c r="N21" s="94"/>
      <c r="O21" s="95">
        <f t="shared" si="2"/>
        <v>30</v>
      </c>
      <c r="P21" s="94"/>
      <c r="Q21" s="94"/>
      <c r="R21" s="94"/>
      <c r="S21" s="94"/>
      <c r="T21" s="95">
        <f t="shared" si="3"/>
        <v>0</v>
      </c>
      <c r="U21" s="94"/>
      <c r="V21" s="94"/>
      <c r="W21" s="94"/>
      <c r="X21" s="94"/>
      <c r="Y21" s="86">
        <f t="shared" si="0"/>
        <v>0</v>
      </c>
      <c r="Z21" s="94"/>
      <c r="AA21" s="94"/>
      <c r="AB21" s="94"/>
      <c r="AC21" s="94"/>
      <c r="AD21" s="87">
        <f t="shared" si="1"/>
        <v>0</v>
      </c>
      <c r="AE21" s="98">
        <f t="shared" si="4"/>
        <v>30</v>
      </c>
    </row>
    <row r="22" spans="1:31" ht="15" thickBot="1" x14ac:dyDescent="0.35">
      <c r="A22" s="97" t="s">
        <v>112</v>
      </c>
      <c r="B22" s="90" t="s">
        <v>113</v>
      </c>
      <c r="C22" s="91">
        <v>4</v>
      </c>
      <c r="D22" s="92">
        <v>250</v>
      </c>
      <c r="E22" s="93">
        <f t="shared" si="7"/>
        <v>1000</v>
      </c>
      <c r="F22" s="94"/>
      <c r="G22" s="94"/>
      <c r="H22" s="94"/>
      <c r="I22" s="94"/>
      <c r="J22" s="95"/>
      <c r="K22" s="94"/>
      <c r="L22" s="94"/>
      <c r="M22" s="94">
        <v>500</v>
      </c>
      <c r="N22" s="94"/>
      <c r="O22" s="95">
        <f t="shared" si="2"/>
        <v>500</v>
      </c>
      <c r="P22" s="94">
        <v>500</v>
      </c>
      <c r="Q22" s="94"/>
      <c r="R22" s="94"/>
      <c r="S22" s="94"/>
      <c r="T22" s="95"/>
      <c r="U22" s="94"/>
      <c r="V22" s="94"/>
      <c r="W22" s="94"/>
      <c r="X22" s="94"/>
      <c r="Y22" s="86"/>
      <c r="Z22" s="94"/>
      <c r="AA22" s="94"/>
      <c r="AB22" s="94"/>
      <c r="AC22" s="94"/>
      <c r="AD22" s="87"/>
      <c r="AE22" s="98"/>
    </row>
    <row r="23" spans="1:31" ht="15" thickBot="1" x14ac:dyDescent="0.35">
      <c r="A23" s="97" t="s">
        <v>114</v>
      </c>
      <c r="B23" s="90" t="s">
        <v>110</v>
      </c>
      <c r="C23" s="91">
        <v>1</v>
      </c>
      <c r="D23" s="92">
        <f>5000/1000</f>
        <v>5</v>
      </c>
      <c r="E23" s="93">
        <f t="shared" si="7"/>
        <v>5</v>
      </c>
      <c r="F23" s="94"/>
      <c r="G23" s="94"/>
      <c r="H23" s="94"/>
      <c r="I23" s="94"/>
      <c r="J23" s="95">
        <f t="shared" si="6"/>
        <v>0</v>
      </c>
      <c r="K23" s="94"/>
      <c r="L23" s="94">
        <v>5</v>
      </c>
      <c r="M23" s="94"/>
      <c r="N23" s="94"/>
      <c r="O23" s="95">
        <f t="shared" si="2"/>
        <v>5</v>
      </c>
      <c r="P23" s="94"/>
      <c r="Q23" s="94"/>
      <c r="R23" s="94"/>
      <c r="S23" s="94"/>
      <c r="T23" s="95">
        <f t="shared" si="3"/>
        <v>0</v>
      </c>
      <c r="U23" s="94"/>
      <c r="V23" s="94"/>
      <c r="W23" s="94"/>
      <c r="X23" s="94"/>
      <c r="Y23" s="86">
        <f t="shared" si="0"/>
        <v>0</v>
      </c>
      <c r="Z23" s="94"/>
      <c r="AA23" s="94"/>
      <c r="AB23" s="94"/>
      <c r="AC23" s="94"/>
      <c r="AD23" s="87">
        <f t="shared" si="1"/>
        <v>0</v>
      </c>
      <c r="AE23" s="98">
        <f t="shared" si="4"/>
        <v>5</v>
      </c>
    </row>
    <row r="24" spans="1:31" ht="15" thickBot="1" x14ac:dyDescent="0.35">
      <c r="A24" s="97" t="s">
        <v>115</v>
      </c>
      <c r="B24" s="90" t="s">
        <v>110</v>
      </c>
      <c r="C24" s="91">
        <v>2</v>
      </c>
      <c r="D24" s="92">
        <f>25000/1000</f>
        <v>25</v>
      </c>
      <c r="E24" s="93">
        <f t="shared" si="7"/>
        <v>50</v>
      </c>
      <c r="F24" s="94"/>
      <c r="G24" s="94"/>
      <c r="H24" s="94"/>
      <c r="I24" s="94"/>
      <c r="J24" s="95">
        <f t="shared" si="6"/>
        <v>0</v>
      </c>
      <c r="K24" s="94">
        <v>25</v>
      </c>
      <c r="L24" s="94"/>
      <c r="M24" s="94"/>
      <c r="N24" s="94"/>
      <c r="O24" s="95">
        <f t="shared" si="2"/>
        <v>25</v>
      </c>
      <c r="P24" s="94"/>
      <c r="Q24" s="94"/>
      <c r="R24" s="94"/>
      <c r="S24" s="94"/>
      <c r="T24" s="95">
        <f t="shared" si="3"/>
        <v>0</v>
      </c>
      <c r="U24" s="94"/>
      <c r="V24" s="94"/>
      <c r="W24" s="94"/>
      <c r="X24" s="94"/>
      <c r="Y24" s="86">
        <f t="shared" si="0"/>
        <v>0</v>
      </c>
      <c r="Z24" s="94"/>
      <c r="AA24" s="94"/>
      <c r="AB24" s="94"/>
      <c r="AC24" s="94"/>
      <c r="AD24" s="87">
        <f t="shared" si="1"/>
        <v>0</v>
      </c>
      <c r="AE24" s="98">
        <f t="shared" si="4"/>
        <v>25</v>
      </c>
    </row>
    <row r="25" spans="1:31" ht="15" thickBot="1" x14ac:dyDescent="0.35">
      <c r="A25" s="97" t="s">
        <v>116</v>
      </c>
      <c r="B25" s="90" t="s">
        <v>110</v>
      </c>
      <c r="C25" s="91">
        <v>1</v>
      </c>
      <c r="D25" s="92">
        <f>200000/1000</f>
        <v>200</v>
      </c>
      <c r="E25" s="93">
        <f t="shared" si="7"/>
        <v>200</v>
      </c>
      <c r="F25" s="94"/>
      <c r="G25" s="94"/>
      <c r="H25" s="94"/>
      <c r="I25" s="94"/>
      <c r="J25" s="95">
        <f t="shared" si="6"/>
        <v>0</v>
      </c>
      <c r="K25" s="94"/>
      <c r="L25" s="94">
        <v>200</v>
      </c>
      <c r="M25" s="94"/>
      <c r="N25" s="94"/>
      <c r="O25" s="95">
        <f t="shared" si="2"/>
        <v>200</v>
      </c>
      <c r="P25" s="94"/>
      <c r="Q25" s="94"/>
      <c r="R25" s="94"/>
      <c r="S25" s="94"/>
      <c r="T25" s="95">
        <f t="shared" si="3"/>
        <v>0</v>
      </c>
      <c r="U25" s="94"/>
      <c r="V25" s="94"/>
      <c r="W25" s="94"/>
      <c r="X25" s="94"/>
      <c r="Y25" s="86">
        <f t="shared" si="0"/>
        <v>0</v>
      </c>
      <c r="Z25" s="94"/>
      <c r="AA25" s="94"/>
      <c r="AB25" s="94"/>
      <c r="AC25" s="94"/>
      <c r="AD25" s="87">
        <f t="shared" si="1"/>
        <v>0</v>
      </c>
      <c r="AE25" s="98">
        <f t="shared" si="4"/>
        <v>200</v>
      </c>
    </row>
    <row r="26" spans="1:31" ht="15" thickBot="1" x14ac:dyDescent="0.35">
      <c r="A26" s="97"/>
      <c r="B26" s="90"/>
      <c r="C26" s="91"/>
      <c r="D26" s="92"/>
      <c r="E26" s="93"/>
      <c r="F26" s="94"/>
      <c r="G26" s="94"/>
      <c r="H26" s="94"/>
      <c r="I26" s="94"/>
      <c r="J26" s="95"/>
      <c r="K26" s="94"/>
      <c r="L26" s="94"/>
      <c r="M26" s="94"/>
      <c r="N26" s="94"/>
      <c r="O26" s="95"/>
      <c r="P26" s="94"/>
      <c r="Q26" s="94"/>
      <c r="R26" s="94"/>
      <c r="S26" s="94"/>
      <c r="T26" s="95"/>
      <c r="U26" s="94"/>
      <c r="V26" s="94"/>
      <c r="W26" s="94"/>
      <c r="X26" s="94"/>
      <c r="Y26" s="86"/>
      <c r="Z26" s="94"/>
      <c r="AA26" s="94"/>
      <c r="AB26" s="94"/>
      <c r="AC26" s="94"/>
      <c r="AD26" s="87"/>
      <c r="AE26" s="98"/>
    </row>
    <row r="27" spans="1:31" ht="15" thickBot="1" x14ac:dyDescent="0.35">
      <c r="A27" s="97" t="s">
        <v>117</v>
      </c>
      <c r="B27" s="90" t="s">
        <v>110</v>
      </c>
      <c r="C27" s="91">
        <v>2</v>
      </c>
      <c r="D27" s="92">
        <f>25000/1000</f>
        <v>25</v>
      </c>
      <c r="E27" s="93">
        <f t="shared" si="7"/>
        <v>50</v>
      </c>
      <c r="F27" s="94"/>
      <c r="G27" s="94"/>
      <c r="H27" s="94"/>
      <c r="I27" s="94"/>
      <c r="J27" s="95">
        <f t="shared" si="6"/>
        <v>0</v>
      </c>
      <c r="K27" s="94"/>
      <c r="L27" s="94">
        <v>50</v>
      </c>
      <c r="M27" s="94"/>
      <c r="N27" s="94"/>
      <c r="O27" s="95">
        <f t="shared" si="2"/>
        <v>50</v>
      </c>
      <c r="P27" s="94"/>
      <c r="Q27" s="94"/>
      <c r="R27" s="94"/>
      <c r="S27" s="94"/>
      <c r="T27" s="95">
        <f t="shared" si="3"/>
        <v>0</v>
      </c>
      <c r="U27" s="94"/>
      <c r="V27" s="94"/>
      <c r="W27" s="94"/>
      <c r="X27" s="94"/>
      <c r="Y27" s="86">
        <f t="shared" si="0"/>
        <v>0</v>
      </c>
      <c r="Z27" s="94"/>
      <c r="AA27" s="94"/>
      <c r="AB27" s="94"/>
      <c r="AC27" s="94"/>
      <c r="AD27" s="87">
        <f t="shared" si="1"/>
        <v>0</v>
      </c>
      <c r="AE27" s="98">
        <f t="shared" si="4"/>
        <v>50</v>
      </c>
    </row>
    <row r="28" spans="1:31" ht="15" thickBot="1" x14ac:dyDescent="0.35">
      <c r="A28" s="97" t="s">
        <v>118</v>
      </c>
      <c r="B28" s="90" t="s">
        <v>119</v>
      </c>
      <c r="C28" s="91">
        <v>2</v>
      </c>
      <c r="D28" s="92">
        <v>500</v>
      </c>
      <c r="E28" s="93">
        <f t="shared" si="7"/>
        <v>1000</v>
      </c>
      <c r="F28" s="94"/>
      <c r="G28" s="94"/>
      <c r="H28" s="94"/>
      <c r="I28" s="94"/>
      <c r="J28" s="95"/>
      <c r="K28" s="94"/>
      <c r="L28" s="94"/>
      <c r="M28" s="94">
        <v>500</v>
      </c>
      <c r="N28" s="94"/>
      <c r="O28" s="95">
        <f t="shared" si="2"/>
        <v>500</v>
      </c>
      <c r="P28" s="94"/>
      <c r="Q28" s="94"/>
      <c r="R28" s="94"/>
      <c r="S28" s="94"/>
      <c r="T28" s="95">
        <f t="shared" si="3"/>
        <v>0</v>
      </c>
      <c r="U28" s="94"/>
      <c r="V28" s="94"/>
      <c r="W28" s="94">
        <v>500</v>
      </c>
      <c r="X28" s="94"/>
      <c r="Y28" s="86">
        <f t="shared" si="0"/>
        <v>500</v>
      </c>
      <c r="Z28" s="94"/>
      <c r="AA28" s="94"/>
      <c r="AB28" s="94"/>
      <c r="AC28" s="94"/>
      <c r="AD28" s="87"/>
      <c r="AE28" s="98">
        <f t="shared" si="4"/>
        <v>1000</v>
      </c>
    </row>
    <row r="29" spans="1:31" ht="15" thickBot="1" x14ac:dyDescent="0.35">
      <c r="A29" s="97" t="s">
        <v>120</v>
      </c>
      <c r="B29" s="90" t="s">
        <v>110</v>
      </c>
      <c r="C29" s="91">
        <v>1</v>
      </c>
      <c r="D29" s="92">
        <f>20000/1000</f>
        <v>20</v>
      </c>
      <c r="E29" s="93">
        <f t="shared" si="7"/>
        <v>20</v>
      </c>
      <c r="F29" s="94"/>
      <c r="G29" s="94"/>
      <c r="H29" s="94"/>
      <c r="I29" s="94"/>
      <c r="J29" s="95">
        <f t="shared" si="6"/>
        <v>0</v>
      </c>
      <c r="K29" s="94"/>
      <c r="L29" s="94">
        <v>20</v>
      </c>
      <c r="M29" s="94"/>
      <c r="N29" s="94"/>
      <c r="O29" s="95">
        <f t="shared" si="2"/>
        <v>20</v>
      </c>
      <c r="P29" s="94"/>
      <c r="Q29" s="94"/>
      <c r="R29" s="94"/>
      <c r="S29" s="94"/>
      <c r="T29" s="95">
        <f t="shared" si="3"/>
        <v>0</v>
      </c>
      <c r="U29" s="94"/>
      <c r="V29" s="94"/>
      <c r="W29" s="94"/>
      <c r="X29" s="94"/>
      <c r="Y29" s="86">
        <f t="shared" si="0"/>
        <v>0</v>
      </c>
      <c r="Z29" s="94"/>
      <c r="AA29" s="94"/>
      <c r="AB29" s="94"/>
      <c r="AC29" s="94"/>
      <c r="AD29" s="87">
        <f t="shared" si="1"/>
        <v>0</v>
      </c>
      <c r="AE29" s="98">
        <f t="shared" si="4"/>
        <v>20</v>
      </c>
    </row>
    <row r="30" spans="1:31" x14ac:dyDescent="0.3">
      <c r="A30" s="97" t="s">
        <v>121</v>
      </c>
      <c r="B30" s="90" t="s">
        <v>110</v>
      </c>
      <c r="C30" s="91">
        <v>3</v>
      </c>
      <c r="D30" s="92">
        <f>100000/1000</f>
        <v>100</v>
      </c>
      <c r="E30" s="93">
        <f t="shared" si="7"/>
        <v>300</v>
      </c>
      <c r="F30" s="94"/>
      <c r="G30" s="94"/>
      <c r="H30" s="94"/>
      <c r="I30" s="94">
        <v>100</v>
      </c>
      <c r="J30" s="95">
        <f t="shared" si="6"/>
        <v>100</v>
      </c>
      <c r="K30" s="94"/>
      <c r="L30" s="94"/>
      <c r="M30" s="94">
        <v>200</v>
      </c>
      <c r="N30" s="94"/>
      <c r="O30" s="95">
        <f t="shared" si="2"/>
        <v>200</v>
      </c>
      <c r="P30" s="94"/>
      <c r="Q30" s="94"/>
      <c r="R30" s="94"/>
      <c r="S30" s="94"/>
      <c r="T30" s="95">
        <f t="shared" si="3"/>
        <v>0</v>
      </c>
      <c r="U30" s="94"/>
      <c r="V30" s="94"/>
      <c r="W30" s="94"/>
      <c r="X30" s="94"/>
      <c r="Y30" s="86">
        <f t="shared" si="0"/>
        <v>0</v>
      </c>
      <c r="Z30" s="94"/>
      <c r="AA30" s="94"/>
      <c r="AB30" s="94"/>
      <c r="AC30" s="94"/>
      <c r="AD30" s="87">
        <f t="shared" si="1"/>
        <v>0</v>
      </c>
      <c r="AE30" s="98">
        <f t="shared" si="4"/>
        <v>300</v>
      </c>
    </row>
    <row r="31" spans="1:31" ht="15" thickBot="1" x14ac:dyDescent="0.35">
      <c r="A31" s="117" t="s">
        <v>122</v>
      </c>
      <c r="B31" s="118"/>
      <c r="C31" s="118"/>
      <c r="D31" s="119"/>
      <c r="E31" s="120">
        <f>SUM(E18:E30)</f>
        <v>3770</v>
      </c>
      <c r="F31" s="115">
        <f>SUM(F18:F30)</f>
        <v>0</v>
      </c>
      <c r="G31" s="115">
        <f>SUM(G18:G30)</f>
        <v>15</v>
      </c>
      <c r="H31" s="115">
        <f>SUM(H18:H30)</f>
        <v>0</v>
      </c>
      <c r="I31" s="115">
        <f>SUM(I18:I30)</f>
        <v>100</v>
      </c>
      <c r="J31" s="115">
        <f t="shared" si="6"/>
        <v>115</v>
      </c>
      <c r="K31" s="115">
        <f>SUM(K18:K30)</f>
        <v>155</v>
      </c>
      <c r="L31" s="115">
        <f>SUM(L18:L30)</f>
        <v>275</v>
      </c>
      <c r="M31" s="115">
        <f>SUM(M18:M30)</f>
        <v>2200</v>
      </c>
      <c r="N31" s="115">
        <f>SUM(N18:N30)</f>
        <v>0</v>
      </c>
      <c r="O31" s="115">
        <f t="shared" si="2"/>
        <v>2630</v>
      </c>
      <c r="P31" s="115">
        <f>SUM(P18:P30)</f>
        <v>500</v>
      </c>
      <c r="Q31" s="115">
        <f>SUM(Q18:Q30)</f>
        <v>0</v>
      </c>
      <c r="R31" s="115">
        <f>SUM(R18:R30)</f>
        <v>0</v>
      </c>
      <c r="S31" s="115">
        <f>SUM(S18:S30)</f>
        <v>0</v>
      </c>
      <c r="T31" s="115">
        <f t="shared" si="3"/>
        <v>500</v>
      </c>
      <c r="U31" s="115">
        <f>SUM(U18:U30)</f>
        <v>0</v>
      </c>
      <c r="V31" s="115">
        <f>SUM(V18:V30)</f>
        <v>0</v>
      </c>
      <c r="W31" s="115">
        <f>SUM(W18:W30)</f>
        <v>500</v>
      </c>
      <c r="X31" s="115">
        <f>SUM(X18:X30)</f>
        <v>0</v>
      </c>
      <c r="Y31" s="115">
        <f t="shared" si="0"/>
        <v>500</v>
      </c>
      <c r="Z31" s="115">
        <f>SUM(Z18:Z30)</f>
        <v>0</v>
      </c>
      <c r="AA31" s="115">
        <f>SUM(AA18:AA30)</f>
        <v>0</v>
      </c>
      <c r="AB31" s="115">
        <f>SUM(AB18:AB30)</f>
        <v>0</v>
      </c>
      <c r="AC31" s="115">
        <f>SUM(AC18:AC30)</f>
        <v>0</v>
      </c>
      <c r="AD31" s="115">
        <f t="shared" si="1"/>
        <v>0</v>
      </c>
      <c r="AE31" s="115">
        <f t="shared" si="4"/>
        <v>3745</v>
      </c>
    </row>
    <row r="32" spans="1:31" ht="15.6" thickTop="1" thickBot="1" x14ac:dyDescent="0.35">
      <c r="A32" s="121" t="s">
        <v>123</v>
      </c>
      <c r="B32" s="122"/>
      <c r="C32" s="122"/>
      <c r="D32" s="123"/>
      <c r="E32" s="124"/>
      <c r="F32" s="125"/>
      <c r="G32" s="125"/>
      <c r="H32" s="125"/>
      <c r="I32" s="125"/>
      <c r="J32" s="125">
        <f t="shared" si="6"/>
        <v>0</v>
      </c>
      <c r="K32" s="125"/>
      <c r="L32" s="125"/>
      <c r="M32" s="125"/>
      <c r="N32" s="125"/>
      <c r="O32" s="116">
        <f t="shared" si="2"/>
        <v>0</v>
      </c>
      <c r="P32" s="125"/>
      <c r="Q32" s="125"/>
      <c r="R32" s="125"/>
      <c r="S32" s="125"/>
      <c r="T32" s="116">
        <f t="shared" si="3"/>
        <v>0</v>
      </c>
      <c r="U32" s="125"/>
      <c r="V32" s="125"/>
      <c r="W32" s="125"/>
      <c r="X32" s="125"/>
      <c r="Y32" s="116">
        <f t="shared" si="0"/>
        <v>0</v>
      </c>
      <c r="Z32" s="125"/>
      <c r="AA32" s="125"/>
      <c r="AB32" s="125"/>
      <c r="AC32" s="125"/>
      <c r="AD32" s="126">
        <f t="shared" si="1"/>
        <v>0</v>
      </c>
      <c r="AE32" s="127">
        <f t="shared" si="4"/>
        <v>0</v>
      </c>
    </row>
    <row r="33" spans="1:31" ht="15" thickBot="1" x14ac:dyDescent="0.35">
      <c r="A33" s="102" t="s">
        <v>124</v>
      </c>
      <c r="B33" s="90" t="s">
        <v>119</v>
      </c>
      <c r="C33" s="90">
        <v>3</v>
      </c>
      <c r="D33" s="128">
        <v>10</v>
      </c>
      <c r="E33" s="93">
        <f>D33*C33</f>
        <v>30</v>
      </c>
      <c r="F33" s="94"/>
      <c r="G33" s="94"/>
      <c r="H33" s="94"/>
      <c r="I33" s="94">
        <v>30</v>
      </c>
      <c r="J33" s="94">
        <f t="shared" si="6"/>
        <v>30</v>
      </c>
      <c r="K33" s="94"/>
      <c r="L33" s="94"/>
      <c r="M33" s="94"/>
      <c r="N33" s="94"/>
      <c r="O33" s="95">
        <f t="shared" si="2"/>
        <v>0</v>
      </c>
      <c r="P33" s="94"/>
      <c r="Q33" s="94"/>
      <c r="R33" s="94"/>
      <c r="S33" s="94"/>
      <c r="T33" s="95">
        <f t="shared" si="3"/>
        <v>0</v>
      </c>
      <c r="U33" s="94"/>
      <c r="V33" s="94"/>
      <c r="W33" s="94"/>
      <c r="X33" s="94"/>
      <c r="Y33" s="86">
        <f t="shared" si="0"/>
        <v>0</v>
      </c>
      <c r="Z33" s="94"/>
      <c r="AA33" s="94"/>
      <c r="AB33" s="94"/>
      <c r="AC33" s="94"/>
      <c r="AD33" s="87">
        <f t="shared" si="1"/>
        <v>0</v>
      </c>
      <c r="AE33" s="98">
        <f t="shared" si="4"/>
        <v>30</v>
      </c>
    </row>
    <row r="34" spans="1:31" ht="15" thickBot="1" x14ac:dyDescent="0.35">
      <c r="A34" s="102" t="s">
        <v>125</v>
      </c>
      <c r="B34" s="90" t="s">
        <v>119</v>
      </c>
      <c r="C34" s="90">
        <v>2</v>
      </c>
      <c r="D34" s="128">
        <v>7</v>
      </c>
      <c r="E34" s="93">
        <f>D34*C34</f>
        <v>14</v>
      </c>
      <c r="F34" s="94"/>
      <c r="G34" s="94"/>
      <c r="H34" s="94"/>
      <c r="I34" s="94">
        <v>14</v>
      </c>
      <c r="J34" s="94">
        <f t="shared" si="6"/>
        <v>14</v>
      </c>
      <c r="K34" s="94"/>
      <c r="L34" s="94"/>
      <c r="M34" s="94"/>
      <c r="N34" s="94"/>
      <c r="O34" s="95">
        <f t="shared" si="2"/>
        <v>0</v>
      </c>
      <c r="P34" s="94"/>
      <c r="Q34" s="94"/>
      <c r="R34" s="94"/>
      <c r="S34" s="94"/>
      <c r="T34" s="95">
        <f t="shared" si="3"/>
        <v>0</v>
      </c>
      <c r="U34" s="94"/>
      <c r="V34" s="94"/>
      <c r="W34" s="94"/>
      <c r="X34" s="94"/>
      <c r="Y34" s="86">
        <f t="shared" si="0"/>
        <v>0</v>
      </c>
      <c r="Z34" s="94"/>
      <c r="AA34" s="94"/>
      <c r="AB34" s="94"/>
      <c r="AC34" s="94"/>
      <c r="AD34" s="87">
        <f t="shared" si="1"/>
        <v>0</v>
      </c>
      <c r="AE34" s="98">
        <f t="shared" si="4"/>
        <v>14</v>
      </c>
    </row>
    <row r="35" spans="1:31" ht="15" thickBot="1" x14ac:dyDescent="0.35">
      <c r="A35" s="102" t="s">
        <v>126</v>
      </c>
      <c r="B35" s="90" t="s">
        <v>119</v>
      </c>
      <c r="C35" s="90">
        <v>2</v>
      </c>
      <c r="D35" s="128">
        <v>5</v>
      </c>
      <c r="E35" s="93">
        <f t="shared" ref="E35:E39" si="8">D35*C35</f>
        <v>10</v>
      </c>
      <c r="F35" s="94"/>
      <c r="G35" s="94"/>
      <c r="H35" s="94"/>
      <c r="I35" s="94">
        <v>10</v>
      </c>
      <c r="J35" s="94">
        <f t="shared" si="6"/>
        <v>10</v>
      </c>
      <c r="K35" s="94"/>
      <c r="L35" s="94"/>
      <c r="M35" s="94"/>
      <c r="N35" s="94"/>
      <c r="O35" s="95">
        <f t="shared" si="2"/>
        <v>0</v>
      </c>
      <c r="P35" s="94"/>
      <c r="Q35" s="94"/>
      <c r="R35" s="94"/>
      <c r="S35" s="94"/>
      <c r="T35" s="95">
        <f t="shared" si="3"/>
        <v>0</v>
      </c>
      <c r="U35" s="94"/>
      <c r="V35" s="94"/>
      <c r="W35" s="94"/>
      <c r="X35" s="94"/>
      <c r="Y35" s="86">
        <f t="shared" si="0"/>
        <v>0</v>
      </c>
      <c r="Z35" s="94"/>
      <c r="AA35" s="94"/>
      <c r="AB35" s="94"/>
      <c r="AC35" s="94"/>
      <c r="AD35" s="87">
        <f t="shared" si="1"/>
        <v>0</v>
      </c>
      <c r="AE35" s="98">
        <f t="shared" si="4"/>
        <v>10</v>
      </c>
    </row>
    <row r="36" spans="1:31" ht="15" thickBot="1" x14ac:dyDescent="0.35">
      <c r="A36" s="102" t="s">
        <v>127</v>
      </c>
      <c r="B36" s="90" t="s">
        <v>119</v>
      </c>
      <c r="C36" s="90">
        <v>1</v>
      </c>
      <c r="D36" s="128">
        <v>10</v>
      </c>
      <c r="E36" s="93">
        <f t="shared" si="8"/>
        <v>10</v>
      </c>
      <c r="F36" s="94"/>
      <c r="G36" s="94"/>
      <c r="H36" s="94"/>
      <c r="I36" s="94"/>
      <c r="J36" s="94">
        <f t="shared" si="6"/>
        <v>0</v>
      </c>
      <c r="K36" s="94">
        <v>10</v>
      </c>
      <c r="L36" s="94"/>
      <c r="M36" s="94"/>
      <c r="N36" s="94"/>
      <c r="O36" s="95">
        <f t="shared" si="2"/>
        <v>10</v>
      </c>
      <c r="P36" s="94"/>
      <c r="Q36" s="94"/>
      <c r="R36" s="94"/>
      <c r="S36" s="94"/>
      <c r="T36" s="95">
        <f t="shared" si="3"/>
        <v>0</v>
      </c>
      <c r="U36" s="94"/>
      <c r="V36" s="94"/>
      <c r="W36" s="94"/>
      <c r="X36" s="94"/>
      <c r="Y36" s="86">
        <f t="shared" si="0"/>
        <v>0</v>
      </c>
      <c r="Z36" s="94"/>
      <c r="AA36" s="94"/>
      <c r="AB36" s="94"/>
      <c r="AC36" s="94"/>
      <c r="AD36" s="87">
        <f t="shared" si="1"/>
        <v>0</v>
      </c>
      <c r="AE36" s="98">
        <f t="shared" si="4"/>
        <v>10</v>
      </c>
    </row>
    <row r="37" spans="1:31" ht="15" thickBot="1" x14ac:dyDescent="0.35">
      <c r="A37" s="102" t="s">
        <v>128</v>
      </c>
      <c r="B37" s="90" t="s">
        <v>119</v>
      </c>
      <c r="C37" s="90">
        <v>400</v>
      </c>
      <c r="D37" s="128">
        <v>5</v>
      </c>
      <c r="E37" s="93">
        <f t="shared" si="8"/>
        <v>2000</v>
      </c>
      <c r="F37" s="94"/>
      <c r="G37" s="94"/>
      <c r="H37" s="94"/>
      <c r="I37" s="94"/>
      <c r="J37" s="94">
        <f t="shared" si="6"/>
        <v>0</v>
      </c>
      <c r="K37" s="94"/>
      <c r="L37" s="94"/>
      <c r="M37" s="94"/>
      <c r="N37" s="94">
        <v>1000</v>
      </c>
      <c r="O37" s="95">
        <f t="shared" si="2"/>
        <v>1000</v>
      </c>
      <c r="P37" s="94"/>
      <c r="Q37" s="94"/>
      <c r="R37" s="94"/>
      <c r="S37" s="94"/>
      <c r="T37" s="95">
        <f t="shared" si="3"/>
        <v>0</v>
      </c>
      <c r="U37" s="94">
        <v>1000</v>
      </c>
      <c r="V37" s="94"/>
      <c r="W37" s="94"/>
      <c r="X37" s="94"/>
      <c r="Y37" s="86">
        <f t="shared" si="0"/>
        <v>1000</v>
      </c>
      <c r="Z37" s="94"/>
      <c r="AA37" s="94"/>
      <c r="AB37" s="94"/>
      <c r="AC37" s="94"/>
      <c r="AD37" s="87">
        <f t="shared" si="1"/>
        <v>0</v>
      </c>
      <c r="AE37" s="98">
        <f t="shared" si="4"/>
        <v>2000</v>
      </c>
    </row>
    <row r="38" spans="1:31" ht="15" thickBot="1" x14ac:dyDescent="0.35">
      <c r="A38" s="102" t="s">
        <v>129</v>
      </c>
      <c r="B38" s="90" t="s">
        <v>119</v>
      </c>
      <c r="C38" s="90">
        <v>1</v>
      </c>
      <c r="D38" s="128">
        <v>10</v>
      </c>
      <c r="E38" s="93">
        <f t="shared" si="8"/>
        <v>10</v>
      </c>
      <c r="F38" s="94"/>
      <c r="G38" s="94"/>
      <c r="H38" s="94"/>
      <c r="I38" s="94"/>
      <c r="J38" s="94">
        <f t="shared" si="6"/>
        <v>0</v>
      </c>
      <c r="K38" s="94">
        <v>10</v>
      </c>
      <c r="L38" s="94"/>
      <c r="M38" s="94"/>
      <c r="N38" s="94"/>
      <c r="O38" s="95">
        <f t="shared" si="2"/>
        <v>10</v>
      </c>
      <c r="P38" s="94"/>
      <c r="Q38" s="94"/>
      <c r="R38" s="94"/>
      <c r="S38" s="94"/>
      <c r="T38" s="95">
        <f t="shared" si="3"/>
        <v>0</v>
      </c>
      <c r="U38" s="94"/>
      <c r="V38" s="94"/>
      <c r="W38" s="94"/>
      <c r="X38" s="94"/>
      <c r="Y38" s="86">
        <f t="shared" si="0"/>
        <v>0</v>
      </c>
      <c r="Z38" s="94"/>
      <c r="AA38" s="94"/>
      <c r="AB38" s="94"/>
      <c r="AC38" s="94"/>
      <c r="AD38" s="87">
        <f t="shared" si="1"/>
        <v>0</v>
      </c>
      <c r="AE38" s="98">
        <f t="shared" si="4"/>
        <v>10</v>
      </c>
    </row>
    <row r="39" spans="1:31" x14ac:dyDescent="0.3">
      <c r="A39" s="102" t="s">
        <v>130</v>
      </c>
      <c r="B39" s="90" t="s">
        <v>119</v>
      </c>
      <c r="C39" s="90">
        <v>2</v>
      </c>
      <c r="D39" s="128">
        <v>5</v>
      </c>
      <c r="E39" s="93">
        <f t="shared" si="8"/>
        <v>10</v>
      </c>
      <c r="F39" s="94"/>
      <c r="G39" s="94"/>
      <c r="H39" s="94"/>
      <c r="I39" s="94"/>
      <c r="J39" s="94">
        <f t="shared" si="6"/>
        <v>0</v>
      </c>
      <c r="K39" s="94"/>
      <c r="L39" s="94">
        <v>10</v>
      </c>
      <c r="M39" s="94"/>
      <c r="N39" s="94"/>
      <c r="O39" s="95">
        <f t="shared" si="2"/>
        <v>10</v>
      </c>
      <c r="P39" s="94"/>
      <c r="Q39" s="94"/>
      <c r="R39" s="94"/>
      <c r="S39" s="94"/>
      <c r="T39" s="95">
        <f t="shared" si="3"/>
        <v>0</v>
      </c>
      <c r="U39" s="94"/>
      <c r="V39" s="94"/>
      <c r="W39" s="94"/>
      <c r="X39" s="94"/>
      <c r="Y39" s="86">
        <f t="shared" si="0"/>
        <v>0</v>
      </c>
      <c r="Z39" s="94"/>
      <c r="AA39" s="94"/>
      <c r="AB39" s="94"/>
      <c r="AC39" s="94"/>
      <c r="AD39" s="87">
        <f t="shared" si="1"/>
        <v>0</v>
      </c>
      <c r="AE39" s="98">
        <f t="shared" si="4"/>
        <v>10</v>
      </c>
    </row>
    <row r="40" spans="1:31" ht="15" thickBot="1" x14ac:dyDescent="0.35">
      <c r="A40" s="129" t="s">
        <v>131</v>
      </c>
      <c r="B40" s="99"/>
      <c r="C40" s="99"/>
      <c r="D40" s="130"/>
      <c r="E40" s="131">
        <f>SUM(E33:E39)</f>
        <v>2084</v>
      </c>
      <c r="F40" s="95">
        <f>SUM(F32:F39)</f>
        <v>0</v>
      </c>
      <c r="G40" s="95">
        <f>SUM(G32:G39)</f>
        <v>0</v>
      </c>
      <c r="H40" s="95">
        <f>SUM(H32:H39)</f>
        <v>0</v>
      </c>
      <c r="I40" s="95">
        <f>SUM(I32:I39)</f>
        <v>54</v>
      </c>
      <c r="J40" s="95">
        <f t="shared" si="6"/>
        <v>54</v>
      </c>
      <c r="K40" s="95">
        <f>SUM(K32:K39)</f>
        <v>20</v>
      </c>
      <c r="L40" s="95">
        <f>SUM(L32:L39)</f>
        <v>10</v>
      </c>
      <c r="M40" s="95">
        <f>SUM(M32:M39)</f>
        <v>0</v>
      </c>
      <c r="N40" s="95">
        <f>SUM(N32:N39)</f>
        <v>1000</v>
      </c>
      <c r="O40" s="95">
        <f t="shared" si="2"/>
        <v>1030</v>
      </c>
      <c r="P40" s="95">
        <f>SUM(P32:P39)</f>
        <v>0</v>
      </c>
      <c r="Q40" s="95">
        <f>SUM(Q32:Q39)</f>
        <v>0</v>
      </c>
      <c r="R40" s="95">
        <f>SUM(R32:R39)</f>
        <v>0</v>
      </c>
      <c r="S40" s="95">
        <f>SUM(S32:S39)</f>
        <v>0</v>
      </c>
      <c r="T40" s="95">
        <f t="shared" si="3"/>
        <v>0</v>
      </c>
      <c r="U40" s="95">
        <f>SUM(U32:U39)</f>
        <v>1000</v>
      </c>
      <c r="V40" s="95">
        <f>SUM(V32:V39)</f>
        <v>0</v>
      </c>
      <c r="W40" s="95">
        <f>SUM(W32:W39)</f>
        <v>0</v>
      </c>
      <c r="X40" s="95">
        <f>SUM(X32:X39)</f>
        <v>0</v>
      </c>
      <c r="Y40" s="95">
        <f t="shared" si="0"/>
        <v>1000</v>
      </c>
      <c r="Z40" s="95">
        <f>SUM(Z32:Z39)</f>
        <v>0</v>
      </c>
      <c r="AA40" s="95">
        <f>SUM(AA32:AA39)</f>
        <v>0</v>
      </c>
      <c r="AB40" s="95">
        <f>SUM(AB32:AB39)</f>
        <v>0</v>
      </c>
      <c r="AC40" s="95">
        <f>SUM(AC32:AC39)</f>
        <v>0</v>
      </c>
      <c r="AD40" s="95">
        <f t="shared" si="1"/>
        <v>0</v>
      </c>
      <c r="AE40" s="95">
        <f t="shared" si="4"/>
        <v>2084</v>
      </c>
    </row>
    <row r="41" spans="1:31" ht="15" thickBot="1" x14ac:dyDescent="0.35">
      <c r="A41" s="89" t="s">
        <v>132</v>
      </c>
      <c r="B41" s="99"/>
      <c r="C41" s="99"/>
      <c r="D41" s="130"/>
      <c r="E41" s="93"/>
      <c r="F41" s="94"/>
      <c r="G41" s="94"/>
      <c r="H41" s="94"/>
      <c r="I41" s="94"/>
      <c r="J41" s="94">
        <f t="shared" si="6"/>
        <v>0</v>
      </c>
      <c r="K41" s="94"/>
      <c r="L41" s="94"/>
      <c r="M41" s="94"/>
      <c r="N41" s="94"/>
      <c r="O41" s="95">
        <f t="shared" si="2"/>
        <v>0</v>
      </c>
      <c r="P41" s="94"/>
      <c r="Q41" s="94"/>
      <c r="R41" s="94"/>
      <c r="S41" s="94"/>
      <c r="T41" s="95">
        <f t="shared" si="3"/>
        <v>0</v>
      </c>
      <c r="U41" s="94"/>
      <c r="V41" s="94"/>
      <c r="W41" s="94"/>
      <c r="X41" s="94"/>
      <c r="Y41" s="86">
        <f t="shared" si="0"/>
        <v>0</v>
      </c>
      <c r="Z41" s="94"/>
      <c r="AA41" s="94"/>
      <c r="AB41" s="94"/>
      <c r="AC41" s="94"/>
      <c r="AD41" s="87">
        <f t="shared" si="1"/>
        <v>0</v>
      </c>
      <c r="AE41" s="98">
        <f t="shared" si="4"/>
        <v>0</v>
      </c>
    </row>
    <row r="42" spans="1:31" ht="15" thickBot="1" x14ac:dyDescent="0.35">
      <c r="A42" s="102" t="s">
        <v>133</v>
      </c>
      <c r="B42" s="90" t="s">
        <v>110</v>
      </c>
      <c r="C42" s="90">
        <v>1</v>
      </c>
      <c r="D42" s="128">
        <f>40000/1000</f>
        <v>40</v>
      </c>
      <c r="E42" s="93">
        <f t="shared" ref="E42:E48" si="9">C42*D42</f>
        <v>40</v>
      </c>
      <c r="F42" s="94"/>
      <c r="G42" s="94">
        <v>40</v>
      </c>
      <c r="H42" s="94"/>
      <c r="I42" s="94"/>
      <c r="J42" s="94">
        <f t="shared" si="6"/>
        <v>40</v>
      </c>
      <c r="K42" s="94"/>
      <c r="L42" s="94"/>
      <c r="M42" s="94"/>
      <c r="N42" s="94"/>
      <c r="O42" s="95">
        <f t="shared" si="2"/>
        <v>0</v>
      </c>
      <c r="P42" s="94"/>
      <c r="Q42" s="94"/>
      <c r="R42" s="94"/>
      <c r="S42" s="94"/>
      <c r="T42" s="95">
        <f t="shared" si="3"/>
        <v>0</v>
      </c>
      <c r="U42" s="94"/>
      <c r="V42" s="94"/>
      <c r="W42" s="94"/>
      <c r="X42" s="94"/>
      <c r="Y42" s="86">
        <f t="shared" si="0"/>
        <v>0</v>
      </c>
      <c r="Z42" s="94"/>
      <c r="AA42" s="94"/>
      <c r="AB42" s="94"/>
      <c r="AC42" s="94"/>
      <c r="AD42" s="87">
        <f t="shared" si="1"/>
        <v>0</v>
      </c>
      <c r="AE42" s="98">
        <f t="shared" si="4"/>
        <v>40</v>
      </c>
    </row>
    <row r="43" spans="1:31" ht="15" thickBot="1" x14ac:dyDescent="0.35">
      <c r="A43" s="102" t="s">
        <v>134</v>
      </c>
      <c r="B43" s="90" t="s">
        <v>108</v>
      </c>
      <c r="C43" s="90">
        <v>1</v>
      </c>
      <c r="D43" s="128">
        <v>75</v>
      </c>
      <c r="E43" s="93">
        <f t="shared" si="9"/>
        <v>75</v>
      </c>
      <c r="F43" s="94"/>
      <c r="G43" s="94"/>
      <c r="H43" s="94"/>
      <c r="I43" s="94"/>
      <c r="J43" s="94">
        <f t="shared" si="6"/>
        <v>0</v>
      </c>
      <c r="K43" s="94">
        <v>75</v>
      </c>
      <c r="L43" s="94"/>
      <c r="M43" s="94"/>
      <c r="N43" s="94"/>
      <c r="O43" s="95">
        <f t="shared" si="2"/>
        <v>75</v>
      </c>
      <c r="P43" s="94"/>
      <c r="Q43" s="94"/>
      <c r="R43" s="94"/>
      <c r="S43" s="94"/>
      <c r="T43" s="95">
        <f t="shared" si="3"/>
        <v>0</v>
      </c>
      <c r="U43" s="94"/>
      <c r="V43" s="94"/>
      <c r="W43" s="94"/>
      <c r="X43" s="94"/>
      <c r="Y43" s="86">
        <f t="shared" si="0"/>
        <v>0</v>
      </c>
      <c r="Z43" s="94"/>
      <c r="AA43" s="94"/>
      <c r="AB43" s="94"/>
      <c r="AC43" s="94"/>
      <c r="AD43" s="87">
        <f t="shared" si="1"/>
        <v>0</v>
      </c>
      <c r="AE43" s="98">
        <f t="shared" si="4"/>
        <v>75</v>
      </c>
    </row>
    <row r="44" spans="1:31" ht="15" thickBot="1" x14ac:dyDescent="0.35">
      <c r="A44" s="102" t="s">
        <v>135</v>
      </c>
      <c r="B44" s="90" t="s">
        <v>108</v>
      </c>
      <c r="C44" s="90">
        <v>1</v>
      </c>
      <c r="D44" s="128">
        <f>60000/1000</f>
        <v>60</v>
      </c>
      <c r="E44" s="93">
        <f t="shared" si="9"/>
        <v>60</v>
      </c>
      <c r="F44" s="94"/>
      <c r="G44" s="94">
        <v>60</v>
      </c>
      <c r="H44" s="94"/>
      <c r="I44" s="94"/>
      <c r="J44" s="94">
        <f t="shared" si="6"/>
        <v>60</v>
      </c>
      <c r="K44" s="94"/>
      <c r="L44" s="94"/>
      <c r="M44" s="94"/>
      <c r="N44" s="94"/>
      <c r="O44" s="95">
        <f t="shared" si="2"/>
        <v>0</v>
      </c>
      <c r="P44" s="94"/>
      <c r="Q44" s="94"/>
      <c r="R44" s="94"/>
      <c r="S44" s="94"/>
      <c r="T44" s="95">
        <f t="shared" si="3"/>
        <v>0</v>
      </c>
      <c r="U44" s="94"/>
      <c r="V44" s="94"/>
      <c r="W44" s="94"/>
      <c r="X44" s="94"/>
      <c r="Y44" s="86">
        <f t="shared" si="0"/>
        <v>0</v>
      </c>
      <c r="Z44" s="94"/>
      <c r="AA44" s="94"/>
      <c r="AB44" s="94"/>
      <c r="AC44" s="94"/>
      <c r="AD44" s="87">
        <f t="shared" si="1"/>
        <v>0</v>
      </c>
      <c r="AE44" s="98">
        <f t="shared" si="4"/>
        <v>60</v>
      </c>
    </row>
    <row r="45" spans="1:31" ht="15" thickBot="1" x14ac:dyDescent="0.35">
      <c r="A45" s="102" t="s">
        <v>136</v>
      </c>
      <c r="B45" s="90" t="s">
        <v>110</v>
      </c>
      <c r="C45" s="90">
        <v>1</v>
      </c>
      <c r="D45" s="128">
        <v>45</v>
      </c>
      <c r="E45" s="93">
        <f t="shared" si="9"/>
        <v>45</v>
      </c>
      <c r="F45" s="94"/>
      <c r="G45" s="94"/>
      <c r="H45" s="94"/>
      <c r="I45" s="94"/>
      <c r="J45" s="94">
        <f t="shared" si="6"/>
        <v>0</v>
      </c>
      <c r="K45" s="94">
        <v>45</v>
      </c>
      <c r="L45" s="94"/>
      <c r="M45" s="94"/>
      <c r="N45" s="94"/>
      <c r="O45" s="95">
        <f t="shared" si="2"/>
        <v>45</v>
      </c>
      <c r="P45" s="94"/>
      <c r="Q45" s="94"/>
      <c r="R45" s="94"/>
      <c r="S45" s="94"/>
      <c r="T45" s="95">
        <f t="shared" si="3"/>
        <v>0</v>
      </c>
      <c r="U45" s="94"/>
      <c r="V45" s="94"/>
      <c r="W45" s="94"/>
      <c r="X45" s="94"/>
      <c r="Y45" s="86">
        <f t="shared" si="0"/>
        <v>0</v>
      </c>
      <c r="Z45" s="94"/>
      <c r="AA45" s="94"/>
      <c r="AB45" s="94"/>
      <c r="AC45" s="94"/>
      <c r="AD45" s="87">
        <f t="shared" si="1"/>
        <v>0</v>
      </c>
      <c r="AE45" s="98">
        <f t="shared" si="4"/>
        <v>45</v>
      </c>
    </row>
    <row r="46" spans="1:31" ht="15" thickBot="1" x14ac:dyDescent="0.35">
      <c r="A46" s="102" t="s">
        <v>137</v>
      </c>
      <c r="B46" s="90" t="s">
        <v>110</v>
      </c>
      <c r="C46" s="90">
        <v>1</v>
      </c>
      <c r="D46" s="128">
        <v>45</v>
      </c>
      <c r="E46" s="93">
        <f t="shared" si="9"/>
        <v>45</v>
      </c>
      <c r="F46" s="94"/>
      <c r="G46" s="94"/>
      <c r="H46" s="94"/>
      <c r="I46" s="94"/>
      <c r="J46" s="94">
        <f t="shared" si="6"/>
        <v>0</v>
      </c>
      <c r="K46" s="94">
        <v>45</v>
      </c>
      <c r="L46" s="94"/>
      <c r="M46" s="94"/>
      <c r="N46" s="94"/>
      <c r="O46" s="95">
        <f t="shared" si="2"/>
        <v>45</v>
      </c>
      <c r="P46" s="94"/>
      <c r="Q46" s="94"/>
      <c r="R46" s="94"/>
      <c r="S46" s="94"/>
      <c r="T46" s="95">
        <f t="shared" si="3"/>
        <v>0</v>
      </c>
      <c r="U46" s="94"/>
      <c r="V46" s="94"/>
      <c r="W46" s="94"/>
      <c r="X46" s="94"/>
      <c r="Y46" s="86">
        <f t="shared" si="0"/>
        <v>0</v>
      </c>
      <c r="Z46" s="94"/>
      <c r="AA46" s="94"/>
      <c r="AB46" s="94"/>
      <c r="AC46" s="94"/>
      <c r="AD46" s="87">
        <f t="shared" si="1"/>
        <v>0</v>
      </c>
      <c r="AE46" s="98">
        <f t="shared" si="4"/>
        <v>45</v>
      </c>
    </row>
    <row r="47" spans="1:31" ht="15" thickBot="1" x14ac:dyDescent="0.35">
      <c r="A47" s="102" t="s">
        <v>138</v>
      </c>
      <c r="B47" s="90" t="s">
        <v>110</v>
      </c>
      <c r="C47" s="90">
        <v>5</v>
      </c>
      <c r="D47" s="128">
        <f>750/1000</f>
        <v>0.75</v>
      </c>
      <c r="E47" s="93">
        <f t="shared" si="9"/>
        <v>3.75</v>
      </c>
      <c r="F47" s="94"/>
      <c r="G47" s="94"/>
      <c r="H47" s="94"/>
      <c r="I47" s="94">
        <v>4</v>
      </c>
      <c r="J47" s="94">
        <f t="shared" si="6"/>
        <v>4</v>
      </c>
      <c r="K47" s="94"/>
      <c r="L47" s="94"/>
      <c r="M47" s="94"/>
      <c r="N47" s="94"/>
      <c r="O47" s="95">
        <f t="shared" si="2"/>
        <v>0</v>
      </c>
      <c r="P47" s="94"/>
      <c r="Q47" s="94"/>
      <c r="R47" s="94"/>
      <c r="S47" s="94"/>
      <c r="T47" s="95">
        <f t="shared" si="3"/>
        <v>0</v>
      </c>
      <c r="U47" s="94"/>
      <c r="V47" s="94"/>
      <c r="W47" s="94"/>
      <c r="X47" s="94"/>
      <c r="Y47" s="86">
        <f t="shared" si="0"/>
        <v>0</v>
      </c>
      <c r="Z47" s="94"/>
      <c r="AA47" s="94"/>
      <c r="AB47" s="94"/>
      <c r="AC47" s="94"/>
      <c r="AD47" s="87">
        <f t="shared" si="1"/>
        <v>0</v>
      </c>
      <c r="AE47" s="98">
        <f t="shared" si="4"/>
        <v>4</v>
      </c>
    </row>
    <row r="48" spans="1:31" ht="15" thickBot="1" x14ac:dyDescent="0.35">
      <c r="A48" s="102" t="s">
        <v>139</v>
      </c>
      <c r="B48" s="90" t="s">
        <v>110</v>
      </c>
      <c r="C48" s="90">
        <v>6</v>
      </c>
      <c r="D48" s="128">
        <v>3</v>
      </c>
      <c r="E48" s="93">
        <f t="shared" si="9"/>
        <v>18</v>
      </c>
      <c r="F48" s="94"/>
      <c r="G48" s="94"/>
      <c r="H48" s="94"/>
      <c r="I48" s="94">
        <v>12</v>
      </c>
      <c r="J48" s="94">
        <f t="shared" si="6"/>
        <v>12</v>
      </c>
      <c r="K48" s="94">
        <v>6</v>
      </c>
      <c r="L48" s="94"/>
      <c r="M48" s="94"/>
      <c r="N48" s="94"/>
      <c r="O48" s="95">
        <f t="shared" si="2"/>
        <v>6</v>
      </c>
      <c r="P48" s="94"/>
      <c r="Q48" s="94"/>
      <c r="R48" s="94"/>
      <c r="S48" s="94"/>
      <c r="T48" s="95">
        <f t="shared" si="3"/>
        <v>0</v>
      </c>
      <c r="U48" s="94"/>
      <c r="V48" s="94"/>
      <c r="W48" s="94"/>
      <c r="X48" s="94"/>
      <c r="Y48" s="86">
        <f t="shared" si="0"/>
        <v>0</v>
      </c>
      <c r="Z48" s="94"/>
      <c r="AA48" s="94"/>
      <c r="AB48" s="94"/>
      <c r="AC48" s="94"/>
      <c r="AD48" s="87">
        <f t="shared" si="1"/>
        <v>0</v>
      </c>
      <c r="AE48" s="98">
        <f t="shared" si="4"/>
        <v>18</v>
      </c>
    </row>
    <row r="49" spans="1:31" ht="15" thickBot="1" x14ac:dyDescent="0.35">
      <c r="A49" s="113" t="s">
        <v>140</v>
      </c>
      <c r="B49" s="90"/>
      <c r="C49" s="90"/>
      <c r="D49" s="132"/>
      <c r="E49" s="114">
        <f>SUM(E42:E48)</f>
        <v>286.75</v>
      </c>
      <c r="F49" s="94"/>
      <c r="G49" s="94"/>
      <c r="H49" s="94"/>
      <c r="I49" s="94"/>
      <c r="J49" s="95">
        <f>SUM(J41:J48)</f>
        <v>116</v>
      </c>
      <c r="K49" s="94"/>
      <c r="L49" s="94"/>
      <c r="M49" s="94"/>
      <c r="N49" s="94"/>
      <c r="O49" s="95">
        <f t="shared" si="2"/>
        <v>0</v>
      </c>
      <c r="P49" s="94"/>
      <c r="Q49" s="94"/>
      <c r="R49" s="94"/>
      <c r="S49" s="94"/>
      <c r="T49" s="95">
        <f t="shared" si="3"/>
        <v>0</v>
      </c>
      <c r="U49" s="94"/>
      <c r="V49" s="94"/>
      <c r="W49" s="94"/>
      <c r="X49" s="94"/>
      <c r="Y49" s="86">
        <f t="shared" si="0"/>
        <v>0</v>
      </c>
      <c r="Z49" s="94"/>
      <c r="AA49" s="94"/>
      <c r="AB49" s="94"/>
      <c r="AC49" s="94"/>
      <c r="AD49" s="87">
        <f t="shared" si="1"/>
        <v>0</v>
      </c>
      <c r="AE49" s="96">
        <f t="shared" si="4"/>
        <v>116</v>
      </c>
    </row>
    <row r="50" spans="1:31" ht="15" thickBot="1" x14ac:dyDescent="0.35">
      <c r="A50" s="89" t="s">
        <v>141</v>
      </c>
      <c r="B50" s="99"/>
      <c r="C50" s="99"/>
      <c r="D50" s="130"/>
      <c r="E50" s="133"/>
      <c r="F50" s="94"/>
      <c r="G50" s="94"/>
      <c r="H50" s="94"/>
      <c r="I50" s="94"/>
      <c r="J50" s="95">
        <f>SUM(F50:I50)</f>
        <v>0</v>
      </c>
      <c r="K50" s="94"/>
      <c r="L50" s="94"/>
      <c r="M50" s="94"/>
      <c r="N50" s="94"/>
      <c r="O50" s="95">
        <f t="shared" si="2"/>
        <v>0</v>
      </c>
      <c r="P50" s="94"/>
      <c r="Q50" s="94"/>
      <c r="R50" s="94"/>
      <c r="S50" s="94"/>
      <c r="T50" s="95">
        <f t="shared" si="3"/>
        <v>0</v>
      </c>
      <c r="U50" s="94"/>
      <c r="V50" s="94"/>
      <c r="W50" s="94"/>
      <c r="X50" s="94"/>
      <c r="Y50" s="86">
        <f t="shared" si="0"/>
        <v>0</v>
      </c>
      <c r="Z50" s="94"/>
      <c r="AA50" s="94"/>
      <c r="AB50" s="94"/>
      <c r="AC50" s="94"/>
      <c r="AD50" s="87">
        <f t="shared" si="1"/>
        <v>0</v>
      </c>
      <c r="AE50" s="96">
        <f t="shared" si="4"/>
        <v>0</v>
      </c>
    </row>
    <row r="51" spans="1:31" ht="15" thickBot="1" x14ac:dyDescent="0.35">
      <c r="A51" s="102" t="s">
        <v>142</v>
      </c>
      <c r="B51" s="90" t="s">
        <v>110</v>
      </c>
      <c r="C51" s="90">
        <v>2</v>
      </c>
      <c r="D51" s="128">
        <v>225</v>
      </c>
      <c r="E51" s="93">
        <f>C51*D51</f>
        <v>450</v>
      </c>
      <c r="F51" s="94"/>
      <c r="G51" s="94"/>
      <c r="H51" s="94"/>
      <c r="I51" s="94">
        <v>225</v>
      </c>
      <c r="J51" s="95">
        <f>SUM(F51:I51)</f>
        <v>225</v>
      </c>
      <c r="K51" s="94"/>
      <c r="L51" s="94">
        <v>225</v>
      </c>
      <c r="M51" s="94"/>
      <c r="N51" s="94"/>
      <c r="O51" s="95">
        <f t="shared" si="2"/>
        <v>225</v>
      </c>
      <c r="P51" s="94"/>
      <c r="Q51" s="94"/>
      <c r="R51" s="94"/>
      <c r="S51" s="94"/>
      <c r="T51" s="95">
        <f t="shared" si="3"/>
        <v>0</v>
      </c>
      <c r="U51" s="94"/>
      <c r="V51" s="94"/>
      <c r="W51" s="94"/>
      <c r="X51" s="94"/>
      <c r="Y51" s="86">
        <f t="shared" si="0"/>
        <v>0</v>
      </c>
      <c r="Z51" s="94"/>
      <c r="AA51" s="94"/>
      <c r="AB51" s="94"/>
      <c r="AC51" s="94"/>
      <c r="AD51" s="87">
        <f t="shared" si="1"/>
        <v>0</v>
      </c>
      <c r="AE51" s="96">
        <f t="shared" si="4"/>
        <v>450</v>
      </c>
    </row>
    <row r="52" spans="1:31" x14ac:dyDescent="0.3">
      <c r="A52" s="102" t="s">
        <v>143</v>
      </c>
      <c r="B52" s="90" t="s">
        <v>110</v>
      </c>
      <c r="C52" s="90">
        <v>1</v>
      </c>
      <c r="D52" s="128">
        <f>2000000/1000</f>
        <v>2000</v>
      </c>
      <c r="E52" s="93">
        <f>C52*D52</f>
        <v>2000</v>
      </c>
      <c r="F52" s="94"/>
      <c r="G52" s="94"/>
      <c r="H52" s="94"/>
      <c r="I52" s="94"/>
      <c r="J52" s="95">
        <f>SUM(F52:I52)</f>
        <v>0</v>
      </c>
      <c r="K52" s="94"/>
      <c r="L52" s="94">
        <v>2000</v>
      </c>
      <c r="M52" s="94"/>
      <c r="N52" s="94"/>
      <c r="O52" s="95">
        <f t="shared" si="2"/>
        <v>2000</v>
      </c>
      <c r="P52" s="94"/>
      <c r="Q52" s="94"/>
      <c r="R52" s="94"/>
      <c r="S52" s="94"/>
      <c r="T52" s="95">
        <f t="shared" si="3"/>
        <v>0</v>
      </c>
      <c r="U52" s="94"/>
      <c r="V52" s="94"/>
      <c r="W52" s="94"/>
      <c r="X52" s="94"/>
      <c r="Y52" s="86">
        <f t="shared" si="0"/>
        <v>0</v>
      </c>
      <c r="Z52" s="94"/>
      <c r="AA52" s="94"/>
      <c r="AB52" s="94"/>
      <c r="AC52" s="94"/>
      <c r="AD52" s="87">
        <f t="shared" si="1"/>
        <v>0</v>
      </c>
      <c r="AE52" s="96">
        <f t="shared" si="4"/>
        <v>2000</v>
      </c>
    </row>
    <row r="53" spans="1:31" ht="15" thickBot="1" x14ac:dyDescent="0.35">
      <c r="A53" s="134" t="s">
        <v>144</v>
      </c>
      <c r="B53" s="135"/>
      <c r="C53" s="135"/>
      <c r="D53" s="136"/>
      <c r="E53" s="137">
        <f>SUM(E51:E52)</f>
        <v>2450</v>
      </c>
      <c r="F53" s="138"/>
      <c r="G53" s="138"/>
      <c r="H53" s="138"/>
      <c r="I53" s="138"/>
      <c r="J53" s="95">
        <f t="shared" ref="J53:AD53" si="10">SUM(J50:J52)</f>
        <v>225</v>
      </c>
      <c r="K53" s="95">
        <f t="shared" si="10"/>
        <v>0</v>
      </c>
      <c r="L53" s="95">
        <f t="shared" si="10"/>
        <v>2225</v>
      </c>
      <c r="M53" s="95">
        <f t="shared" si="10"/>
        <v>0</v>
      </c>
      <c r="N53" s="95">
        <f t="shared" si="10"/>
        <v>0</v>
      </c>
      <c r="O53" s="95">
        <f t="shared" si="10"/>
        <v>2225</v>
      </c>
      <c r="P53" s="95">
        <f t="shared" si="10"/>
        <v>0</v>
      </c>
      <c r="Q53" s="95">
        <f t="shared" si="10"/>
        <v>0</v>
      </c>
      <c r="R53" s="95">
        <f t="shared" si="10"/>
        <v>0</v>
      </c>
      <c r="S53" s="95">
        <f t="shared" si="10"/>
        <v>0</v>
      </c>
      <c r="T53" s="95">
        <f t="shared" si="10"/>
        <v>0</v>
      </c>
      <c r="U53" s="95">
        <f t="shared" si="10"/>
        <v>0</v>
      </c>
      <c r="V53" s="95">
        <f t="shared" si="10"/>
        <v>0</v>
      </c>
      <c r="W53" s="95">
        <f t="shared" si="10"/>
        <v>0</v>
      </c>
      <c r="X53" s="95">
        <f t="shared" si="10"/>
        <v>0</v>
      </c>
      <c r="Y53" s="95">
        <f t="shared" si="10"/>
        <v>0</v>
      </c>
      <c r="Z53" s="95">
        <f t="shared" si="10"/>
        <v>0</v>
      </c>
      <c r="AA53" s="95">
        <f t="shared" si="10"/>
        <v>0</v>
      </c>
      <c r="AB53" s="95">
        <f t="shared" si="10"/>
        <v>0</v>
      </c>
      <c r="AC53" s="95">
        <f t="shared" si="10"/>
        <v>0</v>
      </c>
      <c r="AD53" s="95">
        <f t="shared" si="10"/>
        <v>0</v>
      </c>
      <c r="AE53" s="95">
        <f t="shared" si="4"/>
        <v>2450</v>
      </c>
    </row>
    <row r="54" spans="1:31" ht="15" thickBot="1" x14ac:dyDescent="0.35">
      <c r="A54" s="139" t="s">
        <v>145</v>
      </c>
      <c r="B54" s="140"/>
      <c r="C54" s="140"/>
      <c r="D54" s="141"/>
      <c r="E54" s="142">
        <f>+E53+E49+E40+E31+E15+E6</f>
        <v>22940.75</v>
      </c>
      <c r="F54" s="143"/>
      <c r="G54" s="143"/>
      <c r="H54" s="143"/>
      <c r="I54" s="143"/>
      <c r="J54" s="144">
        <f>J53+J49+J40+J31+J15+J6</f>
        <v>6860</v>
      </c>
      <c r="K54" s="143"/>
      <c r="L54" s="143"/>
      <c r="M54" s="143"/>
      <c r="N54" s="143"/>
      <c r="O54" s="96">
        <f>O53+O31+O15+O6</f>
        <v>4855</v>
      </c>
      <c r="P54" s="143"/>
      <c r="Q54" s="143"/>
      <c r="R54" s="143"/>
      <c r="S54" s="143"/>
      <c r="T54" s="96">
        <f>T53+T31+T15+T6</f>
        <v>600</v>
      </c>
      <c r="U54" s="143"/>
      <c r="V54" s="143"/>
      <c r="W54" s="143"/>
      <c r="X54" s="143"/>
      <c r="Y54" s="96">
        <f>Y53+Y31+Y15+Y6</f>
        <v>500</v>
      </c>
      <c r="Z54" s="143"/>
      <c r="AA54" s="143"/>
      <c r="AB54" s="143"/>
      <c r="AC54" s="143"/>
      <c r="AD54" s="96">
        <f>AD53+AD31+AD15+AD6</f>
        <v>0</v>
      </c>
      <c r="AE54" s="96">
        <f t="shared" si="4"/>
        <v>12815</v>
      </c>
    </row>
    <row r="55" spans="1:31" x14ac:dyDescent="0.3">
      <c r="A55" s="145"/>
      <c r="B55" s="146"/>
      <c r="C55" s="146"/>
      <c r="D55" s="147"/>
      <c r="E55" s="148"/>
      <c r="F55" s="149"/>
      <c r="G55" s="149"/>
      <c r="H55" s="149"/>
      <c r="I55" s="149"/>
      <c r="J55" s="150"/>
      <c r="K55" s="149"/>
      <c r="L55" s="149"/>
      <c r="M55" s="149"/>
      <c r="N55" s="149"/>
      <c r="O55" s="150"/>
      <c r="P55" s="149"/>
      <c r="Q55" s="149"/>
      <c r="R55" s="149"/>
      <c r="S55" s="149"/>
      <c r="T55" s="150"/>
      <c r="U55" s="149"/>
      <c r="V55" s="149"/>
      <c r="W55" s="149"/>
      <c r="X55" s="149"/>
      <c r="Y55" s="150"/>
      <c r="Z55" s="149"/>
      <c r="AA55" s="149"/>
      <c r="AB55" s="149"/>
      <c r="AC55" s="149"/>
      <c r="AD55" s="150"/>
      <c r="AE55" s="150"/>
    </row>
    <row r="56" spans="1:31" x14ac:dyDescent="0.3">
      <c r="A56" s="151"/>
      <c r="B56" s="151"/>
      <c r="C56" s="152"/>
      <c r="D56" s="151"/>
      <c r="E56" s="151"/>
      <c r="J56" s="153"/>
      <c r="O56" s="153"/>
      <c r="T56" s="153"/>
      <c r="Y56" s="153"/>
      <c r="AD56" s="153"/>
      <c r="AE56" s="153"/>
    </row>
    <row r="57" spans="1:31" ht="17.399999999999999" x14ac:dyDescent="0.3">
      <c r="A57" s="154" t="s">
        <v>146</v>
      </c>
      <c r="B57" s="151"/>
      <c r="C57" s="152"/>
      <c r="D57" s="151"/>
      <c r="E57" s="151"/>
      <c r="J57" s="153"/>
      <c r="O57" s="153"/>
      <c r="T57" s="153"/>
      <c r="Y57" s="153"/>
      <c r="AD57" s="153"/>
      <c r="AE57" s="153"/>
    </row>
    <row r="58" spans="1:31" x14ac:dyDescent="0.3">
      <c r="A58" s="155" t="s">
        <v>147</v>
      </c>
      <c r="B58" s="155" t="s">
        <v>148</v>
      </c>
      <c r="C58" s="155" t="s">
        <v>87</v>
      </c>
      <c r="D58" s="155" t="s">
        <v>88</v>
      </c>
      <c r="E58" s="155" t="s">
        <v>149</v>
      </c>
      <c r="F58" s="155" t="s">
        <v>79</v>
      </c>
      <c r="J58" s="153"/>
      <c r="O58" s="153"/>
      <c r="T58" s="153"/>
      <c r="Y58" s="153"/>
      <c r="AD58" s="153"/>
      <c r="AE58" s="153"/>
    </row>
    <row r="59" spans="1:31" x14ac:dyDescent="0.3">
      <c r="A59" s="156" t="s">
        <v>150</v>
      </c>
      <c r="B59" s="157">
        <f>J6</f>
        <v>1500</v>
      </c>
      <c r="C59" s="158"/>
      <c r="D59" s="156"/>
      <c r="E59" s="156"/>
      <c r="F59" s="157">
        <f t="shared" ref="F59:F69" si="11">SUM(B59:E59)</f>
        <v>1500</v>
      </c>
      <c r="J59" s="153"/>
      <c r="L59" s="159"/>
      <c r="O59" s="153"/>
      <c r="T59" s="153"/>
      <c r="Y59" s="153"/>
      <c r="AD59" s="153"/>
      <c r="AE59" s="153"/>
    </row>
    <row r="60" spans="1:31" x14ac:dyDescent="0.3">
      <c r="A60" s="156" t="s">
        <v>151</v>
      </c>
      <c r="B60" s="157">
        <f>J15</f>
        <v>4850</v>
      </c>
      <c r="C60" s="160">
        <f>O15</f>
        <v>0</v>
      </c>
      <c r="D60" s="156"/>
      <c r="E60" s="156"/>
      <c r="F60" s="157">
        <f t="shared" si="11"/>
        <v>4850</v>
      </c>
      <c r="J60" s="153"/>
      <c r="L60" s="159"/>
      <c r="O60" s="153"/>
      <c r="T60" s="153"/>
      <c r="Y60" s="153"/>
      <c r="AD60" s="153"/>
      <c r="AE60" s="153"/>
    </row>
    <row r="61" spans="1:31" x14ac:dyDescent="0.3">
      <c r="A61" s="156" t="s">
        <v>152</v>
      </c>
      <c r="B61" s="157">
        <f>J31</f>
        <v>115</v>
      </c>
      <c r="C61" s="160">
        <f>O31</f>
        <v>2630</v>
      </c>
      <c r="D61" s="156"/>
      <c r="E61" s="156"/>
      <c r="F61" s="157">
        <f t="shared" si="11"/>
        <v>2745</v>
      </c>
      <c r="J61" s="153"/>
      <c r="L61" s="159"/>
      <c r="O61" s="153"/>
      <c r="T61" s="153"/>
      <c r="Y61" s="153"/>
      <c r="AD61" s="153"/>
      <c r="AE61" s="153"/>
    </row>
    <row r="62" spans="1:31" x14ac:dyDescent="0.3">
      <c r="A62" s="156"/>
      <c r="B62" s="157">
        <f>J40</f>
        <v>54</v>
      </c>
      <c r="C62" s="158"/>
      <c r="D62" s="156"/>
      <c r="E62" s="156"/>
      <c r="F62" s="157">
        <f t="shared" si="11"/>
        <v>54</v>
      </c>
      <c r="J62" s="153"/>
      <c r="L62" s="159"/>
      <c r="O62" s="153"/>
      <c r="T62" s="153"/>
      <c r="Y62" s="153"/>
      <c r="AD62" s="153"/>
      <c r="AE62" s="153"/>
    </row>
    <row r="63" spans="1:31" x14ac:dyDescent="0.3">
      <c r="A63" s="156" t="s">
        <v>153</v>
      </c>
      <c r="B63" s="157">
        <f>J49</f>
        <v>116</v>
      </c>
      <c r="C63" s="158"/>
      <c r="D63" s="156"/>
      <c r="E63" s="156"/>
      <c r="F63" s="157">
        <f t="shared" si="11"/>
        <v>116</v>
      </c>
      <c r="J63" s="153"/>
      <c r="L63" s="159"/>
      <c r="O63" s="153"/>
      <c r="T63" s="153"/>
      <c r="Y63" s="153"/>
      <c r="AD63" s="153"/>
      <c r="AE63" s="153"/>
    </row>
    <row r="64" spans="1:31" x14ac:dyDescent="0.3">
      <c r="A64" s="156" t="s">
        <v>154</v>
      </c>
      <c r="B64" s="157">
        <f>J53</f>
        <v>225</v>
      </c>
      <c r="C64" s="158"/>
      <c r="D64" s="156"/>
      <c r="E64" s="156"/>
      <c r="F64" s="157">
        <f t="shared" si="11"/>
        <v>225</v>
      </c>
      <c r="J64" s="153"/>
      <c r="L64" s="159"/>
      <c r="O64" s="153"/>
      <c r="T64" s="153"/>
      <c r="Y64" s="153"/>
      <c r="AD64" s="153"/>
      <c r="AE64" s="153"/>
    </row>
    <row r="65" spans="1:31" x14ac:dyDescent="0.3">
      <c r="A65" s="156" t="s">
        <v>155</v>
      </c>
      <c r="B65" s="156"/>
      <c r="C65" s="160">
        <f>O53</f>
        <v>2225</v>
      </c>
      <c r="D65" s="156"/>
      <c r="E65" s="156"/>
      <c r="F65" s="157">
        <f t="shared" si="11"/>
        <v>2225</v>
      </c>
      <c r="J65" s="153"/>
      <c r="L65" s="159"/>
      <c r="O65" s="153"/>
      <c r="T65" s="153"/>
      <c r="Y65" s="153"/>
      <c r="AD65" s="153"/>
      <c r="AE65" s="153"/>
    </row>
    <row r="66" spans="1:31" x14ac:dyDescent="0.3">
      <c r="A66" s="161" t="s">
        <v>156</v>
      </c>
      <c r="B66" s="162"/>
      <c r="C66" s="163">
        <v>43027.5</v>
      </c>
      <c r="D66" s="162">
        <v>64825</v>
      </c>
      <c r="E66" s="162">
        <v>104478.75</v>
      </c>
      <c r="F66" s="157">
        <f t="shared" si="11"/>
        <v>212331.25</v>
      </c>
      <c r="J66" s="153"/>
      <c r="L66" s="159"/>
      <c r="O66" s="153"/>
      <c r="T66" s="153"/>
      <c r="Y66" s="153"/>
      <c r="AD66" s="153"/>
      <c r="AE66" s="153"/>
    </row>
    <row r="67" spans="1:31" ht="28.8" x14ac:dyDescent="0.3">
      <c r="A67" s="161" t="s">
        <v>157</v>
      </c>
      <c r="B67" s="164">
        <v>1069.9725000000001</v>
      </c>
      <c r="C67" s="165">
        <v>4606.3378000000002</v>
      </c>
      <c r="D67" s="164">
        <v>4443.8693583125005</v>
      </c>
      <c r="E67" s="164">
        <v>4433.6889215906249</v>
      </c>
      <c r="F67" s="157">
        <f t="shared" si="11"/>
        <v>14553.868579903125</v>
      </c>
      <c r="J67" s="153"/>
      <c r="L67" s="159"/>
      <c r="O67" s="153"/>
      <c r="T67" s="153"/>
      <c r="Y67" s="153"/>
      <c r="AD67" s="153"/>
      <c r="AE67" s="153"/>
    </row>
    <row r="68" spans="1:31" x14ac:dyDescent="0.3">
      <c r="A68" s="161" t="s">
        <v>158</v>
      </c>
      <c r="B68" s="164">
        <v>2755</v>
      </c>
      <c r="C68" s="165">
        <v>3074</v>
      </c>
      <c r="D68" s="164">
        <v>3326.1000000000004</v>
      </c>
      <c r="E68" s="164">
        <v>3638.0450000000005</v>
      </c>
      <c r="F68" s="157">
        <f t="shared" si="11"/>
        <v>12793.145</v>
      </c>
      <c r="J68" s="153"/>
      <c r="L68" s="159"/>
      <c r="O68" s="153"/>
      <c r="T68" s="153"/>
      <c r="Y68" s="153"/>
      <c r="AD68" s="153"/>
      <c r="AE68" s="153"/>
    </row>
    <row r="69" spans="1:31" x14ac:dyDescent="0.3">
      <c r="A69" s="161" t="s">
        <v>159</v>
      </c>
      <c r="B69" s="164">
        <v>3156.645</v>
      </c>
      <c r="C69" s="165">
        <v>5445.0550000000003</v>
      </c>
      <c r="D69" s="164">
        <v>7857.4624999999996</v>
      </c>
      <c r="E69" s="164">
        <v>12200.973125</v>
      </c>
      <c r="F69" s="157">
        <f t="shared" si="11"/>
        <v>28660.135624999999</v>
      </c>
      <c r="J69" s="153"/>
      <c r="L69" s="159"/>
      <c r="O69" s="153"/>
      <c r="T69" s="153"/>
      <c r="Y69" s="153"/>
      <c r="AD69" s="153"/>
      <c r="AE69" s="153"/>
    </row>
    <row r="70" spans="1:31" x14ac:dyDescent="0.3">
      <c r="A70" s="166" t="s">
        <v>79</v>
      </c>
      <c r="B70" s="167">
        <f>SUM(B59:B69)</f>
        <v>13841.6175</v>
      </c>
      <c r="C70" s="167">
        <f>SUM(C59:C69)</f>
        <v>61007.892800000001</v>
      </c>
      <c r="D70" s="167">
        <f>SUM(D59:D69)</f>
        <v>80452.431858312499</v>
      </c>
      <c r="E70" s="167">
        <f>SUM(E59:E69)</f>
        <v>124751.45704659063</v>
      </c>
      <c r="F70" s="167">
        <f>SUM(F59:F69)</f>
        <v>280053.39920490311</v>
      </c>
      <c r="J70" s="153"/>
      <c r="L70" s="159"/>
      <c r="O70" s="153"/>
      <c r="T70" s="153"/>
      <c r="Y70" s="153"/>
      <c r="AD70" s="153"/>
      <c r="AE70" s="153"/>
    </row>
    <row r="71" spans="1:31" x14ac:dyDescent="0.3">
      <c r="A71" s="151"/>
      <c r="B71" s="151"/>
      <c r="C71" s="152"/>
      <c r="D71" s="151"/>
      <c r="E71" s="151"/>
      <c r="J71" s="153"/>
      <c r="L71" s="159"/>
      <c r="O71" s="153"/>
      <c r="T71" s="153"/>
      <c r="Y71" s="153"/>
      <c r="AD71" s="153"/>
      <c r="AE71" s="153"/>
    </row>
    <row r="72" spans="1:31" x14ac:dyDescent="0.3">
      <c r="A72" s="151"/>
      <c r="B72" s="151"/>
      <c r="C72" s="152"/>
      <c r="D72" s="151"/>
      <c r="E72" s="151"/>
      <c r="J72" s="153"/>
      <c r="L72" s="159"/>
      <c r="O72" s="153"/>
      <c r="T72" s="153"/>
      <c r="Y72" s="153"/>
      <c r="AD72" s="153"/>
      <c r="AE72" s="153"/>
    </row>
    <row r="73" spans="1:31" x14ac:dyDescent="0.3">
      <c r="A73" s="151"/>
      <c r="B73" s="151"/>
      <c r="C73" s="152"/>
      <c r="D73" s="151"/>
      <c r="E73" s="151"/>
      <c r="J73" s="153"/>
      <c r="L73" s="159"/>
      <c r="O73" s="153"/>
      <c r="T73" s="153"/>
      <c r="Y73" s="153"/>
      <c r="AD73" s="153"/>
      <c r="AE73" s="153"/>
    </row>
    <row r="74" spans="1:31" x14ac:dyDescent="0.3">
      <c r="A74" s="151"/>
      <c r="B74" s="151"/>
      <c r="C74" s="152"/>
      <c r="D74" s="151"/>
      <c r="E74" s="151"/>
      <c r="J74" s="153"/>
      <c r="O74" s="153"/>
      <c r="T74" s="153"/>
      <c r="Y74" s="153"/>
      <c r="AD74" s="153"/>
      <c r="AE74" s="153"/>
    </row>
    <row r="75" spans="1:31" x14ac:dyDescent="0.3">
      <c r="A75" s="151"/>
      <c r="B75" s="151"/>
      <c r="C75" s="152"/>
      <c r="D75" s="151"/>
      <c r="E75" s="151"/>
      <c r="J75" s="153"/>
      <c r="O75" s="153"/>
      <c r="T75" s="153"/>
      <c r="Y75" s="153"/>
      <c r="AD75" s="153"/>
      <c r="AE75" s="153"/>
    </row>
    <row r="76" spans="1:31" x14ac:dyDescent="0.3">
      <c r="A76" s="151"/>
      <c r="B76" s="151"/>
      <c r="C76" s="152"/>
      <c r="D76" s="151"/>
      <c r="E76" s="151"/>
      <c r="J76" s="153"/>
      <c r="O76" s="153"/>
      <c r="T76" s="153"/>
      <c r="Y76" s="153"/>
      <c r="AD76" s="153"/>
      <c r="AE76" s="153"/>
    </row>
    <row r="77" spans="1:31" x14ac:dyDescent="0.3">
      <c r="A77" s="151"/>
      <c r="B77" s="151"/>
      <c r="C77" s="152"/>
      <c r="D77" s="151"/>
      <c r="E77" s="151"/>
      <c r="J77" s="153"/>
      <c r="O77" s="153"/>
      <c r="T77" s="153"/>
      <c r="Y77" s="153"/>
      <c r="AD77" s="153"/>
      <c r="AE77" s="153"/>
    </row>
    <row r="78" spans="1:31" x14ac:dyDescent="0.3">
      <c r="A78" s="151"/>
      <c r="B78" s="151"/>
      <c r="C78" s="152"/>
      <c r="D78" s="151"/>
      <c r="E78" s="151"/>
      <c r="J78" s="153"/>
      <c r="O78" s="153"/>
      <c r="T78" s="153"/>
      <c r="Y78" s="153"/>
      <c r="AD78" s="153"/>
      <c r="AE78" s="153"/>
    </row>
    <row r="79" spans="1:31" x14ac:dyDescent="0.3">
      <c r="A79" s="151"/>
      <c r="B79" s="151"/>
      <c r="C79" s="152"/>
      <c r="D79" s="151"/>
      <c r="E79" s="151"/>
      <c r="J79" s="153"/>
      <c r="O79" s="153"/>
      <c r="T79" s="153"/>
      <c r="Y79" s="153"/>
      <c r="AD79" s="153"/>
      <c r="AE79" s="153"/>
    </row>
    <row r="80" spans="1:31" x14ac:dyDescent="0.3">
      <c r="A80" s="151"/>
      <c r="B80" s="151"/>
      <c r="C80" s="152"/>
      <c r="D80" s="151"/>
      <c r="E80" s="151"/>
      <c r="J80" s="153"/>
      <c r="O80" s="153"/>
      <c r="T80" s="153"/>
      <c r="Y80" s="153"/>
      <c r="AD80" s="153"/>
      <c r="AE80" s="153"/>
    </row>
    <row r="81" spans="1:31" x14ac:dyDescent="0.3">
      <c r="A81" s="151"/>
      <c r="B81" s="151"/>
      <c r="C81" s="152"/>
      <c r="D81" s="151"/>
      <c r="E81" s="151"/>
      <c r="J81" s="153"/>
      <c r="O81" s="153"/>
      <c r="T81" s="153"/>
      <c r="Y81" s="153"/>
      <c r="AD81" s="153"/>
      <c r="AE81" s="153"/>
    </row>
    <row r="82" spans="1:31" x14ac:dyDescent="0.3">
      <c r="A82" s="151"/>
      <c r="B82" s="151"/>
      <c r="C82" s="152"/>
      <c r="D82" s="151"/>
      <c r="E82" s="151"/>
      <c r="J82" s="153"/>
      <c r="O82" s="153"/>
      <c r="T82" s="153"/>
      <c r="Y82" s="153"/>
      <c r="AD82" s="153"/>
      <c r="AE82" s="153"/>
    </row>
    <row r="83" spans="1:31" x14ac:dyDescent="0.3">
      <c r="A83" s="151"/>
      <c r="B83" s="151"/>
      <c r="C83" s="152"/>
      <c r="D83" s="151"/>
      <c r="E83" s="151"/>
      <c r="J83" s="153"/>
      <c r="O83" s="153"/>
      <c r="T83" s="153"/>
      <c r="Y83" s="153"/>
      <c r="AD83" s="153"/>
      <c r="AE83" s="153"/>
    </row>
    <row r="84" spans="1:31" x14ac:dyDescent="0.3">
      <c r="A84" s="151"/>
      <c r="B84" s="151"/>
      <c r="C84" s="152"/>
      <c r="D84" s="151"/>
      <c r="E84" s="151"/>
      <c r="J84" s="153"/>
      <c r="O84" s="153"/>
      <c r="T84" s="153"/>
      <c r="Y84" s="153"/>
      <c r="AD84" s="153"/>
      <c r="AE84" s="153"/>
    </row>
    <row r="85" spans="1:31" x14ac:dyDescent="0.3">
      <c r="A85" s="151"/>
      <c r="B85" s="151"/>
      <c r="C85" s="152"/>
      <c r="D85" s="151"/>
      <c r="E85" s="151"/>
      <c r="J85" s="153"/>
      <c r="O85" s="153"/>
      <c r="T85" s="153"/>
      <c r="Y85" s="153"/>
      <c r="AD85" s="153"/>
      <c r="AE85" s="153"/>
    </row>
    <row r="86" spans="1:31" x14ac:dyDescent="0.3">
      <c r="A86" s="151"/>
      <c r="B86" s="151"/>
      <c r="C86" s="152"/>
      <c r="D86" s="151"/>
      <c r="E86" s="151"/>
      <c r="J86" s="153"/>
      <c r="O86" s="153"/>
      <c r="T86" s="153"/>
      <c r="Y86" s="153"/>
      <c r="AD86" s="153"/>
      <c r="AE86" s="153"/>
    </row>
    <row r="87" spans="1:31" x14ac:dyDescent="0.3">
      <c r="A87" s="151"/>
      <c r="B87" s="151"/>
      <c r="C87" s="152"/>
      <c r="D87" s="151"/>
      <c r="E87" s="151"/>
      <c r="J87" s="153"/>
      <c r="O87" s="153"/>
      <c r="T87" s="153"/>
      <c r="Y87" s="153"/>
      <c r="AD87" s="153"/>
      <c r="AE87" s="153"/>
    </row>
    <row r="88" spans="1:31" x14ac:dyDescent="0.3">
      <c r="A88" s="151"/>
      <c r="B88" s="151"/>
      <c r="C88" s="152"/>
      <c r="D88" s="151"/>
      <c r="E88" s="151"/>
      <c r="J88" s="153"/>
      <c r="O88" s="153"/>
      <c r="T88" s="153"/>
      <c r="Y88" s="153"/>
      <c r="AD88" s="153"/>
      <c r="AE88" s="153"/>
    </row>
    <row r="89" spans="1:31" x14ac:dyDescent="0.3">
      <c r="A89" s="151"/>
      <c r="B89" s="151"/>
      <c r="C89" s="152"/>
      <c r="D89" s="151"/>
      <c r="E89" s="151"/>
      <c r="J89" s="153"/>
      <c r="O89" s="153"/>
      <c r="T89" s="153"/>
      <c r="Y89" s="153"/>
      <c r="AD89" s="153"/>
      <c r="AE89" s="153"/>
    </row>
    <row r="90" spans="1:31" x14ac:dyDescent="0.3">
      <c r="A90" s="151"/>
      <c r="B90" s="151"/>
      <c r="C90" s="152"/>
      <c r="D90" s="151"/>
      <c r="E90" s="151"/>
      <c r="J90" s="153"/>
      <c r="O90" s="153"/>
      <c r="T90" s="153"/>
      <c r="Y90" s="153"/>
      <c r="AD90" s="153"/>
      <c r="AE90" s="153"/>
    </row>
    <row r="91" spans="1:31" x14ac:dyDescent="0.3">
      <c r="A91" s="151"/>
      <c r="B91" s="151"/>
      <c r="C91" s="152"/>
      <c r="D91" s="151"/>
      <c r="E91" s="151"/>
      <c r="J91" s="153"/>
      <c r="O91" s="153"/>
      <c r="T91" s="153"/>
      <c r="Y91" s="153"/>
      <c r="AD91" s="153"/>
      <c r="AE91" s="153"/>
    </row>
    <row r="92" spans="1:31" x14ac:dyDescent="0.3">
      <c r="A92" s="151"/>
      <c r="B92" s="151"/>
      <c r="C92" s="152"/>
      <c r="D92" s="151"/>
      <c r="E92" s="151"/>
      <c r="J92" s="153"/>
      <c r="O92" s="153"/>
      <c r="T92" s="153"/>
      <c r="Y92" s="153"/>
      <c r="AD92" s="153"/>
      <c r="AE92" s="153"/>
    </row>
    <row r="93" spans="1:31" x14ac:dyDescent="0.3">
      <c r="A93" s="151"/>
      <c r="B93" s="151"/>
      <c r="C93" s="152"/>
      <c r="D93" s="151"/>
      <c r="E93" s="151"/>
      <c r="J93" s="153"/>
      <c r="O93" s="153"/>
      <c r="T93" s="153"/>
      <c r="Y93" s="153"/>
      <c r="AD93" s="153"/>
      <c r="AE93" s="153"/>
    </row>
    <row r="94" spans="1:31" x14ac:dyDescent="0.3">
      <c r="A94" s="151"/>
      <c r="B94" s="151"/>
      <c r="C94" s="152"/>
      <c r="D94" s="151"/>
      <c r="E94" s="151"/>
      <c r="J94" s="153"/>
      <c r="O94" s="153"/>
      <c r="T94" s="153"/>
      <c r="Y94" s="153"/>
      <c r="AD94" s="153"/>
      <c r="AE94" s="153"/>
    </row>
    <row r="95" spans="1:31" x14ac:dyDescent="0.3">
      <c r="A95" s="151"/>
      <c r="B95" s="151"/>
      <c r="C95" s="152"/>
      <c r="D95" s="151"/>
      <c r="E95" s="151"/>
      <c r="J95" s="153"/>
      <c r="O95" s="153"/>
      <c r="T95" s="153"/>
      <c r="Y95" s="153"/>
      <c r="AD95" s="153"/>
      <c r="AE95" s="153"/>
    </row>
    <row r="96" spans="1:31" x14ac:dyDescent="0.3">
      <c r="A96" s="151"/>
      <c r="B96" s="151"/>
      <c r="C96" s="152"/>
      <c r="D96" s="151"/>
      <c r="E96" s="151"/>
      <c r="J96" s="153"/>
      <c r="O96" s="153"/>
      <c r="T96" s="153"/>
      <c r="Y96" s="153"/>
      <c r="AD96" s="153"/>
      <c r="AE96" s="153"/>
    </row>
    <row r="97" spans="1:31" x14ac:dyDescent="0.3">
      <c r="A97" s="151"/>
      <c r="B97" s="151"/>
      <c r="C97" s="152"/>
      <c r="D97" s="151"/>
      <c r="E97" s="151"/>
      <c r="J97" s="153"/>
      <c r="O97" s="153"/>
      <c r="T97" s="153"/>
      <c r="Y97" s="153"/>
      <c r="AD97" s="153"/>
      <c r="AE97" s="153"/>
    </row>
    <row r="98" spans="1:31" x14ac:dyDescent="0.3">
      <c r="A98" s="151"/>
      <c r="B98" s="151"/>
      <c r="C98" s="152"/>
      <c r="D98" s="151"/>
      <c r="E98" s="151"/>
      <c r="J98" s="153"/>
      <c r="O98" s="153"/>
      <c r="T98" s="153"/>
      <c r="Y98" s="153"/>
      <c r="AD98" s="153"/>
      <c r="AE98" s="153"/>
    </row>
    <row r="99" spans="1:31" x14ac:dyDescent="0.3">
      <c r="A99" s="151"/>
      <c r="B99" s="151"/>
      <c r="C99" s="152"/>
      <c r="D99" s="151"/>
      <c r="E99" s="151"/>
      <c r="J99" s="153"/>
      <c r="O99" s="153"/>
      <c r="T99" s="153"/>
      <c r="Y99" s="153"/>
      <c r="AD99" s="153"/>
      <c r="AE99" s="153"/>
    </row>
    <row r="100" spans="1:31" x14ac:dyDescent="0.3">
      <c r="A100" s="151"/>
      <c r="B100" s="151"/>
      <c r="C100" s="152"/>
      <c r="D100" s="151"/>
      <c r="E100" s="151"/>
      <c r="J100" s="153"/>
      <c r="O100" s="153"/>
      <c r="T100" s="153"/>
      <c r="Y100" s="153"/>
      <c r="AD100" s="153"/>
      <c r="AE100" s="153"/>
    </row>
    <row r="101" spans="1:31" x14ac:dyDescent="0.3">
      <c r="A101" s="151"/>
      <c r="B101" s="151"/>
      <c r="C101" s="152"/>
      <c r="D101" s="151"/>
      <c r="E101" s="151"/>
      <c r="J101" s="153"/>
      <c r="O101" s="153"/>
      <c r="T101" s="153"/>
      <c r="Y101" s="153"/>
      <c r="AD101" s="153"/>
      <c r="AE101" s="153"/>
    </row>
    <row r="102" spans="1:31" x14ac:dyDescent="0.3">
      <c r="A102" s="151"/>
      <c r="B102" s="151"/>
      <c r="C102" s="152"/>
      <c r="D102" s="151"/>
      <c r="E102" s="151"/>
      <c r="J102" s="153"/>
      <c r="O102" s="153"/>
      <c r="T102" s="153"/>
      <c r="Y102" s="153"/>
      <c r="AD102" s="153"/>
      <c r="AE102" s="153"/>
    </row>
    <row r="103" spans="1:31" x14ac:dyDescent="0.3">
      <c r="A103" s="151"/>
      <c r="B103" s="151"/>
      <c r="C103" s="152"/>
      <c r="D103" s="151"/>
      <c r="E103" s="151"/>
      <c r="J103" s="153"/>
      <c r="O103" s="153"/>
      <c r="T103" s="153"/>
      <c r="Y103" s="153"/>
      <c r="AD103" s="153"/>
      <c r="AE103" s="153"/>
    </row>
    <row r="104" spans="1:31" x14ac:dyDescent="0.3">
      <c r="A104" s="151"/>
      <c r="B104" s="151"/>
      <c r="C104" s="152"/>
      <c r="D104" s="151"/>
      <c r="E104" s="151"/>
      <c r="J104" s="153"/>
      <c r="O104" s="153"/>
      <c r="T104" s="153"/>
      <c r="Y104" s="153"/>
      <c r="AD104" s="153"/>
      <c r="AE104" s="153"/>
    </row>
    <row r="105" spans="1:31" x14ac:dyDescent="0.3">
      <c r="A105" s="151"/>
      <c r="B105" s="151"/>
      <c r="C105" s="152"/>
      <c r="D105" s="151"/>
      <c r="E105" s="151"/>
      <c r="J105" s="153"/>
      <c r="O105" s="153"/>
      <c r="T105" s="153"/>
      <c r="Y105" s="153"/>
      <c r="AD105" s="153"/>
      <c r="AE105" s="153"/>
    </row>
    <row r="106" spans="1:31" x14ac:dyDescent="0.3">
      <c r="A106" s="151"/>
      <c r="B106" s="151"/>
      <c r="C106" s="152"/>
      <c r="D106" s="151"/>
      <c r="E106" s="151"/>
      <c r="J106" s="153"/>
      <c r="O106" s="153"/>
      <c r="T106" s="153"/>
      <c r="Y106" s="153"/>
      <c r="AD106" s="153"/>
      <c r="AE106" s="153"/>
    </row>
    <row r="107" spans="1:31" x14ac:dyDescent="0.3">
      <c r="A107" s="151"/>
      <c r="B107" s="151"/>
      <c r="C107" s="152"/>
      <c r="D107" s="151"/>
      <c r="E107" s="151"/>
      <c r="J107" s="153"/>
      <c r="O107" s="153"/>
      <c r="T107" s="153"/>
      <c r="Y107" s="153"/>
      <c r="AD107" s="153"/>
      <c r="AE107" s="153"/>
    </row>
    <row r="108" spans="1:31" x14ac:dyDescent="0.3">
      <c r="A108" s="151"/>
      <c r="B108" s="151"/>
      <c r="C108" s="152"/>
      <c r="D108" s="151"/>
      <c r="E108" s="151"/>
      <c r="J108" s="153"/>
      <c r="O108" s="153"/>
      <c r="T108" s="153"/>
      <c r="Y108" s="153"/>
      <c r="AD108" s="153"/>
      <c r="AE108" s="153"/>
    </row>
    <row r="109" spans="1:31" x14ac:dyDescent="0.3">
      <c r="A109" s="151"/>
      <c r="B109" s="151"/>
      <c r="C109" s="152"/>
      <c r="D109" s="151"/>
      <c r="E109" s="151"/>
      <c r="J109" s="153"/>
      <c r="O109" s="153"/>
      <c r="T109" s="153"/>
      <c r="Y109" s="153"/>
      <c r="AD109" s="153"/>
      <c r="AE109" s="153"/>
    </row>
    <row r="110" spans="1:31" x14ac:dyDescent="0.3">
      <c r="A110" s="151"/>
      <c r="B110" s="151"/>
      <c r="C110" s="152"/>
      <c r="D110" s="151"/>
      <c r="E110" s="151"/>
      <c r="J110" s="153"/>
      <c r="O110" s="153"/>
      <c r="T110" s="153"/>
      <c r="Y110" s="153"/>
      <c r="AD110" s="153"/>
      <c r="AE110" s="153"/>
    </row>
    <row r="111" spans="1:31" x14ac:dyDescent="0.3">
      <c r="A111" s="151"/>
      <c r="B111" s="151"/>
      <c r="C111" s="152"/>
      <c r="D111" s="151"/>
      <c r="E111" s="151"/>
      <c r="J111" s="153"/>
      <c r="O111" s="153"/>
      <c r="T111" s="153"/>
      <c r="Y111" s="153"/>
      <c r="AD111" s="153"/>
      <c r="AE111" s="153"/>
    </row>
    <row r="112" spans="1:31" x14ac:dyDescent="0.3">
      <c r="A112" s="151"/>
      <c r="B112" s="151"/>
      <c r="C112" s="152"/>
      <c r="D112" s="151"/>
      <c r="E112" s="151"/>
      <c r="J112" s="153"/>
      <c r="O112" s="153"/>
      <c r="T112" s="153"/>
      <c r="Y112" s="153"/>
      <c r="AD112" s="153"/>
      <c r="AE112" s="153"/>
    </row>
    <row r="113" spans="1:31" x14ac:dyDescent="0.3">
      <c r="A113" s="151"/>
      <c r="B113" s="151"/>
      <c r="C113" s="152"/>
      <c r="D113" s="151"/>
      <c r="E113" s="151"/>
      <c r="J113" s="153"/>
      <c r="O113" s="153"/>
      <c r="T113" s="153"/>
      <c r="Y113" s="153"/>
      <c r="AD113" s="153"/>
      <c r="AE113" s="153"/>
    </row>
    <row r="114" spans="1:31" x14ac:dyDescent="0.3">
      <c r="A114" s="151"/>
      <c r="B114" s="151"/>
      <c r="C114" s="152"/>
      <c r="D114" s="151"/>
      <c r="E114" s="151"/>
      <c r="J114" s="153"/>
      <c r="O114" s="153"/>
      <c r="T114" s="153"/>
      <c r="Y114" s="153"/>
      <c r="AD114" s="153"/>
      <c r="AE114" s="153"/>
    </row>
    <row r="115" spans="1:31" x14ac:dyDescent="0.3">
      <c r="A115" s="151"/>
      <c r="B115" s="151"/>
      <c r="C115" s="152"/>
      <c r="D115" s="151"/>
      <c r="E115" s="151"/>
      <c r="J115" s="153"/>
      <c r="O115" s="153"/>
      <c r="T115" s="153"/>
      <c r="Y115" s="153"/>
      <c r="AD115" s="153"/>
      <c r="AE115" s="153"/>
    </row>
    <row r="116" spans="1:31" x14ac:dyDescent="0.3">
      <c r="A116" s="151"/>
      <c r="B116" s="151"/>
      <c r="C116" s="152"/>
      <c r="D116" s="151"/>
      <c r="E116" s="151"/>
      <c r="J116" s="153"/>
      <c r="O116" s="153"/>
      <c r="T116" s="153"/>
      <c r="Y116" s="153"/>
      <c r="AD116" s="153"/>
      <c r="AE116" s="153"/>
    </row>
    <row r="117" spans="1:31" x14ac:dyDescent="0.3">
      <c r="A117" s="151"/>
      <c r="B117" s="151"/>
      <c r="C117" s="152"/>
      <c r="D117" s="151"/>
      <c r="E117" s="151"/>
      <c r="J117" s="153"/>
      <c r="O117" s="153"/>
      <c r="T117" s="153"/>
      <c r="Y117" s="153"/>
      <c r="AD117" s="153"/>
      <c r="AE117" s="153"/>
    </row>
    <row r="118" spans="1:31" x14ac:dyDescent="0.3">
      <c r="A118" s="151"/>
      <c r="B118" s="151"/>
      <c r="C118" s="152"/>
      <c r="D118" s="151"/>
      <c r="E118" s="151"/>
      <c r="J118" s="153"/>
      <c r="O118" s="153"/>
      <c r="T118" s="153"/>
      <c r="Y118" s="153"/>
      <c r="AD118" s="153"/>
      <c r="AE118" s="153"/>
    </row>
    <row r="119" spans="1:31" x14ac:dyDescent="0.3">
      <c r="A119" s="151"/>
      <c r="B119" s="151"/>
      <c r="C119" s="152"/>
      <c r="D119" s="151"/>
      <c r="E119" s="151"/>
      <c r="J119" s="153"/>
      <c r="O119" s="153"/>
      <c r="T119" s="153"/>
      <c r="Y119" s="153"/>
      <c r="AD119" s="153"/>
      <c r="AE119" s="153"/>
    </row>
    <row r="120" spans="1:31" x14ac:dyDescent="0.3">
      <c r="A120" s="151"/>
      <c r="B120" s="151"/>
      <c r="C120" s="152"/>
      <c r="D120" s="151"/>
      <c r="E120" s="151"/>
      <c r="J120" s="153"/>
      <c r="O120" s="153"/>
      <c r="T120" s="153"/>
      <c r="Y120" s="153"/>
      <c r="AD120" s="153"/>
      <c r="AE120" s="153"/>
    </row>
  </sheetData>
  <mergeCells count="6">
    <mergeCell ref="Z1:AC1"/>
    <mergeCell ref="A1:E1"/>
    <mergeCell ref="F1:I1"/>
    <mergeCell ref="K1:N1"/>
    <mergeCell ref="P1:S1"/>
    <mergeCell ref="U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projected_production</vt:lpstr>
      <vt:lpstr>projected_pl</vt:lpstr>
      <vt:lpstr>projected_fa</vt:lpstr>
      <vt:lpstr>income_statement</vt:lpstr>
      <vt:lpstr>direct_expenses</vt:lpstr>
      <vt:lpstr>indirect_expenses</vt:lpstr>
      <vt:lpstr>income_summary</vt:lpstr>
      <vt:lpstr>proposed_investment</vt:lpstr>
      <vt:lpstr>investment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Darbin</dc:creator>
  <cp:lastModifiedBy>dell</cp:lastModifiedBy>
  <dcterms:created xsi:type="dcterms:W3CDTF">2016-02-14T03:26:53Z</dcterms:created>
  <dcterms:modified xsi:type="dcterms:W3CDTF">2019-01-19T13:24:34Z</dcterms:modified>
</cp:coreProperties>
</file>