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khanal\Documents\CIMMYT\NSAF\BDS activities\Business plan\unique\"/>
    </mc:Choice>
  </mc:AlternateContent>
  <bookViews>
    <workbookView xWindow="0" yWindow="0" windowWidth="20490" windowHeight="7650" firstSheet="11" activeTab="15"/>
  </bookViews>
  <sheets>
    <sheet name="Audited" sheetId="40" r:id="rId1"/>
    <sheet name="FA" sheetId="6" r:id="rId2"/>
    <sheet name="General details" sheetId="5" r:id="rId3"/>
    <sheet name="Balance Sheet" sheetId="2" r:id="rId4"/>
    <sheet name="Profit or Loss" sheetId="3" r:id="rId5"/>
    <sheet name="Cash Flow" sheetId="4" r:id="rId6"/>
    <sheet name="Sales price valculation" sheetId="34" r:id="rId7"/>
    <sheet name="Loan working" sheetId="12" r:id="rId8"/>
    <sheet name="Variety-wise details" sheetId="26" r:id="rId9"/>
    <sheet name="Impact of Price" sheetId="23" r:id="rId10"/>
    <sheet name="Impact khadyasansthan" sheetId="19" r:id="rId11"/>
    <sheet name="Impact of low interest rate" sheetId="17" r:id="rId12"/>
    <sheet name="Ratio Analysis" sheetId="16" r:id="rId13"/>
    <sheet name="Cash Management" sheetId="15" r:id="rId14"/>
    <sheet name="Fund Position" sheetId="14" r:id="rId15"/>
    <sheet name="Inventories" sheetId="7" r:id="rId16"/>
    <sheet name="Cost of Sale" sheetId="10" r:id="rId17"/>
    <sheet name="Crop and seed cycle" sheetId="27" r:id="rId18"/>
    <sheet name="Loan Amortization Schedule" sheetId="11" r:id="rId19"/>
    <sheet name="Social impacts" sheetId="37" r:id="rId20"/>
  </sheets>
  <externalReferences>
    <externalReference r:id="rId21"/>
  </externalReferences>
  <definedNames>
    <definedName name="Beg_Bal" localSheetId="0">'[1]Loan Amortization Schedule'!$C$18:$C$497</definedName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 localSheetId="0">'[1]Loan Amortization Schedule'!$I$18:$I$497</definedName>
    <definedName name="End_Bal">'Loan Amortization Schedule'!$I$18:$I$497</definedName>
    <definedName name="Extra_Pay" localSheetId="0">'[1]Loan Amortization Schedule'!$E$18:$E$497</definedName>
    <definedName name="Extra_Pay">'Loan Amortization Schedule'!$E$18:$E$497</definedName>
    <definedName name="Full_Print" localSheetId="0">'[1]Loan Amortization Schedule'!$A$1:$J$497</definedName>
    <definedName name="Full_Print">'Loan Amortization Schedule'!$A$1:$J$497</definedName>
    <definedName name="Header_Row" localSheetId="0">ROW('[1]Loan Amortization Schedule'!$17:$17)</definedName>
    <definedName name="Header_Row">ROW('Loan Amortization Schedule'!$17:$17)</definedName>
    <definedName name="Int" localSheetId="0">'[1]Loan Amortization Schedule'!$H$18:$H$497</definedName>
    <definedName name="Int">'Loan Amortization Schedule'!$H$18:$H$497</definedName>
    <definedName name="Interest_Rate" localSheetId="0">'[1]Loan Amortization Schedule'!$D$6</definedName>
    <definedName name="Interest_Rate">'Loan Amortization Schedule'!$D$6</definedName>
    <definedName name="Last_Row" localSheetId="0">IF(Audited!Values_Entered,Audited!Header_Row+Audited!Number_of_Payments,Audited!Header_Row)</definedName>
    <definedName name="Last_Row">IF(Values_Entered,Header_Row+Number_of_Payments,Header_Row)</definedName>
    <definedName name="Loan_Amount" localSheetId="0">'[1]Loan Amortization Schedule'!$D$5</definedName>
    <definedName name="Loan_Amount">'Loan Amortization Schedule'!$D$5</definedName>
    <definedName name="Loan_Start" localSheetId="0">'[1]Loan Amortization Schedule'!$D$9</definedName>
    <definedName name="Loan_Start">'Loan Amortization Schedule'!$D$9</definedName>
    <definedName name="Loan_Years" localSheetId="0">'[1]Loan Amortization Schedule'!$D$7</definedName>
    <definedName name="Loan_Years">'Loan Amortization Schedule'!$D$7</definedName>
    <definedName name="Num_Pmt_Per_Year" localSheetId="0">'[1]Loan Amortization Schedule'!$D$8</definedName>
    <definedName name="Num_Pmt_Per_Year">'Loan Amortization Schedule'!$D$8</definedName>
    <definedName name="Number_of_Payments" localSheetId="0">MATCH(0.01,Audited!End_Bal,-1)+1</definedName>
    <definedName name="Number_of_Payments">MATCH(0.01,End_Bal,-1)+1</definedName>
    <definedName name="Pay_Date" localSheetId="0">'[1]Loan Amortization Schedule'!$B$18:$B$497</definedName>
    <definedName name="Pay_Date">'Loan Amortization Schedule'!$B$18:$B$497</definedName>
    <definedName name="Pay_Num" localSheetId="0">'[1]Loan Amortization Schedule'!$A$18:$A$497</definedName>
    <definedName name="Pay_Num">'Loan Amortization Schedule'!$A$18:$A$497</definedName>
    <definedName name="Payment_Date" localSheetId="0">DATE(YEAR(Audited!Loan_Start),MONTH(Audited!Loan_Start)+Payment_Number,DAY(Audited!Loan_Start))</definedName>
    <definedName name="Payment_Date">DATE(YEAR(Loan_Start),MONTH(Loan_Start)+Payment_Number,DAY(Loan_Start))</definedName>
    <definedName name="Princ" localSheetId="0">'[1]Loan Amortization Schedule'!$G$18:$G$497</definedName>
    <definedName name="Princ">'Loan Amortization Schedule'!$G$18:$G$497</definedName>
    <definedName name="_xlnm.Print_Area" localSheetId="3">'Balance Sheet'!$A$1:$I$44</definedName>
    <definedName name="_xlnm.Print_Area" localSheetId="5">'Cash Flow'!$A$1:$I$50</definedName>
    <definedName name="_xlnm.Print_Area" localSheetId="18">OFFSET(Full_Print,0,0,Last_Row)</definedName>
    <definedName name="_xlnm.Print_Area" localSheetId="4">'Profit or Loss'!$A$1:$I$34</definedName>
    <definedName name="Print_Area_Reset" localSheetId="0">OFFSET(Audited!Full_Print,0,0,Audited!Last_Row)</definedName>
    <definedName name="Print_Area_Reset">OFFSET(Full_Print,0,0,Last_Row)</definedName>
    <definedName name="_xlnm.Print_Titles" localSheetId="18">'Loan Amortization Schedule'!$14:$17</definedName>
    <definedName name="Sched_Pay" localSheetId="0">'[1]Loan Amortization Schedule'!$D$18:$D$497</definedName>
    <definedName name="Sched_Pay">'Loan Amortization Schedule'!$D$18:$D$497</definedName>
    <definedName name="Scheduled_Extra_Payments" localSheetId="0">'[1]Loan Amortization Schedule'!$D$10</definedName>
    <definedName name="Scheduled_Extra_Payments">'Loan Amortization Schedule'!$D$10</definedName>
    <definedName name="Scheduled_Interest_Rate">'Loan Amortization Schedule'!$D$6</definedName>
    <definedName name="Scheduled_Monthly_Payment" localSheetId="0">'[1]Loan Amortization Schedule'!$J$5</definedName>
    <definedName name="Scheduled_Monthly_Payment">'Loan Amortization Schedule'!$J$5</definedName>
    <definedName name="Total_Interest">'Loan Amortization Schedule'!$J$9</definedName>
    <definedName name="Total_Pay" localSheetId="0">'[1]Loan Amortization Schedule'!$F$18:$F$497</definedName>
    <definedName name="Total_Pay">'Loan Amortization Schedule'!$F$18:$F$497</definedName>
    <definedName name="Values_Entered" localSheetId="0">IF(Audited!Loan_Amount*Audited!Interest_Rate*Audited!Loan_Years*Audited!Loan_Start&gt;0,1,0)</definedName>
    <definedName name="Values_Entered">IF(Loan_Amount*Interest_Rate*Loan_Years*Loan_Start&gt;0,1,0)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H4" i="6"/>
  <c r="G4" i="6"/>
  <c r="F4" i="6"/>
  <c r="E4" i="6"/>
  <c r="D4" i="6"/>
  <c r="C4" i="6"/>
  <c r="H5" i="6"/>
  <c r="G5" i="6"/>
  <c r="F5" i="6"/>
  <c r="E5" i="6"/>
  <c r="D5" i="6"/>
  <c r="C5" i="6"/>
  <c r="B1" i="15" l="1"/>
  <c r="D55" i="10"/>
  <c r="E55" i="10" s="1"/>
  <c r="F55" i="10" s="1"/>
  <c r="G55" i="10" s="1"/>
  <c r="H55" i="10" s="1"/>
  <c r="C27" i="12"/>
  <c r="J29" i="12" s="1"/>
  <c r="C4" i="40"/>
  <c r="C3" i="40"/>
  <c r="C2" i="40"/>
  <c r="G14" i="40"/>
  <c r="B5" i="10"/>
  <c r="B6" i="10"/>
  <c r="D16" i="3"/>
  <c r="C72" i="10"/>
  <c r="C54" i="10" l="1"/>
  <c r="C66" i="10" s="1"/>
  <c r="D42" i="10"/>
  <c r="C46" i="10"/>
  <c r="D46" i="10" s="1"/>
  <c r="C45" i="10"/>
  <c r="D45" i="10" s="1"/>
  <c r="C44" i="10"/>
  <c r="D44" i="10" s="1"/>
  <c r="C43" i="10"/>
  <c r="D43" i="10" s="1"/>
  <c r="C40" i="10"/>
  <c r="D40" i="10" s="1"/>
  <c r="C39" i="10"/>
  <c r="D39" i="10" s="1"/>
  <c r="C38" i="10"/>
  <c r="D38" i="10" s="1"/>
  <c r="C37" i="10"/>
  <c r="D37" i="10" s="1"/>
  <c r="C36" i="10"/>
  <c r="D19" i="10"/>
  <c r="C24" i="10"/>
  <c r="D24" i="10" s="1"/>
  <c r="C23" i="10"/>
  <c r="D23" i="10" s="1"/>
  <c r="C22" i="10"/>
  <c r="D22" i="10" s="1"/>
  <c r="C21" i="10"/>
  <c r="D21" i="10" s="1"/>
  <c r="C18" i="10"/>
  <c r="D18" i="10" s="1"/>
  <c r="C17" i="10"/>
  <c r="D17" i="10" s="1"/>
  <c r="C65" i="10" l="1"/>
  <c r="D36" i="10"/>
  <c r="C59" i="10"/>
  <c r="D54" i="10"/>
  <c r="B46" i="10" l="1"/>
  <c r="B45" i="10"/>
  <c r="B44" i="10"/>
  <c r="B43" i="10"/>
  <c r="B42" i="10"/>
  <c r="B39" i="10"/>
  <c r="B38" i="10"/>
  <c r="B24" i="10"/>
  <c r="B23" i="10"/>
  <c r="B22" i="10"/>
  <c r="B21" i="10"/>
  <c r="B19" i="10"/>
  <c r="B18" i="10"/>
  <c r="B17" i="10"/>
  <c r="B14" i="10"/>
  <c r="D29" i="3"/>
  <c r="D23" i="3"/>
  <c r="D22" i="3"/>
  <c r="D20" i="3"/>
  <c r="D15" i="3"/>
  <c r="D13" i="3"/>
  <c r="D42" i="2"/>
  <c r="D41" i="2"/>
  <c r="D40" i="2"/>
  <c r="B8" i="10" s="1"/>
  <c r="D5" i="10" s="1"/>
  <c r="D36" i="2"/>
  <c r="D25" i="2"/>
  <c r="D24" i="2"/>
  <c r="D23" i="2"/>
  <c r="D22" i="2"/>
  <c r="D12" i="2"/>
  <c r="E124" i="40"/>
  <c r="E120" i="40"/>
  <c r="D32" i="2" s="1"/>
  <c r="D120" i="40"/>
  <c r="D112" i="40"/>
  <c r="D91" i="40"/>
  <c r="D16" i="2" s="1"/>
  <c r="D20" i="2" s="1"/>
  <c r="C91" i="40"/>
  <c r="D88" i="40"/>
  <c r="C88" i="40"/>
  <c r="D83" i="40"/>
  <c r="D74" i="40"/>
  <c r="B41" i="10" s="1"/>
  <c r="D73" i="40"/>
  <c r="B40" i="10" s="1"/>
  <c r="D70" i="40"/>
  <c r="B37" i="10" s="1"/>
  <c r="D69" i="40"/>
  <c r="B36" i="10" s="1"/>
  <c r="D64" i="40"/>
  <c r="B26" i="10" s="1"/>
  <c r="D63" i="40"/>
  <c r="B25" i="10" s="1"/>
  <c r="D58" i="40"/>
  <c r="B20" i="10" s="1"/>
  <c r="D54" i="40"/>
  <c r="B16" i="10" s="1"/>
  <c r="D53" i="40"/>
  <c r="R43" i="40"/>
  <c r="O43" i="40"/>
  <c r="M43" i="40"/>
  <c r="L43" i="40"/>
  <c r="J43" i="40"/>
  <c r="N43" i="40" s="1"/>
  <c r="O42" i="40"/>
  <c r="M42" i="40"/>
  <c r="L42" i="40"/>
  <c r="J42" i="40"/>
  <c r="N42" i="40" s="1"/>
  <c r="A42" i="40"/>
  <c r="O41" i="40"/>
  <c r="M41" i="40"/>
  <c r="L41" i="40"/>
  <c r="J41" i="40"/>
  <c r="N41" i="40" s="1"/>
  <c r="A41" i="40"/>
  <c r="O40" i="40"/>
  <c r="M40" i="40"/>
  <c r="L40" i="40"/>
  <c r="J40" i="40"/>
  <c r="N40" i="40" s="1"/>
  <c r="A40" i="40"/>
  <c r="O39" i="40"/>
  <c r="M39" i="40"/>
  <c r="L39" i="40"/>
  <c r="J39" i="40"/>
  <c r="N39" i="40" s="1"/>
  <c r="A39" i="40"/>
  <c r="O38" i="40"/>
  <c r="M38" i="40"/>
  <c r="L38" i="40"/>
  <c r="J38" i="40"/>
  <c r="N38" i="40" s="1"/>
  <c r="A38" i="40"/>
  <c r="O37" i="40"/>
  <c r="M37" i="40"/>
  <c r="G37" i="40"/>
  <c r="L37" i="40" s="1"/>
  <c r="A37" i="40"/>
  <c r="O36" i="40"/>
  <c r="M36" i="40"/>
  <c r="G36" i="40"/>
  <c r="L36" i="40" s="1"/>
  <c r="A36" i="40"/>
  <c r="O35" i="40"/>
  <c r="M35" i="40"/>
  <c r="G35" i="40"/>
  <c r="L35" i="40" s="1"/>
  <c r="A35" i="40"/>
  <c r="O34" i="40"/>
  <c r="M34" i="40"/>
  <c r="G34" i="40"/>
  <c r="J34" i="40" s="1"/>
  <c r="N34" i="40" s="1"/>
  <c r="A34" i="40"/>
  <c r="O33" i="40"/>
  <c r="M33" i="40"/>
  <c r="L33" i="40"/>
  <c r="J33" i="40"/>
  <c r="N33" i="40" s="1"/>
  <c r="A33" i="40"/>
  <c r="O32" i="40"/>
  <c r="M32" i="40"/>
  <c r="L32" i="40"/>
  <c r="J32" i="40"/>
  <c r="N32" i="40" s="1"/>
  <c r="A32" i="40"/>
  <c r="O31" i="40"/>
  <c r="M31" i="40"/>
  <c r="L31" i="40"/>
  <c r="J31" i="40"/>
  <c r="N31" i="40" s="1"/>
  <c r="A31" i="40"/>
  <c r="O30" i="40"/>
  <c r="M30" i="40"/>
  <c r="L30" i="40"/>
  <c r="J30" i="40"/>
  <c r="N30" i="40" s="1"/>
  <c r="A30" i="40"/>
  <c r="O29" i="40"/>
  <c r="M29" i="40"/>
  <c r="L29" i="40"/>
  <c r="J29" i="40"/>
  <c r="N29" i="40" s="1"/>
  <c r="A29" i="40"/>
  <c r="O28" i="40"/>
  <c r="M28" i="40"/>
  <c r="L28" i="40"/>
  <c r="J28" i="40"/>
  <c r="N28" i="40" s="1"/>
  <c r="A28" i="40"/>
  <c r="O27" i="40"/>
  <c r="M27" i="40"/>
  <c r="L27" i="40"/>
  <c r="J27" i="40"/>
  <c r="N27" i="40" s="1"/>
  <c r="A27" i="40"/>
  <c r="O26" i="40"/>
  <c r="M26" i="40"/>
  <c r="L26" i="40"/>
  <c r="J26" i="40"/>
  <c r="N26" i="40" s="1"/>
  <c r="A26" i="40"/>
  <c r="O25" i="40"/>
  <c r="M25" i="40"/>
  <c r="L25" i="40"/>
  <c r="D25" i="40"/>
  <c r="J25" i="40" s="1"/>
  <c r="N25" i="40" s="1"/>
  <c r="A25" i="40"/>
  <c r="O24" i="40"/>
  <c r="M24" i="40"/>
  <c r="G24" i="40"/>
  <c r="J24" i="40" s="1"/>
  <c r="N24" i="40" s="1"/>
  <c r="A24" i="40"/>
  <c r="M23" i="40"/>
  <c r="O23" i="40"/>
  <c r="A23" i="40"/>
  <c r="M22" i="40"/>
  <c r="O22" i="40"/>
  <c r="A22" i="40"/>
  <c r="M21" i="40"/>
  <c r="O21" i="40"/>
  <c r="A21" i="40"/>
  <c r="M20" i="40"/>
  <c r="O20" i="40"/>
  <c r="A20" i="40"/>
  <c r="M19" i="40"/>
  <c r="O19" i="40"/>
  <c r="A19" i="40"/>
  <c r="M18" i="40"/>
  <c r="O18" i="40"/>
  <c r="A18" i="40"/>
  <c r="M17" i="40"/>
  <c r="O17" i="40"/>
  <c r="A17" i="40"/>
  <c r="M16" i="40"/>
  <c r="O16" i="40"/>
  <c r="A16" i="40"/>
  <c r="M15" i="40"/>
  <c r="O15" i="40"/>
  <c r="A15" i="40"/>
  <c r="M14" i="40"/>
  <c r="O14" i="40"/>
  <c r="A14" i="40"/>
  <c r="O13" i="40"/>
  <c r="M13" i="40"/>
  <c r="G13" i="40"/>
  <c r="L13" i="40" s="1"/>
  <c r="A13" i="40"/>
  <c r="O12" i="40"/>
  <c r="M12" i="40"/>
  <c r="G12" i="40"/>
  <c r="J12" i="40" s="1"/>
  <c r="N12" i="40" s="1"/>
  <c r="A12" i="40"/>
  <c r="O11" i="40"/>
  <c r="M11" i="40"/>
  <c r="G11" i="40"/>
  <c r="L11" i="40" s="1"/>
  <c r="A11" i="40"/>
  <c r="J5" i="40"/>
  <c r="J4" i="40"/>
  <c r="O47" i="40" l="1"/>
  <c r="M46" i="40"/>
  <c r="N48" i="40" s="1"/>
  <c r="L12" i="40"/>
  <c r="L14" i="40"/>
  <c r="G15" i="40"/>
  <c r="L15" i="40" s="1"/>
  <c r="G16" i="40"/>
  <c r="L16" i="40" s="1"/>
  <c r="G17" i="40"/>
  <c r="L17" i="40" s="1"/>
  <c r="G18" i="40"/>
  <c r="L18" i="40" s="1"/>
  <c r="G19" i="40"/>
  <c r="L19" i="40" s="1"/>
  <c r="G20" i="40"/>
  <c r="L20" i="40" s="1"/>
  <c r="G21" i="40"/>
  <c r="L21" i="40" s="1"/>
  <c r="G22" i="40"/>
  <c r="L22" i="40" s="1"/>
  <c r="G23" i="40"/>
  <c r="L23" i="40" s="1"/>
  <c r="J37" i="40"/>
  <c r="N37" i="40" s="1"/>
  <c r="D80" i="40"/>
  <c r="J11" i="40"/>
  <c r="N11" i="40" s="1"/>
  <c r="L34" i="40"/>
  <c r="D65" i="40"/>
  <c r="D37" i="2"/>
  <c r="B15" i="10"/>
  <c r="D26" i="2"/>
  <c r="J36" i="40"/>
  <c r="N36" i="40" s="1"/>
  <c r="J13" i="40"/>
  <c r="N13" i="40" s="1"/>
  <c r="J14" i="40"/>
  <c r="N14" i="40" s="1"/>
  <c r="J16" i="40"/>
  <c r="N16" i="40" s="1"/>
  <c r="J17" i="40"/>
  <c r="N17" i="40" s="1"/>
  <c r="J18" i="40"/>
  <c r="N18" i="40" s="1"/>
  <c r="L24" i="40"/>
  <c r="J35" i="40"/>
  <c r="N35" i="40" s="1"/>
  <c r="L47" i="40" l="1"/>
  <c r="D8" i="3" s="1"/>
  <c r="J20" i="40"/>
  <c r="N20" i="40" s="1"/>
  <c r="J22" i="40"/>
  <c r="N22" i="40" s="1"/>
  <c r="J21" i="40"/>
  <c r="N21" i="40" s="1"/>
  <c r="J23" i="40"/>
  <c r="N23" i="40" s="1"/>
  <c r="J19" i="40"/>
  <c r="N19" i="40" s="1"/>
  <c r="J15" i="40"/>
  <c r="N15" i="40" s="1"/>
  <c r="N46" i="40" l="1"/>
  <c r="O48" i="40" s="1"/>
  <c r="O49" i="40" s="1"/>
  <c r="B11" i="37"/>
  <c r="C11" i="37" s="1"/>
  <c r="B10" i="37"/>
  <c r="D10" i="37" s="1"/>
  <c r="E10" i="37" s="1"/>
  <c r="F10" i="37" s="1"/>
  <c r="B3" i="37"/>
  <c r="B4" i="37" s="1"/>
  <c r="C4" i="37" l="1"/>
  <c r="D11" i="37"/>
  <c r="E11" i="37" s="1"/>
  <c r="F11" i="37" s="1"/>
  <c r="C10" i="37"/>
  <c r="D4" i="37" l="1"/>
  <c r="E4" i="37" l="1"/>
  <c r="F80" i="10"/>
  <c r="F79" i="10"/>
  <c r="F78" i="10"/>
  <c r="F77" i="10"/>
  <c r="F81" i="10" s="1"/>
  <c r="F4" i="37" l="1"/>
  <c r="AD44" i="26"/>
  <c r="AD40" i="26"/>
  <c r="AA43" i="26"/>
  <c r="AA39" i="26"/>
  <c r="Z39" i="26"/>
  <c r="Z43" i="26"/>
  <c r="AD34" i="26"/>
  <c r="AC35" i="26"/>
  <c r="AA33" i="26"/>
  <c r="AB33" i="26" s="1"/>
  <c r="Z34" i="26"/>
  <c r="AB29" i="26"/>
  <c r="AC29" i="26" s="1"/>
  <c r="AD29" i="26" s="1"/>
  <c r="AA20" i="26"/>
  <c r="AA21" i="26"/>
  <c r="AA24" i="26"/>
  <c r="AA25" i="26"/>
  <c r="AA28" i="26"/>
  <c r="AA29" i="26"/>
  <c r="AA30" i="26"/>
  <c r="Z19" i="26"/>
  <c r="Z20" i="26"/>
  <c r="Z23" i="26"/>
  <c r="Z24" i="26"/>
  <c r="Z27" i="26"/>
  <c r="Z28" i="26"/>
  <c r="Z18" i="26"/>
  <c r="AD8" i="26"/>
  <c r="AD9" i="26"/>
  <c r="AD12" i="26"/>
  <c r="AD13" i="26"/>
  <c r="AD16" i="26"/>
  <c r="AC8" i="26"/>
  <c r="AC9" i="26"/>
  <c r="AC12" i="26"/>
  <c r="AC13" i="26"/>
  <c r="AC16" i="26"/>
  <c r="AB8" i="26"/>
  <c r="AB9" i="26"/>
  <c r="AB12" i="26"/>
  <c r="AB13" i="26"/>
  <c r="AB16" i="26"/>
  <c r="AA8" i="26"/>
  <c r="AA9" i="26"/>
  <c r="AA12" i="26"/>
  <c r="AA13" i="26"/>
  <c r="AA16" i="26"/>
  <c r="Z5" i="26"/>
  <c r="Z8" i="26"/>
  <c r="Z9" i="26"/>
  <c r="Z12" i="26"/>
  <c r="Z13" i="26"/>
  <c r="Z16" i="26"/>
  <c r="Z4" i="26"/>
  <c r="T45" i="26"/>
  <c r="U45" i="26" s="1"/>
  <c r="V45" i="26" s="1"/>
  <c r="W45" i="26" s="1"/>
  <c r="X45" i="26" s="1"/>
  <c r="AD45" i="26" s="1"/>
  <c r="T44" i="26"/>
  <c r="U44" i="26" s="1"/>
  <c r="V44" i="26" s="1"/>
  <c r="W44" i="26" s="1"/>
  <c r="X44" i="26" s="1"/>
  <c r="T43" i="26"/>
  <c r="U43" i="26" s="1"/>
  <c r="V43" i="26" s="1"/>
  <c r="W43" i="26" s="1"/>
  <c r="X43" i="26" s="1"/>
  <c r="AD43" i="26" s="1"/>
  <c r="T42" i="26"/>
  <c r="U42" i="26" s="1"/>
  <c r="T41" i="26"/>
  <c r="U41" i="26" s="1"/>
  <c r="V41" i="26" s="1"/>
  <c r="W41" i="26" s="1"/>
  <c r="X41" i="26" s="1"/>
  <c r="AD41" i="26" s="1"/>
  <c r="T40" i="26"/>
  <c r="U40" i="26" s="1"/>
  <c r="V40" i="26" s="1"/>
  <c r="W40" i="26" s="1"/>
  <c r="X40" i="26" s="1"/>
  <c r="T39" i="26"/>
  <c r="U39" i="26" s="1"/>
  <c r="V39" i="26" s="1"/>
  <c r="W39" i="26" s="1"/>
  <c r="X39" i="26" s="1"/>
  <c r="AD39" i="26" s="1"/>
  <c r="T38" i="26"/>
  <c r="U38" i="26" s="1"/>
  <c r="T37" i="26"/>
  <c r="T46" i="26" s="1"/>
  <c r="AG13" i="26" s="1"/>
  <c r="T35" i="26"/>
  <c r="U35" i="26" s="1"/>
  <c r="V35" i="26" s="1"/>
  <c r="W35" i="26" s="1"/>
  <c r="X35" i="26" s="1"/>
  <c r="AD35" i="26" s="1"/>
  <c r="T34" i="26"/>
  <c r="U34" i="26" s="1"/>
  <c r="V34" i="26" s="1"/>
  <c r="W34" i="26" s="1"/>
  <c r="X34" i="26" s="1"/>
  <c r="T33" i="26"/>
  <c r="U33" i="26" s="1"/>
  <c r="V33" i="26" s="1"/>
  <c r="W33" i="26" s="1"/>
  <c r="X33" i="26" s="1"/>
  <c r="AD33" i="26" s="1"/>
  <c r="T32" i="26"/>
  <c r="Z32" i="26" s="1"/>
  <c r="U27" i="26"/>
  <c r="V27" i="26" s="1"/>
  <c r="W27" i="26" s="1"/>
  <c r="X27" i="26" s="1"/>
  <c r="U18" i="26"/>
  <c r="V18" i="26" s="1"/>
  <c r="AB18" i="26" s="1"/>
  <c r="T19" i="26"/>
  <c r="U19" i="26" s="1"/>
  <c r="T20" i="26"/>
  <c r="U20" i="26" s="1"/>
  <c r="V20" i="26" s="1"/>
  <c r="W20" i="26" s="1"/>
  <c r="X20" i="26" s="1"/>
  <c r="T21" i="26"/>
  <c r="U21" i="26" s="1"/>
  <c r="V21" i="26" s="1"/>
  <c r="W21" i="26" s="1"/>
  <c r="X21" i="26" s="1"/>
  <c r="T22" i="26"/>
  <c r="Z22" i="26" s="1"/>
  <c r="T23" i="26"/>
  <c r="U23" i="26" s="1"/>
  <c r="T24" i="26"/>
  <c r="U24" i="26" s="1"/>
  <c r="V24" i="26" s="1"/>
  <c r="W24" i="26" s="1"/>
  <c r="X24" i="26" s="1"/>
  <c r="T25" i="26"/>
  <c r="U25" i="26" s="1"/>
  <c r="V25" i="26" s="1"/>
  <c r="W25" i="26" s="1"/>
  <c r="X25" i="26" s="1"/>
  <c r="T26" i="26"/>
  <c r="U26" i="26" s="1"/>
  <c r="V26" i="26" s="1"/>
  <c r="W26" i="26" s="1"/>
  <c r="X26" i="26" s="1"/>
  <c r="T27" i="26"/>
  <c r="T28" i="26"/>
  <c r="U28" i="26" s="1"/>
  <c r="V28" i="26" s="1"/>
  <c r="W28" i="26" s="1"/>
  <c r="X28" i="26" s="1"/>
  <c r="T29" i="26"/>
  <c r="Z29" i="26" s="1"/>
  <c r="T30" i="26"/>
  <c r="V30" i="26" s="1"/>
  <c r="W30" i="26" s="1"/>
  <c r="X30" i="26" s="1"/>
  <c r="T18" i="26"/>
  <c r="T31" i="26" s="1"/>
  <c r="AG11" i="26" s="1"/>
  <c r="T5" i="26"/>
  <c r="T6" i="26"/>
  <c r="U6" i="26" s="1"/>
  <c r="V6" i="26" s="1"/>
  <c r="W6" i="26" s="1"/>
  <c r="X6" i="26" s="1"/>
  <c r="AD6" i="26" s="1"/>
  <c r="T7" i="26"/>
  <c r="U7" i="26" s="1"/>
  <c r="V7" i="26" s="1"/>
  <c r="W7" i="26" s="1"/>
  <c r="X7" i="26" s="1"/>
  <c r="AD7" i="26" s="1"/>
  <c r="T8" i="26"/>
  <c r="U8" i="26" s="1"/>
  <c r="V8" i="26" s="1"/>
  <c r="W8" i="26" s="1"/>
  <c r="X8" i="26" s="1"/>
  <c r="T9" i="26"/>
  <c r="U9" i="26" s="1"/>
  <c r="V9" i="26" s="1"/>
  <c r="W9" i="26" s="1"/>
  <c r="X9" i="26" s="1"/>
  <c r="T10" i="26"/>
  <c r="U10" i="26" s="1"/>
  <c r="V10" i="26" s="1"/>
  <c r="W10" i="26" s="1"/>
  <c r="X10" i="26" s="1"/>
  <c r="AD10" i="26" s="1"/>
  <c r="T11" i="26"/>
  <c r="U11" i="26" s="1"/>
  <c r="V11" i="26" s="1"/>
  <c r="W11" i="26" s="1"/>
  <c r="X11" i="26" s="1"/>
  <c r="AD11" i="26" s="1"/>
  <c r="T12" i="26"/>
  <c r="U12" i="26" s="1"/>
  <c r="V12" i="26" s="1"/>
  <c r="W12" i="26" s="1"/>
  <c r="X12" i="26" s="1"/>
  <c r="T13" i="26"/>
  <c r="U13" i="26" s="1"/>
  <c r="V13" i="26" s="1"/>
  <c r="W13" i="26" s="1"/>
  <c r="X13" i="26" s="1"/>
  <c r="T14" i="26"/>
  <c r="U14" i="26" s="1"/>
  <c r="V14" i="26" s="1"/>
  <c r="W14" i="26" s="1"/>
  <c r="X14" i="26" s="1"/>
  <c r="AD14" i="26" s="1"/>
  <c r="T15" i="26"/>
  <c r="U15" i="26" s="1"/>
  <c r="V15" i="26" s="1"/>
  <c r="W15" i="26" s="1"/>
  <c r="X15" i="26" s="1"/>
  <c r="AD15" i="26" s="1"/>
  <c r="T4" i="26"/>
  <c r="P31" i="26"/>
  <c r="Q31" i="26"/>
  <c r="R31" i="26"/>
  <c r="E73" i="5"/>
  <c r="AC18" i="26" l="1"/>
  <c r="V23" i="26"/>
  <c r="AA23" i="26"/>
  <c r="V19" i="26"/>
  <c r="AA19" i="26"/>
  <c r="V38" i="26"/>
  <c r="AA38" i="26"/>
  <c r="V42" i="26"/>
  <c r="AA42" i="26"/>
  <c r="Z33" i="26"/>
  <c r="Z36" i="26" s="1"/>
  <c r="AG7" i="26" s="1"/>
  <c r="AC34" i="26"/>
  <c r="Z37" i="26"/>
  <c r="Z42" i="26"/>
  <c r="Z38" i="26"/>
  <c r="AA40" i="26"/>
  <c r="AA44" i="26"/>
  <c r="AB39" i="26"/>
  <c r="AB43" i="26"/>
  <c r="AB30" i="26"/>
  <c r="AC30" i="26" s="1"/>
  <c r="AD30" i="26" s="1"/>
  <c r="AB26" i="26"/>
  <c r="AC26" i="26" s="1"/>
  <c r="AD26" i="26" s="1"/>
  <c r="AC45" i="26"/>
  <c r="AB25" i="26"/>
  <c r="AC25" i="26" s="1"/>
  <c r="AD25" i="26" s="1"/>
  <c r="Z15" i="26"/>
  <c r="Z11" i="26"/>
  <c r="Z7" i="26"/>
  <c r="AA15" i="26"/>
  <c r="AA11" i="26"/>
  <c r="AA7" i="26"/>
  <c r="AB15" i="26"/>
  <c r="AB11" i="26"/>
  <c r="AB7" i="26"/>
  <c r="AC15" i="26"/>
  <c r="AC11" i="26"/>
  <c r="AC7" i="26"/>
  <c r="Z30" i="26"/>
  <c r="Z26" i="26"/>
  <c r="AA18" i="26"/>
  <c r="AA27" i="26"/>
  <c r="AB28" i="26"/>
  <c r="AC28" i="26" s="1"/>
  <c r="AD28" i="26" s="1"/>
  <c r="AB24" i="26"/>
  <c r="AC24" i="26" s="1"/>
  <c r="AD24" i="26" s="1"/>
  <c r="AB20" i="26"/>
  <c r="AC20" i="26" s="1"/>
  <c r="AD20" i="26" s="1"/>
  <c r="AA35" i="26"/>
  <c r="AB35" i="26" s="1"/>
  <c r="AC33" i="26"/>
  <c r="Z45" i="26"/>
  <c r="Z41" i="26"/>
  <c r="AA41" i="26"/>
  <c r="AA45" i="26"/>
  <c r="AB40" i="26"/>
  <c r="AB44" i="26"/>
  <c r="AC39" i="26"/>
  <c r="AC43" i="26"/>
  <c r="AC41" i="26"/>
  <c r="AB21" i="26"/>
  <c r="AC21" i="26" s="1"/>
  <c r="AD21" i="26" s="1"/>
  <c r="T17" i="26"/>
  <c r="AG10" i="26" s="1"/>
  <c r="U4" i="26"/>
  <c r="Z14" i="26"/>
  <c r="Z10" i="26"/>
  <c r="Z6" i="26"/>
  <c r="AA14" i="26"/>
  <c r="AA10" i="26"/>
  <c r="AA6" i="26"/>
  <c r="AB14" i="26"/>
  <c r="AB10" i="26"/>
  <c r="AB6" i="26"/>
  <c r="AC14" i="26"/>
  <c r="AC10" i="26"/>
  <c r="AC6" i="26"/>
  <c r="Z25" i="26"/>
  <c r="Z21" i="26"/>
  <c r="Z31" i="26" s="1"/>
  <c r="AG6" i="26" s="1"/>
  <c r="AA26" i="26"/>
  <c r="AB27" i="26"/>
  <c r="AC27" i="26" s="1"/>
  <c r="AD27" i="26" s="1"/>
  <c r="Z35" i="26"/>
  <c r="AA34" i="26"/>
  <c r="AB34" i="26" s="1"/>
  <c r="Z44" i="26"/>
  <c r="Z40" i="26"/>
  <c r="AB41" i="26"/>
  <c r="AB45" i="26"/>
  <c r="AC40" i="26"/>
  <c r="AC44" i="26"/>
  <c r="G4" i="37"/>
  <c r="T36" i="26"/>
  <c r="AG12" i="26" s="1"/>
  <c r="W18" i="26"/>
  <c r="U5" i="26"/>
  <c r="U22" i="26"/>
  <c r="U32" i="26"/>
  <c r="AA32" i="26" s="1"/>
  <c r="AA36" i="26" s="1"/>
  <c r="AH7" i="26" s="1"/>
  <c r="U37" i="26"/>
  <c r="AA37" i="26" s="1"/>
  <c r="B72" i="10"/>
  <c r="V22" i="26" l="1"/>
  <c r="AA22" i="26"/>
  <c r="W38" i="26"/>
  <c r="AB38" i="26"/>
  <c r="AB46" i="26" s="1"/>
  <c r="AI8" i="26" s="1"/>
  <c r="W23" i="26"/>
  <c r="X23" i="26" s="1"/>
  <c r="AB23" i="26"/>
  <c r="AC23" i="26" s="1"/>
  <c r="AD23" i="26" s="1"/>
  <c r="U31" i="26"/>
  <c r="AH11" i="26" s="1"/>
  <c r="V4" i="26"/>
  <c r="AA4" i="26"/>
  <c r="Z46" i="26"/>
  <c r="AG8" i="26" s="1"/>
  <c r="AA31" i="26"/>
  <c r="AH6" i="26" s="1"/>
  <c r="Z17" i="26"/>
  <c r="AG5" i="26" s="1"/>
  <c r="AD18" i="26"/>
  <c r="AA46" i="26"/>
  <c r="AH8" i="26" s="1"/>
  <c r="U17" i="26"/>
  <c r="AH10" i="26" s="1"/>
  <c r="AA5" i="26"/>
  <c r="W42" i="26"/>
  <c r="AB42" i="26"/>
  <c r="W19" i="26"/>
  <c r="X19" i="26" s="1"/>
  <c r="AB19" i="26"/>
  <c r="U46" i="26"/>
  <c r="AH13" i="26" s="1"/>
  <c r="V37" i="26"/>
  <c r="AB37" i="26" s="1"/>
  <c r="V5" i="26"/>
  <c r="U36" i="26"/>
  <c r="AH12" i="26" s="1"/>
  <c r="V32" i="26"/>
  <c r="AB32" i="26" s="1"/>
  <c r="AB36" i="26" s="1"/>
  <c r="AI7" i="26" s="1"/>
  <c r="X18" i="26"/>
  <c r="B66" i="10"/>
  <c r="X42" i="26" l="1"/>
  <c r="AD42" i="26" s="1"/>
  <c r="AC42" i="26"/>
  <c r="W4" i="26"/>
  <c r="AB4" i="26"/>
  <c r="AB17" i="26" s="1"/>
  <c r="AI5" i="26" s="1"/>
  <c r="AC19" i="26"/>
  <c r="X38" i="26"/>
  <c r="AD38" i="26" s="1"/>
  <c r="AC38" i="26"/>
  <c r="V17" i="26"/>
  <c r="AI10" i="26" s="1"/>
  <c r="AB5" i="26"/>
  <c r="AA17" i="26"/>
  <c r="AH5" i="26" s="1"/>
  <c r="W22" i="26"/>
  <c r="AB22" i="26"/>
  <c r="AC22" i="26" s="1"/>
  <c r="AD22" i="26" s="1"/>
  <c r="V31" i="26"/>
  <c r="AI11" i="26" s="1"/>
  <c r="V36" i="26"/>
  <c r="AI12" i="26" s="1"/>
  <c r="W32" i="26"/>
  <c r="AC32" i="26" s="1"/>
  <c r="AC36" i="26" s="1"/>
  <c r="AJ7" i="26" s="1"/>
  <c r="V46" i="26"/>
  <c r="AI13" i="26" s="1"/>
  <c r="W37" i="26"/>
  <c r="AC37" i="26" s="1"/>
  <c r="W5" i="26"/>
  <c r="D72" i="10"/>
  <c r="G46" i="26"/>
  <c r="H14" i="5" s="1"/>
  <c r="K14" i="5" s="1"/>
  <c r="G31" i="26"/>
  <c r="H12" i="5" s="1"/>
  <c r="I46" i="26"/>
  <c r="L46" i="26"/>
  <c r="H46" i="26"/>
  <c r="I14" i="5" s="1"/>
  <c r="I36" i="26"/>
  <c r="L36" i="26"/>
  <c r="H36" i="26"/>
  <c r="I13" i="5" s="1"/>
  <c r="I31" i="26"/>
  <c r="L31" i="26"/>
  <c r="H31" i="26"/>
  <c r="I12" i="5" s="1"/>
  <c r="E6" i="7" s="1"/>
  <c r="H17" i="26"/>
  <c r="I11" i="5" s="1"/>
  <c r="O45" i="26"/>
  <c r="M45" i="26"/>
  <c r="J45" i="26"/>
  <c r="N44" i="26"/>
  <c r="O44" i="26" s="1"/>
  <c r="K44" i="26"/>
  <c r="M44" i="26" s="1"/>
  <c r="J44" i="26"/>
  <c r="N43" i="26"/>
  <c r="O43" i="26" s="1"/>
  <c r="K43" i="26"/>
  <c r="M43" i="26" s="1"/>
  <c r="J43" i="26"/>
  <c r="N42" i="26"/>
  <c r="O42" i="26" s="1"/>
  <c r="K42" i="26"/>
  <c r="M42" i="26" s="1"/>
  <c r="J42" i="26"/>
  <c r="N41" i="26"/>
  <c r="O41" i="26" s="1"/>
  <c r="K41" i="26"/>
  <c r="M41" i="26" s="1"/>
  <c r="J41" i="26"/>
  <c r="N40" i="26"/>
  <c r="O40" i="26" s="1"/>
  <c r="K40" i="26"/>
  <c r="M40" i="26" s="1"/>
  <c r="J40" i="26"/>
  <c r="N39" i="26"/>
  <c r="O39" i="26" s="1"/>
  <c r="K39" i="26"/>
  <c r="M39" i="26" s="1"/>
  <c r="J39" i="26"/>
  <c r="N38" i="26"/>
  <c r="O38" i="26" s="1"/>
  <c r="K38" i="26"/>
  <c r="M38" i="26" s="1"/>
  <c r="J38" i="26"/>
  <c r="N37" i="26"/>
  <c r="K37" i="26"/>
  <c r="M37" i="26" s="1"/>
  <c r="J37" i="26"/>
  <c r="N35" i="26"/>
  <c r="O35" i="26" s="1"/>
  <c r="J35" i="26"/>
  <c r="N34" i="26"/>
  <c r="K34" i="26" s="1"/>
  <c r="M34" i="26" s="1"/>
  <c r="J34" i="26"/>
  <c r="N33" i="26"/>
  <c r="K33" i="26" s="1"/>
  <c r="M33" i="26" s="1"/>
  <c r="J33" i="26"/>
  <c r="N32" i="26"/>
  <c r="O32" i="26" s="1"/>
  <c r="J32" i="26"/>
  <c r="J36" i="26" s="1"/>
  <c r="N30" i="26"/>
  <c r="O30" i="26" s="1"/>
  <c r="K30" i="26"/>
  <c r="M30" i="26" s="1"/>
  <c r="J30" i="26"/>
  <c r="N29" i="26"/>
  <c r="O29" i="26" s="1"/>
  <c r="K29" i="26"/>
  <c r="M29" i="26" s="1"/>
  <c r="J29" i="26"/>
  <c r="N28" i="26"/>
  <c r="O28" i="26" s="1"/>
  <c r="K28" i="26"/>
  <c r="M28" i="26" s="1"/>
  <c r="J28" i="26"/>
  <c r="N27" i="26"/>
  <c r="O27" i="26" s="1"/>
  <c r="K27" i="26"/>
  <c r="M27" i="26" s="1"/>
  <c r="J27" i="26"/>
  <c r="N26" i="26"/>
  <c r="O26" i="26" s="1"/>
  <c r="K26" i="26"/>
  <c r="M26" i="26" s="1"/>
  <c r="J26" i="26"/>
  <c r="N25" i="26"/>
  <c r="O25" i="26" s="1"/>
  <c r="K25" i="26"/>
  <c r="M25" i="26" s="1"/>
  <c r="J25" i="26"/>
  <c r="N24" i="26"/>
  <c r="O24" i="26" s="1"/>
  <c r="K24" i="26"/>
  <c r="M24" i="26" s="1"/>
  <c r="J24" i="26"/>
  <c r="N23" i="26"/>
  <c r="O23" i="26" s="1"/>
  <c r="K23" i="26"/>
  <c r="M23" i="26" s="1"/>
  <c r="J23" i="26"/>
  <c r="N22" i="26"/>
  <c r="O22" i="26" s="1"/>
  <c r="K22" i="26"/>
  <c r="M22" i="26" s="1"/>
  <c r="J22" i="26"/>
  <c r="N21" i="26"/>
  <c r="O21" i="26" s="1"/>
  <c r="K21" i="26"/>
  <c r="M21" i="26" s="1"/>
  <c r="J21" i="26"/>
  <c r="N20" i="26"/>
  <c r="O20" i="26" s="1"/>
  <c r="K20" i="26"/>
  <c r="M20" i="26" s="1"/>
  <c r="J20" i="26"/>
  <c r="N19" i="26"/>
  <c r="O19" i="26" s="1"/>
  <c r="K19" i="26"/>
  <c r="M19" i="26" s="1"/>
  <c r="J19" i="26"/>
  <c r="N18" i="26"/>
  <c r="O18" i="26" s="1"/>
  <c r="K18" i="26"/>
  <c r="J18" i="26"/>
  <c r="N15" i="26"/>
  <c r="K15" i="26" s="1"/>
  <c r="M15" i="26" s="1"/>
  <c r="J15" i="26"/>
  <c r="N14" i="26"/>
  <c r="K14" i="26" s="1"/>
  <c r="M14" i="26" s="1"/>
  <c r="J14" i="26"/>
  <c r="N13" i="26"/>
  <c r="O13" i="26" s="1"/>
  <c r="J13" i="26"/>
  <c r="N12" i="26"/>
  <c r="O12" i="26" s="1"/>
  <c r="J12" i="26"/>
  <c r="N11" i="26"/>
  <c r="K11" i="26" s="1"/>
  <c r="M11" i="26" s="1"/>
  <c r="J11" i="26"/>
  <c r="N10" i="26"/>
  <c r="K10" i="26" s="1"/>
  <c r="M10" i="26" s="1"/>
  <c r="J10" i="26"/>
  <c r="N9" i="26"/>
  <c r="K9" i="26" s="1"/>
  <c r="M9" i="26" s="1"/>
  <c r="J9" i="26"/>
  <c r="N8" i="26"/>
  <c r="O8" i="26" s="1"/>
  <c r="J8" i="26"/>
  <c r="N7" i="26"/>
  <c r="K7" i="26" s="1"/>
  <c r="M7" i="26" s="1"/>
  <c r="J7" i="26"/>
  <c r="N6" i="26"/>
  <c r="K6" i="26" s="1"/>
  <c r="M6" i="26" s="1"/>
  <c r="J6" i="26"/>
  <c r="N5" i="26"/>
  <c r="O5" i="26" s="1"/>
  <c r="J5" i="26"/>
  <c r="N4" i="26"/>
  <c r="O4" i="26" s="1"/>
  <c r="J4" i="26"/>
  <c r="E5" i="7" l="1"/>
  <c r="S5" i="7" s="1"/>
  <c r="M11" i="5"/>
  <c r="S11" i="5" s="1"/>
  <c r="K32" i="26"/>
  <c r="M32" i="26" s="1"/>
  <c r="J46" i="26"/>
  <c r="AC4" i="26"/>
  <c r="AC17" i="26" s="1"/>
  <c r="AJ5" i="26" s="1"/>
  <c r="X4" i="26"/>
  <c r="AD4" i="26" s="1"/>
  <c r="X22" i="26"/>
  <c r="X31" i="26" s="1"/>
  <c r="AK11" i="26" s="1"/>
  <c r="W31" i="26"/>
  <c r="AJ11" i="26" s="1"/>
  <c r="AB31" i="26"/>
  <c r="AI6" i="26" s="1"/>
  <c r="AC46" i="26"/>
  <c r="AJ8" i="26" s="1"/>
  <c r="O31" i="26"/>
  <c r="N46" i="26"/>
  <c r="W17" i="26"/>
  <c r="AJ10" i="26" s="1"/>
  <c r="AC5" i="26"/>
  <c r="AD19" i="26"/>
  <c r="AD31" i="26" s="1"/>
  <c r="AK6" i="26" s="1"/>
  <c r="AC31" i="26"/>
  <c r="AJ6" i="26" s="1"/>
  <c r="P14" i="5"/>
  <c r="D7" i="34" s="1"/>
  <c r="C7" i="34"/>
  <c r="M46" i="26"/>
  <c r="X37" i="26"/>
  <c r="W46" i="26"/>
  <c r="AJ13" i="26" s="1"/>
  <c r="X5" i="26"/>
  <c r="W36" i="26"/>
  <c r="AJ12" i="26" s="1"/>
  <c r="X32" i="26"/>
  <c r="O37" i="26"/>
  <c r="O46" i="26" s="1"/>
  <c r="H18" i="5"/>
  <c r="C5" i="10" s="1"/>
  <c r="K46" i="26"/>
  <c r="K31" i="26"/>
  <c r="K12" i="5" s="1"/>
  <c r="N36" i="26"/>
  <c r="N31" i="26"/>
  <c r="J17" i="26"/>
  <c r="O10" i="26"/>
  <c r="K12" i="26"/>
  <c r="M12" i="26" s="1"/>
  <c r="J31" i="26"/>
  <c r="H17" i="5"/>
  <c r="E72" i="10"/>
  <c r="E8" i="7"/>
  <c r="Q14" i="5"/>
  <c r="B80" i="10" s="1"/>
  <c r="M14" i="5"/>
  <c r="S14" i="5" s="1"/>
  <c r="Q13" i="5"/>
  <c r="B79" i="10" s="1"/>
  <c r="E7" i="7"/>
  <c r="G16" i="14" s="1"/>
  <c r="M13" i="5"/>
  <c r="S13" i="5" s="1"/>
  <c r="J5" i="7"/>
  <c r="P5" i="7" s="1"/>
  <c r="Q12" i="5"/>
  <c r="B78" i="10" s="1"/>
  <c r="M12" i="5"/>
  <c r="S12" i="5" s="1"/>
  <c r="Q11" i="5"/>
  <c r="B77" i="10" s="1"/>
  <c r="K5" i="26"/>
  <c r="M5" i="26" s="1"/>
  <c r="K13" i="26"/>
  <c r="M13" i="26" s="1"/>
  <c r="Q6" i="5"/>
  <c r="I17" i="5"/>
  <c r="O9" i="26"/>
  <c r="O14" i="26"/>
  <c r="K4" i="26"/>
  <c r="M18" i="26"/>
  <c r="M31" i="26" s="1"/>
  <c r="O33" i="26"/>
  <c r="K35" i="26"/>
  <c r="M35" i="26" s="1"/>
  <c r="M36" i="26" s="1"/>
  <c r="O6" i="26"/>
  <c r="K8" i="26"/>
  <c r="M8" i="26" s="1"/>
  <c r="N17" i="26"/>
  <c r="O34" i="26"/>
  <c r="O7" i="26"/>
  <c r="O11" i="26"/>
  <c r="O15" i="26"/>
  <c r="X36" i="26" l="1"/>
  <c r="AK12" i="26" s="1"/>
  <c r="AD32" i="26"/>
  <c r="AD36" i="26" s="1"/>
  <c r="AK7" i="26" s="1"/>
  <c r="X46" i="26"/>
  <c r="AK13" i="26" s="1"/>
  <c r="AD37" i="26"/>
  <c r="AD46" i="26" s="1"/>
  <c r="AK8" i="26" s="1"/>
  <c r="O36" i="26"/>
  <c r="K36" i="26"/>
  <c r="X17" i="26"/>
  <c r="AK10" i="26" s="1"/>
  <c r="AD5" i="26"/>
  <c r="AD17" i="26" s="1"/>
  <c r="AK5" i="26" s="1"/>
  <c r="B81" i="10"/>
  <c r="E7" i="34"/>
  <c r="C8" i="34"/>
  <c r="Q4" i="5"/>
  <c r="C5" i="34"/>
  <c r="P12" i="5"/>
  <c r="D5" i="34" s="1"/>
  <c r="S17" i="5"/>
  <c r="D86" i="5" s="1"/>
  <c r="O17" i="26"/>
  <c r="Q17" i="5"/>
  <c r="F72" i="10"/>
  <c r="N12" i="5"/>
  <c r="R12" i="5" s="1"/>
  <c r="S6" i="7"/>
  <c r="J6" i="7"/>
  <c r="AG5" i="7"/>
  <c r="X5" i="7"/>
  <c r="C12" i="34" s="1"/>
  <c r="J7" i="7"/>
  <c r="S7" i="7"/>
  <c r="N14" i="5"/>
  <c r="R14" i="5" s="1"/>
  <c r="D6" i="7"/>
  <c r="K13" i="5"/>
  <c r="C6" i="34" s="1"/>
  <c r="S8" i="7"/>
  <c r="J8" i="7"/>
  <c r="K11" i="5"/>
  <c r="C4" i="34" s="1"/>
  <c r="M4" i="26"/>
  <c r="K17" i="26"/>
  <c r="E5" i="34" l="1"/>
  <c r="E13" i="3"/>
  <c r="F13" i="3" s="1"/>
  <c r="G13" i="3" s="1"/>
  <c r="H13" i="3" s="1"/>
  <c r="I13" i="3" s="1"/>
  <c r="Q18" i="5"/>
  <c r="C6" i="10"/>
  <c r="P6" i="7"/>
  <c r="Q6" i="7" s="1"/>
  <c r="C9" i="34"/>
  <c r="P7" i="7"/>
  <c r="C10" i="34"/>
  <c r="P8" i="7"/>
  <c r="C11" i="34"/>
  <c r="H72" i="10"/>
  <c r="G72" i="10"/>
  <c r="P13" i="5"/>
  <c r="D6" i="34" s="1"/>
  <c r="E6" i="34" s="1"/>
  <c r="Q5" i="5"/>
  <c r="AG8" i="7"/>
  <c r="X8" i="7"/>
  <c r="C15" i="34" s="1"/>
  <c r="AG7" i="7"/>
  <c r="X7" i="7"/>
  <c r="C14" i="34" s="1"/>
  <c r="AU5" i="7"/>
  <c r="AL5" i="7"/>
  <c r="AG6" i="7"/>
  <c r="X6" i="7"/>
  <c r="C13" i="34" s="1"/>
  <c r="P11" i="5"/>
  <c r="D4" i="34" s="1"/>
  <c r="E4" i="34" s="1"/>
  <c r="Q3" i="5"/>
  <c r="M17" i="26"/>
  <c r="AR5" i="7" l="1"/>
  <c r="C16" i="34"/>
  <c r="Q7" i="5"/>
  <c r="B5" i="37" s="1"/>
  <c r="B6" i="37" s="1"/>
  <c r="B7" i="37" s="1"/>
  <c r="P17" i="5"/>
  <c r="BI5" i="7"/>
  <c r="BN5" i="7" s="1"/>
  <c r="C24" i="34" s="1"/>
  <c r="AZ5" i="7"/>
  <c r="AU8" i="7"/>
  <c r="AL8" i="7"/>
  <c r="AU6" i="7"/>
  <c r="AL6" i="7"/>
  <c r="AU7" i="7"/>
  <c r="AL7" i="7"/>
  <c r="H26" i="6"/>
  <c r="G26" i="6"/>
  <c r="F26" i="6"/>
  <c r="E26" i="6"/>
  <c r="D26" i="6"/>
  <c r="C26" i="6"/>
  <c r="H21" i="6"/>
  <c r="G21" i="6"/>
  <c r="F21" i="6"/>
  <c r="E21" i="6"/>
  <c r="D21" i="6"/>
  <c r="C21" i="6"/>
  <c r="H16" i="6"/>
  <c r="G16" i="6"/>
  <c r="F16" i="6"/>
  <c r="E16" i="6"/>
  <c r="D16" i="6"/>
  <c r="C16" i="6"/>
  <c r="H11" i="6"/>
  <c r="G11" i="6"/>
  <c r="F11" i="6"/>
  <c r="E11" i="6"/>
  <c r="D11" i="6"/>
  <c r="C11" i="6"/>
  <c r="H6" i="6"/>
  <c r="G6" i="6"/>
  <c r="F6" i="6"/>
  <c r="E6" i="6"/>
  <c r="D6" i="6"/>
  <c r="C6" i="6"/>
  <c r="B4" i="2"/>
  <c r="B4" i="3" s="1"/>
  <c r="B4" i="4" s="1"/>
  <c r="E107" i="5"/>
  <c r="F107" i="5" s="1"/>
  <c r="G107" i="5" s="1"/>
  <c r="H107" i="5" s="1"/>
  <c r="I107" i="5" s="1"/>
  <c r="E76" i="5"/>
  <c r="D18" i="4"/>
  <c r="D27" i="4" s="1"/>
  <c r="F5" i="7"/>
  <c r="F6" i="7"/>
  <c r="F7" i="7"/>
  <c r="H7" i="7" s="1"/>
  <c r="G7" i="14" s="1"/>
  <c r="F8" i="7"/>
  <c r="H8" i="7" s="1"/>
  <c r="K5" i="7"/>
  <c r="K6" i="7"/>
  <c r="K7" i="7"/>
  <c r="K8" i="7"/>
  <c r="E17" i="10"/>
  <c r="F17" i="10" s="1"/>
  <c r="G17" i="10" s="1"/>
  <c r="H17" i="10" s="1"/>
  <c r="C3" i="37"/>
  <c r="E38" i="10"/>
  <c r="F38" i="10" s="1"/>
  <c r="G38" i="10" s="1"/>
  <c r="H38" i="10" s="1"/>
  <c r="E43" i="10"/>
  <c r="F43" i="10" s="1"/>
  <c r="G43" i="10" s="1"/>
  <c r="H43" i="10" s="1"/>
  <c r="E44" i="10"/>
  <c r="F44" i="10" s="1"/>
  <c r="G44" i="10" s="1"/>
  <c r="H44" i="10" s="1"/>
  <c r="E45" i="10"/>
  <c r="F45" i="10" s="1"/>
  <c r="G45" i="10" s="1"/>
  <c r="H45" i="10" s="1"/>
  <c r="D66" i="10"/>
  <c r="E15" i="3"/>
  <c r="F15" i="3" s="1"/>
  <c r="G15" i="3" s="1"/>
  <c r="H15" i="3" s="1"/>
  <c r="I15" i="3" s="1"/>
  <c r="C16" i="12"/>
  <c r="D15" i="4"/>
  <c r="D16" i="4"/>
  <c r="C13" i="2"/>
  <c r="X17" i="14"/>
  <c r="Y17" i="14" s="1"/>
  <c r="Z17" i="14" s="1"/>
  <c r="AA17" i="14" s="1"/>
  <c r="C17" i="12"/>
  <c r="C18" i="12"/>
  <c r="C19" i="12"/>
  <c r="C20" i="12"/>
  <c r="E42" i="2"/>
  <c r="C38" i="19" s="1"/>
  <c r="E41" i="2"/>
  <c r="E23" i="2"/>
  <c r="E24" i="2"/>
  <c r="F24" i="2" s="1"/>
  <c r="G24" i="2" s="1"/>
  <c r="H24" i="2" s="1"/>
  <c r="I24" i="2" s="1"/>
  <c r="I26" i="4"/>
  <c r="I31" i="6"/>
  <c r="F76" i="5"/>
  <c r="G76" i="5" s="1"/>
  <c r="H76" i="5" s="1"/>
  <c r="H26" i="4"/>
  <c r="G26" i="4"/>
  <c r="F26" i="4"/>
  <c r="E22" i="2"/>
  <c r="E26" i="4"/>
  <c r="D17" i="4"/>
  <c r="C40" i="2"/>
  <c r="C42" i="2"/>
  <c r="C41" i="2"/>
  <c r="C23" i="2"/>
  <c r="C24" i="2"/>
  <c r="D26" i="4"/>
  <c r="C22" i="2"/>
  <c r="D40" i="4"/>
  <c r="C39" i="2"/>
  <c r="D48" i="4" s="1"/>
  <c r="D6" i="11"/>
  <c r="C23" i="12"/>
  <c r="M25" i="12" s="1"/>
  <c r="K29" i="12"/>
  <c r="D5" i="11"/>
  <c r="C14" i="14"/>
  <c r="D14" i="14"/>
  <c r="E14" i="14"/>
  <c r="M14" i="14"/>
  <c r="N14" i="14"/>
  <c r="O14" i="14"/>
  <c r="P14" i="14"/>
  <c r="Q14" i="14"/>
  <c r="Y14" i="14"/>
  <c r="Z14" i="14"/>
  <c r="AA14" i="14"/>
  <c r="AB14" i="14"/>
  <c r="AC14" i="14"/>
  <c r="AK14" i="14"/>
  <c r="AL14" i="14"/>
  <c r="AM14" i="14"/>
  <c r="AN14" i="14"/>
  <c r="AO14" i="14"/>
  <c r="AW14" i="14"/>
  <c r="AX14" i="14"/>
  <c r="AY14" i="14"/>
  <c r="AZ14" i="14"/>
  <c r="BA14" i="14"/>
  <c r="BI14" i="14"/>
  <c r="BJ14" i="14"/>
  <c r="I15" i="14"/>
  <c r="J15" i="14"/>
  <c r="K15" i="14"/>
  <c r="S15" i="14"/>
  <c r="T15" i="14"/>
  <c r="U15" i="14"/>
  <c r="V15" i="14"/>
  <c r="W15" i="14"/>
  <c r="AE15" i="14"/>
  <c r="AF15" i="14"/>
  <c r="AG15" i="14"/>
  <c r="AH15" i="14"/>
  <c r="AI15" i="14"/>
  <c r="AQ15" i="14"/>
  <c r="AR15" i="14"/>
  <c r="AS15" i="14"/>
  <c r="AT15" i="14"/>
  <c r="AU15" i="14"/>
  <c r="BC15" i="14"/>
  <c r="BD15" i="14"/>
  <c r="BE15" i="14"/>
  <c r="BF15" i="14"/>
  <c r="BG15" i="14"/>
  <c r="C16" i="14"/>
  <c r="D16" i="14"/>
  <c r="E16" i="14"/>
  <c r="M16" i="14"/>
  <c r="N16" i="14"/>
  <c r="O16" i="14"/>
  <c r="P16" i="14"/>
  <c r="Q16" i="14"/>
  <c r="Y16" i="14"/>
  <c r="Z16" i="14"/>
  <c r="AA16" i="14"/>
  <c r="AB16" i="14"/>
  <c r="AC16" i="14"/>
  <c r="AK16" i="14"/>
  <c r="AL16" i="14"/>
  <c r="AM16" i="14"/>
  <c r="AN16" i="14"/>
  <c r="AO16" i="14"/>
  <c r="AW16" i="14"/>
  <c r="AX16" i="14"/>
  <c r="AY16" i="14"/>
  <c r="AZ16" i="14"/>
  <c r="BA16" i="14"/>
  <c r="BI16" i="14"/>
  <c r="BJ16" i="14"/>
  <c r="H17" i="14"/>
  <c r="I17" i="14"/>
  <c r="J17" i="14"/>
  <c r="K17" i="14"/>
  <c r="S17" i="14"/>
  <c r="T17" i="14"/>
  <c r="U17" i="14"/>
  <c r="V17" i="14"/>
  <c r="W17" i="14"/>
  <c r="AE17" i="14"/>
  <c r="AF17" i="14"/>
  <c r="AG17" i="14"/>
  <c r="AH17" i="14"/>
  <c r="AI17" i="14"/>
  <c r="AQ17" i="14"/>
  <c r="AR17" i="14"/>
  <c r="AS17" i="14"/>
  <c r="AT17" i="14"/>
  <c r="AU17" i="14"/>
  <c r="BC17" i="14"/>
  <c r="BD17" i="14"/>
  <c r="BE17" i="14"/>
  <c r="BF17" i="14"/>
  <c r="BG17" i="14"/>
  <c r="B8" i="14"/>
  <c r="B17" i="14" s="1"/>
  <c r="B7" i="14"/>
  <c r="B16" i="14" s="1"/>
  <c r="B6" i="14"/>
  <c r="B15" i="14" s="1"/>
  <c r="B5" i="14"/>
  <c r="B14" i="14" s="1"/>
  <c r="H8" i="15"/>
  <c r="E36" i="2"/>
  <c r="F36" i="2" s="1"/>
  <c r="G36" i="2" s="1"/>
  <c r="H36" i="2" s="1"/>
  <c r="I36" i="2" s="1"/>
  <c r="E25" i="2"/>
  <c r="I24" i="5"/>
  <c r="I25" i="5"/>
  <c r="I28" i="5"/>
  <c r="C20" i="10" s="1"/>
  <c r="I33" i="5"/>
  <c r="C25" i="10" s="1"/>
  <c r="D25" i="10" s="1"/>
  <c r="I34" i="5"/>
  <c r="C26" i="10" s="1"/>
  <c r="D26" i="10" s="1"/>
  <c r="E40" i="10"/>
  <c r="F40" i="10" s="1"/>
  <c r="G40" i="10" s="1"/>
  <c r="H40" i="10" s="1"/>
  <c r="I43" i="5"/>
  <c r="D8" i="7"/>
  <c r="N11" i="5"/>
  <c r="R11" i="5" s="1"/>
  <c r="C77" i="10" s="1"/>
  <c r="D7" i="11"/>
  <c r="D9" i="11"/>
  <c r="D8" i="11"/>
  <c r="F73" i="5"/>
  <c r="D74" i="5"/>
  <c r="D36" i="4"/>
  <c r="C74" i="5"/>
  <c r="C16" i="2" s="1"/>
  <c r="C20" i="2" s="1"/>
  <c r="A46" i="10"/>
  <c r="A45" i="10"/>
  <c r="A44" i="10"/>
  <c r="A43" i="10"/>
  <c r="A41" i="10"/>
  <c r="A40" i="10"/>
  <c r="A39" i="10"/>
  <c r="A38" i="10"/>
  <c r="A37" i="10"/>
  <c r="A26" i="10"/>
  <c r="A25" i="10"/>
  <c r="A24" i="10"/>
  <c r="A23" i="10"/>
  <c r="A22" i="10"/>
  <c r="A20" i="10"/>
  <c r="A18" i="10"/>
  <c r="A17" i="10"/>
  <c r="A14" i="5"/>
  <c r="A13" i="5"/>
  <c r="A12" i="5"/>
  <c r="A11" i="5"/>
  <c r="D4" i="5"/>
  <c r="B59" i="10"/>
  <c r="C8" i="3"/>
  <c r="C11" i="3" s="1"/>
  <c r="C9" i="3"/>
  <c r="C14" i="3"/>
  <c r="C16" i="3"/>
  <c r="C20" i="3"/>
  <c r="C18" i="4" s="1"/>
  <c r="C23" i="3"/>
  <c r="C15" i="4" s="1"/>
  <c r="C29" i="3"/>
  <c r="C16" i="4" s="1"/>
  <c r="C12" i="2"/>
  <c r="C32" i="2"/>
  <c r="C36" i="2"/>
  <c r="C25" i="2"/>
  <c r="B3" i="16"/>
  <c r="E6" i="16" s="1"/>
  <c r="F6" i="16" s="1"/>
  <c r="G6" i="16" s="1"/>
  <c r="H6" i="16" s="1"/>
  <c r="I6" i="16" s="1"/>
  <c r="B2" i="16"/>
  <c r="B1" i="16"/>
  <c r="N1" i="15"/>
  <c r="Z1" i="15" s="1"/>
  <c r="AL1" i="15" s="1"/>
  <c r="AX1" i="15" s="1"/>
  <c r="K5" i="5"/>
  <c r="E12" i="14" s="1"/>
  <c r="K4" i="5"/>
  <c r="C71" i="5"/>
  <c r="C7" i="4"/>
  <c r="A2" i="4"/>
  <c r="A1" i="4"/>
  <c r="I51" i="5"/>
  <c r="A54" i="10"/>
  <c r="A36" i="10"/>
  <c r="A16" i="10"/>
  <c r="A15" i="10"/>
  <c r="A14" i="10"/>
  <c r="Q4" i="7"/>
  <c r="AE4" i="7" s="1"/>
  <c r="AS4" i="7" s="1"/>
  <c r="BG4" i="7" s="1"/>
  <c r="BU4" i="7" s="1"/>
  <c r="P4" i="7"/>
  <c r="AD4" i="7" s="1"/>
  <c r="AR4" i="7" s="1"/>
  <c r="BF4" i="7" s="1"/>
  <c r="BT4" i="7" s="1"/>
  <c r="K4" i="7"/>
  <c r="Y4" i="7" s="1"/>
  <c r="AM4" i="7" s="1"/>
  <c r="BA4" i="7" s="1"/>
  <c r="BO4" i="7" s="1"/>
  <c r="J4" i="7"/>
  <c r="X4" i="7" s="1"/>
  <c r="AL4" i="7" s="1"/>
  <c r="AZ4" i="7" s="1"/>
  <c r="BN4" i="7" s="1"/>
  <c r="F4" i="7"/>
  <c r="T4" i="7" s="1"/>
  <c r="AH4" i="7" s="1"/>
  <c r="AV4" i="7" s="1"/>
  <c r="BJ4" i="7" s="1"/>
  <c r="E4" i="7"/>
  <c r="S4" i="7" s="1"/>
  <c r="AG4" i="7" s="1"/>
  <c r="AU4" i="7" s="1"/>
  <c r="BI4" i="7" s="1"/>
  <c r="D4" i="7"/>
  <c r="J105" i="5"/>
  <c r="J104" i="5"/>
  <c r="J103" i="5"/>
  <c r="J101" i="5"/>
  <c r="J100" i="5"/>
  <c r="J99" i="5"/>
  <c r="J97" i="5"/>
  <c r="J96" i="5"/>
  <c r="J95" i="5"/>
  <c r="B2" i="3"/>
  <c r="B1" i="3"/>
  <c r="B2" i="2"/>
  <c r="B1" i="2"/>
  <c r="H5" i="7" l="1"/>
  <c r="T5" i="7"/>
  <c r="U5" i="7" s="1"/>
  <c r="W5" i="7" s="1"/>
  <c r="C15" i="10"/>
  <c r="C41" i="10"/>
  <c r="C70" i="10"/>
  <c r="D20" i="10"/>
  <c r="C7" i="3"/>
  <c r="G7" i="2"/>
  <c r="G7" i="3" s="1"/>
  <c r="D4" i="40"/>
  <c r="D50" i="40" s="1"/>
  <c r="C16" i="10"/>
  <c r="D16" i="10" s="1"/>
  <c r="E16" i="10" s="1"/>
  <c r="F16" i="10" s="1"/>
  <c r="G16" i="10" s="1"/>
  <c r="H16" i="10" s="1"/>
  <c r="H16" i="14"/>
  <c r="I16" i="14" s="1"/>
  <c r="J16" i="14" s="1"/>
  <c r="K16" i="14" s="1"/>
  <c r="L16" i="14" s="1"/>
  <c r="H6" i="7"/>
  <c r="R6" i="7"/>
  <c r="E74" i="5"/>
  <c r="F41" i="2"/>
  <c r="C7" i="2"/>
  <c r="AR6" i="7"/>
  <c r="C17" i="34"/>
  <c r="BF5" i="7"/>
  <c r="C20" i="34"/>
  <c r="F7" i="6"/>
  <c r="F8" i="6" s="1"/>
  <c r="F9" i="6" s="1"/>
  <c r="F10" i="6" s="1"/>
  <c r="F12" i="6" s="1"/>
  <c r="AR7" i="7"/>
  <c r="C18" i="34"/>
  <c r="AR8" i="7"/>
  <c r="C19" i="34"/>
  <c r="L5" i="7"/>
  <c r="M5" i="7"/>
  <c r="M8" i="7"/>
  <c r="G5" i="7"/>
  <c r="I5" i="7" s="1"/>
  <c r="F5" i="14"/>
  <c r="BI6" i="7"/>
  <c r="BN6" i="7" s="1"/>
  <c r="C25" i="34" s="1"/>
  <c r="AZ6" i="7"/>
  <c r="D59" i="10"/>
  <c r="E16" i="3" s="1"/>
  <c r="E54" i="10"/>
  <c r="L7" i="7"/>
  <c r="M7" i="7"/>
  <c r="D10" i="34" s="1"/>
  <c r="E10" i="34" s="1"/>
  <c r="BI7" i="7"/>
  <c r="BN7" i="7" s="1"/>
  <c r="C26" i="34" s="1"/>
  <c r="AZ7" i="7"/>
  <c r="L6" i="7"/>
  <c r="M6" i="7"/>
  <c r="AZ8" i="7"/>
  <c r="BI8" i="7"/>
  <c r="BN8" i="7" s="1"/>
  <c r="C27" i="34" s="1"/>
  <c r="R14" i="14"/>
  <c r="F14" i="14"/>
  <c r="Y6" i="7"/>
  <c r="AM6" i="7" s="1"/>
  <c r="L8" i="14"/>
  <c r="L17" i="14"/>
  <c r="M17" i="14" s="1"/>
  <c r="N17" i="14" s="1"/>
  <c r="O17" i="14" s="1"/>
  <c r="P17" i="14" s="1"/>
  <c r="Q17" i="14" s="1"/>
  <c r="E11" i="15"/>
  <c r="R13" i="5"/>
  <c r="R17" i="5" s="1"/>
  <c r="L11" i="15"/>
  <c r="D25" i="4"/>
  <c r="H11" i="15"/>
  <c r="F11" i="15"/>
  <c r="M11" i="15"/>
  <c r="F22" i="2"/>
  <c r="I16" i="6"/>
  <c r="D11" i="15"/>
  <c r="K11" i="15"/>
  <c r="E7" i="6"/>
  <c r="E8" i="6" s="1"/>
  <c r="E9" i="6" s="1"/>
  <c r="E10" i="6" s="1"/>
  <c r="E12" i="6" s="1"/>
  <c r="S18" i="5"/>
  <c r="C15" i="14"/>
  <c r="D15" i="14" s="1"/>
  <c r="E15" i="14" s="1"/>
  <c r="F15" i="14" s="1"/>
  <c r="G22" i="2"/>
  <c r="I21" i="6"/>
  <c r="I26" i="6"/>
  <c r="F40" i="4"/>
  <c r="G73" i="5"/>
  <c r="F12" i="2"/>
  <c r="G71" i="5"/>
  <c r="G94" i="5" s="1"/>
  <c r="C17" i="14"/>
  <c r="D17" i="14" s="1"/>
  <c r="E17" i="14" s="1"/>
  <c r="F17" i="14" s="1"/>
  <c r="G17" i="14" s="1"/>
  <c r="I76" i="5"/>
  <c r="I22" i="2" s="1"/>
  <c r="H22" i="2"/>
  <c r="K12" i="14"/>
  <c r="G12" i="14"/>
  <c r="D12" i="14"/>
  <c r="D5" i="7"/>
  <c r="D7" i="2"/>
  <c r="D71" i="5" s="1"/>
  <c r="H7" i="2"/>
  <c r="H7" i="3" s="1"/>
  <c r="I11" i="6"/>
  <c r="I48" i="5"/>
  <c r="N12" i="14"/>
  <c r="Z12" i="14" s="1"/>
  <c r="J12" i="14"/>
  <c r="C12" i="14"/>
  <c r="E7" i="2"/>
  <c r="I7" i="2"/>
  <c r="I21" i="5"/>
  <c r="I35" i="5"/>
  <c r="J34" i="5" s="1"/>
  <c r="M12" i="14"/>
  <c r="I12" i="14"/>
  <c r="F12" i="14"/>
  <c r="E40" i="4"/>
  <c r="F7" i="2"/>
  <c r="E12" i="2"/>
  <c r="L12" i="14"/>
  <c r="H12" i="14"/>
  <c r="D23" i="17"/>
  <c r="D24" i="17" s="1"/>
  <c r="E24" i="4"/>
  <c r="B64" i="10"/>
  <c r="AI11" i="15"/>
  <c r="Y11" i="15"/>
  <c r="Q11" i="15"/>
  <c r="R11" i="15"/>
  <c r="V11" i="15"/>
  <c r="N11" i="15"/>
  <c r="U11" i="15"/>
  <c r="I5" i="6"/>
  <c r="C37" i="2"/>
  <c r="B11" i="15"/>
  <c r="I11" i="15"/>
  <c r="F29" i="12"/>
  <c r="H7" i="6"/>
  <c r="H8" i="6" s="1"/>
  <c r="H9" i="6" s="1"/>
  <c r="H10" i="6" s="1"/>
  <c r="H12" i="6" s="1"/>
  <c r="D7" i="6"/>
  <c r="D8" i="6" s="1"/>
  <c r="D9" i="6" s="1"/>
  <c r="D10" i="6" s="1"/>
  <c r="D29" i="12"/>
  <c r="C11" i="15"/>
  <c r="G11" i="15"/>
  <c r="J11" i="15"/>
  <c r="H29" i="12"/>
  <c r="E37" i="10"/>
  <c r="F37" i="10" s="1"/>
  <c r="G37" i="10" s="1"/>
  <c r="H37" i="10" s="1"/>
  <c r="D65" i="10"/>
  <c r="E39" i="10"/>
  <c r="C18" i="3"/>
  <c r="C24" i="3" s="1"/>
  <c r="C27" i="3" s="1"/>
  <c r="C32" i="3" s="1"/>
  <c r="B29" i="12"/>
  <c r="Y7" i="7"/>
  <c r="Z7" i="7" s="1"/>
  <c r="B50" i="10"/>
  <c r="D14" i="3" s="1"/>
  <c r="C14" i="2"/>
  <c r="B71" i="10"/>
  <c r="L15" i="14"/>
  <c r="M15" i="14" s="1"/>
  <c r="N15" i="14" s="1"/>
  <c r="O15" i="14" s="1"/>
  <c r="B65" i="10"/>
  <c r="Y5" i="7"/>
  <c r="C25" i="12"/>
  <c r="O11" i="15"/>
  <c r="S11" i="15"/>
  <c r="W11" i="15"/>
  <c r="G6" i="7"/>
  <c r="I6" i="7" s="1"/>
  <c r="T6" i="7"/>
  <c r="C26" i="2"/>
  <c r="P11" i="15"/>
  <c r="T11" i="15"/>
  <c r="X11" i="15"/>
  <c r="AB11" i="15"/>
  <c r="K25" i="12"/>
  <c r="K7" i="15" s="1"/>
  <c r="R5" i="5"/>
  <c r="AD7" i="7"/>
  <c r="G25" i="12"/>
  <c r="G8" i="7"/>
  <c r="I8" i="7" s="1"/>
  <c r="T8" i="7"/>
  <c r="V8" i="7" s="1"/>
  <c r="D24" i="4"/>
  <c r="D41" i="4"/>
  <c r="D44" i="4" s="1"/>
  <c r="E26" i="2"/>
  <c r="F25" i="2"/>
  <c r="G25" i="2" s="1"/>
  <c r="H25" i="2" s="1"/>
  <c r="I25" i="2" s="1"/>
  <c r="J6" i="11"/>
  <c r="E25" i="12"/>
  <c r="I25" i="12"/>
  <c r="L29" i="12"/>
  <c r="C43" i="2"/>
  <c r="C44" i="2" s="1"/>
  <c r="D23" i="4"/>
  <c r="AD5" i="7"/>
  <c r="L8" i="7"/>
  <c r="O8" i="7" s="1"/>
  <c r="Y8" i="7"/>
  <c r="Z8" i="7" s="1"/>
  <c r="G7" i="7"/>
  <c r="I7" i="7" s="1"/>
  <c r="T7" i="7"/>
  <c r="V7" i="7" s="1"/>
  <c r="R7" i="14" s="1"/>
  <c r="G7" i="6"/>
  <c r="C7" i="6"/>
  <c r="E10" i="7"/>
  <c r="I6" i="6"/>
  <c r="E33" i="4" s="1"/>
  <c r="C6" i="16"/>
  <c r="D6" i="16"/>
  <c r="C18" i="11"/>
  <c r="J5" i="11"/>
  <c r="A18" i="11"/>
  <c r="A19" i="11" s="1"/>
  <c r="A20" i="11" s="1"/>
  <c r="B25" i="12"/>
  <c r="E29" i="12"/>
  <c r="F25" i="12"/>
  <c r="I29" i="12"/>
  <c r="J25" i="12"/>
  <c r="M29" i="12"/>
  <c r="M7" i="15" s="1"/>
  <c r="C29" i="12"/>
  <c r="D25" i="12"/>
  <c r="G29" i="12"/>
  <c r="H25" i="12"/>
  <c r="L25" i="12"/>
  <c r="AB17" i="14"/>
  <c r="AC17" i="14" s="1"/>
  <c r="AD17" i="14"/>
  <c r="E23" i="4"/>
  <c r="E36" i="10"/>
  <c r="AD8" i="7"/>
  <c r="P18" i="5"/>
  <c r="H71" i="5" l="1"/>
  <c r="H94" i="5" s="1"/>
  <c r="N23" i="14"/>
  <c r="AH5" i="7"/>
  <c r="G14" i="14"/>
  <c r="F23" i="14"/>
  <c r="F21" i="14"/>
  <c r="E21" i="14"/>
  <c r="D21" i="14"/>
  <c r="C23" i="14"/>
  <c r="O23" i="14"/>
  <c r="C21" i="14"/>
  <c r="S14" i="14"/>
  <c r="N21" i="14"/>
  <c r="M23" i="14"/>
  <c r="V5" i="7"/>
  <c r="S5" i="14" s="1"/>
  <c r="O21" i="14"/>
  <c r="M21" i="14"/>
  <c r="E23" i="14"/>
  <c r="D23" i="14"/>
  <c r="J24" i="5"/>
  <c r="I33" i="4"/>
  <c r="I36" i="4" s="1"/>
  <c r="G33" i="4"/>
  <c r="G36" i="4" s="1"/>
  <c r="D9" i="34"/>
  <c r="E9" i="34" s="1"/>
  <c r="F6" i="14"/>
  <c r="H6" i="14" s="1"/>
  <c r="G6" i="14"/>
  <c r="D11" i="34"/>
  <c r="E11" i="34" s="1"/>
  <c r="G8" i="14"/>
  <c r="D68" i="40"/>
  <c r="E112" i="40"/>
  <c r="C64" i="10"/>
  <c r="C67" i="10" s="1"/>
  <c r="C32" i="10"/>
  <c r="C7" i="10" s="1"/>
  <c r="C10" i="10" s="1"/>
  <c r="D15" i="10"/>
  <c r="D64" i="10" s="1"/>
  <c r="D67" i="10" s="1"/>
  <c r="E36" i="4"/>
  <c r="F33" i="4"/>
  <c r="F36" i="4" s="1"/>
  <c r="H33" i="4"/>
  <c r="H36" i="4" s="1"/>
  <c r="D41" i="10"/>
  <c r="C50" i="10"/>
  <c r="C71" i="10"/>
  <c r="C73" i="10" s="1"/>
  <c r="H15" i="14"/>
  <c r="G15" i="14"/>
  <c r="D70" i="10"/>
  <c r="E46" i="10"/>
  <c r="G41" i="2"/>
  <c r="BF8" i="7"/>
  <c r="C23" i="34"/>
  <c r="BF7" i="7"/>
  <c r="C22" i="34"/>
  <c r="BF6" i="7"/>
  <c r="C21" i="34"/>
  <c r="L5" i="14"/>
  <c r="D8" i="34"/>
  <c r="E8" i="34" s="1"/>
  <c r="E77" i="10"/>
  <c r="E78" i="10"/>
  <c r="E80" i="10"/>
  <c r="E79" i="10"/>
  <c r="L7" i="14"/>
  <c r="M7" i="14"/>
  <c r="E7" i="15"/>
  <c r="R18" i="5"/>
  <c r="D85" i="5"/>
  <c r="F54" i="10"/>
  <c r="E66" i="10"/>
  <c r="C7" i="15"/>
  <c r="C11" i="4"/>
  <c r="C20" i="4" s="1"/>
  <c r="Z6" i="7"/>
  <c r="G7" i="15"/>
  <c r="AA11" i="15"/>
  <c r="C27" i="2"/>
  <c r="C47" i="2" s="1"/>
  <c r="U6" i="7"/>
  <c r="W6" i="7" s="1"/>
  <c r="V6" i="7"/>
  <c r="Y6" i="14" s="1"/>
  <c r="B67" i="10"/>
  <c r="AM7" i="7"/>
  <c r="BA7" i="7" s="1"/>
  <c r="BB7" i="7" s="1"/>
  <c r="C12" i="16"/>
  <c r="AJ11" i="15"/>
  <c r="M8" i="14"/>
  <c r="Q5" i="7"/>
  <c r="R5" i="7" s="1"/>
  <c r="R3" i="5"/>
  <c r="AF11" i="15"/>
  <c r="AE11" i="15"/>
  <c r="N8" i="7"/>
  <c r="R6" i="5"/>
  <c r="Q19" i="5"/>
  <c r="R17" i="14"/>
  <c r="Q8" i="7"/>
  <c r="R8" i="7" s="1"/>
  <c r="F8" i="14"/>
  <c r="AJ5" i="7"/>
  <c r="AD5" i="14" s="1"/>
  <c r="D7" i="7"/>
  <c r="D10" i="7" s="1"/>
  <c r="U12" i="14"/>
  <c r="F39" i="10"/>
  <c r="T12" i="14"/>
  <c r="AA12" i="14"/>
  <c r="C11" i="16"/>
  <c r="I7" i="6"/>
  <c r="AB12" i="14"/>
  <c r="Q12" i="14"/>
  <c r="W12" i="14"/>
  <c r="F7" i="15"/>
  <c r="D7" i="3"/>
  <c r="D7" i="4" s="1"/>
  <c r="AH6" i="7"/>
  <c r="AJ6" i="7" s="1"/>
  <c r="AH12" i="14"/>
  <c r="AC12" i="14"/>
  <c r="AI12" i="14"/>
  <c r="S12" i="14"/>
  <c r="X12" i="14"/>
  <c r="H7" i="15"/>
  <c r="B32" i="10"/>
  <c r="B7" i="10" s="1"/>
  <c r="Y12" i="14"/>
  <c r="AE12" i="14"/>
  <c r="O12" i="14"/>
  <c r="AF12" i="14"/>
  <c r="B70" i="10"/>
  <c r="B73" i="10" s="1"/>
  <c r="O5" i="7"/>
  <c r="AD12" i="14"/>
  <c r="J28" i="5"/>
  <c r="C8" i="16"/>
  <c r="AS12" i="14"/>
  <c r="AL12" i="14"/>
  <c r="BC12" i="14" s="1"/>
  <c r="AR12" i="14"/>
  <c r="AP12" i="14"/>
  <c r="AO12" i="14"/>
  <c r="AU12" i="14"/>
  <c r="AJ12" i="14"/>
  <c r="AN12" i="14"/>
  <c r="AK12" i="14"/>
  <c r="AQ12" i="14"/>
  <c r="V12" i="14"/>
  <c r="I37" i="5"/>
  <c r="E71" i="5"/>
  <c r="E94" i="5" s="1"/>
  <c r="E7" i="3"/>
  <c r="F71" i="5"/>
  <c r="F94" i="5" s="1"/>
  <c r="F7" i="3"/>
  <c r="J33" i="5"/>
  <c r="J25" i="5"/>
  <c r="G40" i="4"/>
  <c r="G12" i="2"/>
  <c r="H73" i="5"/>
  <c r="I73" i="5" s="1"/>
  <c r="J27" i="5"/>
  <c r="J30" i="5"/>
  <c r="J26" i="5"/>
  <c r="J31" i="5"/>
  <c r="J35" i="5"/>
  <c r="J23" i="5"/>
  <c r="J32" i="5"/>
  <c r="J29" i="5"/>
  <c r="I71" i="5"/>
  <c r="I94" i="5" s="1"/>
  <c r="I7" i="3"/>
  <c r="P12" i="14"/>
  <c r="AG12" i="14"/>
  <c r="R12" i="14"/>
  <c r="E8" i="19"/>
  <c r="G7" i="4"/>
  <c r="E8" i="17"/>
  <c r="E26" i="17" s="1"/>
  <c r="S10" i="7"/>
  <c r="F14" i="7" s="1"/>
  <c r="J7" i="15"/>
  <c r="AM12" i="14"/>
  <c r="AT12" i="14"/>
  <c r="AG11" i="15"/>
  <c r="AD11" i="15"/>
  <c r="AK11" i="15"/>
  <c r="AC11" i="15"/>
  <c r="AH11" i="15"/>
  <c r="Z11" i="15"/>
  <c r="D7" i="15"/>
  <c r="I7" i="15"/>
  <c r="M19" i="14"/>
  <c r="O7" i="7"/>
  <c r="Z5" i="7"/>
  <c r="AM5" i="7"/>
  <c r="B7" i="15"/>
  <c r="L6" i="14"/>
  <c r="M6" i="14"/>
  <c r="AD6" i="7"/>
  <c r="X15" i="14"/>
  <c r="Y15" i="14" s="1"/>
  <c r="Z15" i="14" s="1"/>
  <c r="AA15" i="14" s="1"/>
  <c r="AD15" i="14" s="1"/>
  <c r="E59" i="10"/>
  <c r="F16" i="3" s="1"/>
  <c r="U8" i="7"/>
  <c r="W8" i="7" s="1"/>
  <c r="AH8" i="7"/>
  <c r="AJ8" i="7" s="1"/>
  <c r="S5" i="5"/>
  <c r="N7" i="7"/>
  <c r="I10" i="7"/>
  <c r="L7" i="15"/>
  <c r="R16" i="14"/>
  <c r="S16" i="14" s="1"/>
  <c r="T16" i="14" s="1"/>
  <c r="U16" i="14" s="1"/>
  <c r="V16" i="14" s="1"/>
  <c r="W16" i="14" s="1"/>
  <c r="X16" i="14" s="1"/>
  <c r="C19" i="14"/>
  <c r="AI5" i="7"/>
  <c r="AK5" i="7" s="1"/>
  <c r="AV5" i="7"/>
  <c r="AM8" i="7"/>
  <c r="AN8" i="7" s="1"/>
  <c r="E13" i="6"/>
  <c r="E14" i="6" s="1"/>
  <c r="E15" i="6" s="1"/>
  <c r="E17" i="6" s="1"/>
  <c r="E18" i="6" s="1"/>
  <c r="E19" i="6" s="1"/>
  <c r="E20" i="6" s="1"/>
  <c r="E22" i="6" s="1"/>
  <c r="E23" i="6" s="1"/>
  <c r="E24" i="6" s="1"/>
  <c r="E25" i="6" s="1"/>
  <c r="E27" i="6" s="1"/>
  <c r="H10" i="7"/>
  <c r="D6" i="10" s="1"/>
  <c r="G8" i="6"/>
  <c r="G9" i="6" s="1"/>
  <c r="G10" i="6" s="1"/>
  <c r="F8" i="19"/>
  <c r="H7" i="4"/>
  <c r="F8" i="17"/>
  <c r="F26" i="17" s="1"/>
  <c r="U7" i="7"/>
  <c r="W7" i="7" s="1"/>
  <c r="AH7" i="7"/>
  <c r="R5" i="14"/>
  <c r="N19" i="14"/>
  <c r="C10" i="16"/>
  <c r="C8" i="6"/>
  <c r="C9" i="6" s="1"/>
  <c r="C10" i="6" s="1"/>
  <c r="C12" i="6" s="1"/>
  <c r="C13" i="6" s="1"/>
  <c r="G5" i="14"/>
  <c r="AN6" i="7"/>
  <c r="BA6" i="7"/>
  <c r="N5" i="7"/>
  <c r="AD14" i="14"/>
  <c r="F13" i="6"/>
  <c r="F14" i="6" s="1"/>
  <c r="F15" i="6" s="1"/>
  <c r="F17" i="6" s="1"/>
  <c r="B20" i="11"/>
  <c r="D20" i="11"/>
  <c r="A21" i="11"/>
  <c r="Y8" i="14"/>
  <c r="X8" i="14"/>
  <c r="E14" i="10"/>
  <c r="E65" i="10"/>
  <c r="F36" i="10"/>
  <c r="C14" i="16"/>
  <c r="C15" i="16"/>
  <c r="B19" i="11"/>
  <c r="D19" i="11"/>
  <c r="D12" i="6"/>
  <c r="H13" i="6"/>
  <c r="H14" i="6" s="1"/>
  <c r="H15" i="6" s="1"/>
  <c r="H17" i="6" s="1"/>
  <c r="AJ17" i="14"/>
  <c r="AK17" i="14" s="1"/>
  <c r="AL17" i="14" s="1"/>
  <c r="AM17" i="14" s="1"/>
  <c r="P15" i="14"/>
  <c r="P23" i="14" s="1"/>
  <c r="R15" i="14"/>
  <c r="O19" i="14"/>
  <c r="M9" i="15"/>
  <c r="I9" i="15"/>
  <c r="E9" i="15"/>
  <c r="L9" i="15"/>
  <c r="G9" i="15"/>
  <c r="B9" i="15"/>
  <c r="K9" i="15"/>
  <c r="F9" i="15"/>
  <c r="J9" i="15"/>
  <c r="D9" i="15"/>
  <c r="H9" i="15"/>
  <c r="C9" i="15"/>
  <c r="H18" i="11"/>
  <c r="D18" i="11"/>
  <c r="B18" i="11"/>
  <c r="D20" i="16"/>
  <c r="D11" i="10" l="1"/>
  <c r="Z23" i="14"/>
  <c r="R23" i="14"/>
  <c r="G19" i="14"/>
  <c r="AE14" i="14"/>
  <c r="AA23" i="14"/>
  <c r="P21" i="14"/>
  <c r="R21" i="14"/>
  <c r="Z21" i="14"/>
  <c r="T14" i="14"/>
  <c r="S23" i="14"/>
  <c r="S21" i="14"/>
  <c r="H14" i="14"/>
  <c r="H19" i="14" s="1"/>
  <c r="G23" i="14"/>
  <c r="G21" i="14"/>
  <c r="Y21" i="14"/>
  <c r="Y23" i="14"/>
  <c r="AA21" i="14"/>
  <c r="E41" i="10"/>
  <c r="F41" i="10" s="1"/>
  <c r="G41" i="10" s="1"/>
  <c r="H41" i="10" s="1"/>
  <c r="D50" i="10"/>
  <c r="E14" i="3" s="1"/>
  <c r="D71" i="10"/>
  <c r="D73" i="10" s="1"/>
  <c r="B75" i="10"/>
  <c r="D32" i="10"/>
  <c r="D7" i="10" s="1"/>
  <c r="E15" i="10"/>
  <c r="F15" i="10" s="1"/>
  <c r="G15" i="10" s="1"/>
  <c r="H15" i="10" s="1"/>
  <c r="C75" i="10"/>
  <c r="E20" i="10"/>
  <c r="E21" i="10"/>
  <c r="F46" i="10"/>
  <c r="E19" i="10"/>
  <c r="AV6" i="7"/>
  <c r="AW6" i="7" s="1"/>
  <c r="H41" i="2"/>
  <c r="BO7" i="7"/>
  <c r="BP7" i="7" s="1"/>
  <c r="E81" i="10"/>
  <c r="D77" i="10"/>
  <c r="D80" i="10"/>
  <c r="G80" i="10" s="1"/>
  <c r="D79" i="10"/>
  <c r="G79" i="10" s="1"/>
  <c r="D78" i="10"/>
  <c r="G78" i="10" s="1"/>
  <c r="F42" i="2"/>
  <c r="F23" i="4" s="1"/>
  <c r="R19" i="5"/>
  <c r="R20" i="5" s="1"/>
  <c r="D22" i="4"/>
  <c r="G54" i="10"/>
  <c r="F66" i="10"/>
  <c r="E23" i="10"/>
  <c r="AI6" i="7"/>
  <c r="AK6" i="7" s="1"/>
  <c r="F23" i="2"/>
  <c r="AN7" i="7"/>
  <c r="AE5" i="14"/>
  <c r="G39" i="10"/>
  <c r="H39" i="10" s="1"/>
  <c r="AE5" i="7"/>
  <c r="AF5" i="7" s="1"/>
  <c r="S3" i="5"/>
  <c r="O6" i="7"/>
  <c r="O10" i="7" s="1"/>
  <c r="R4" i="5"/>
  <c r="V10" i="7"/>
  <c r="D27" i="17" s="1"/>
  <c r="D28" i="17" s="1"/>
  <c r="BB12" i="14"/>
  <c r="AB15" i="14"/>
  <c r="AC15" i="14" s="1"/>
  <c r="AC21" i="14" s="1"/>
  <c r="AY12" i="14"/>
  <c r="BF12" i="14"/>
  <c r="BD12" i="14"/>
  <c r="BG12" i="14"/>
  <c r="Q7" i="7"/>
  <c r="R7" i="7" s="1"/>
  <c r="J10" i="7"/>
  <c r="BA8" i="7"/>
  <c r="BO8" i="7" s="1"/>
  <c r="E26" i="10"/>
  <c r="E25" i="10"/>
  <c r="E24" i="10"/>
  <c r="E18" i="10"/>
  <c r="E22" i="10"/>
  <c r="N6" i="7"/>
  <c r="N10" i="7" s="1"/>
  <c r="C20" i="19" s="1"/>
  <c r="D21" i="16"/>
  <c r="D17" i="16" s="1"/>
  <c r="D18" i="16" s="1"/>
  <c r="AZ12" i="14"/>
  <c r="D8" i="19"/>
  <c r="F7" i="4"/>
  <c r="D8" i="17"/>
  <c r="D26" i="17" s="1"/>
  <c r="AW12" i="14"/>
  <c r="BA12" i="14"/>
  <c r="AX12" i="14"/>
  <c r="AV12" i="14"/>
  <c r="BE12" i="14"/>
  <c r="H40" i="4"/>
  <c r="H12" i="2"/>
  <c r="E33" i="19"/>
  <c r="E2" i="19"/>
  <c r="G8" i="19"/>
  <c r="I7" i="4"/>
  <c r="G8" i="17"/>
  <c r="G26" i="17" s="1"/>
  <c r="C8" i="19"/>
  <c r="E7" i="4"/>
  <c r="C8" i="17"/>
  <c r="C26" i="17" s="1"/>
  <c r="X6" i="14"/>
  <c r="AW11" i="15"/>
  <c r="AO11" i="15"/>
  <c r="AP11" i="15"/>
  <c r="AT11" i="15"/>
  <c r="AL11" i="15"/>
  <c r="AS11" i="15"/>
  <c r="AQ11" i="15"/>
  <c r="AU11" i="15"/>
  <c r="AN11" i="15"/>
  <c r="AV11" i="15"/>
  <c r="AR11" i="15"/>
  <c r="AM11" i="15"/>
  <c r="BA5" i="7"/>
  <c r="AN5" i="7"/>
  <c r="F59" i="10"/>
  <c r="G16" i="3" s="1"/>
  <c r="AX6" i="7"/>
  <c r="AJ15" i="14"/>
  <c r="AK15" i="14" s="1"/>
  <c r="AL15" i="14" s="1"/>
  <c r="AM15" i="14" s="1"/>
  <c r="W10" i="7"/>
  <c r="AW5" i="7"/>
  <c r="AY5" i="7" s="1"/>
  <c r="BJ5" i="7"/>
  <c r="D19" i="14"/>
  <c r="AI8" i="7"/>
  <c r="AK8" i="7" s="1"/>
  <c r="AV8" i="7"/>
  <c r="AX8" i="7" s="1"/>
  <c r="AB7" i="7"/>
  <c r="AC7" i="7"/>
  <c r="AA7" i="7"/>
  <c r="D14" i="34" s="1"/>
  <c r="E14" i="34" s="1"/>
  <c r="AD16" i="14"/>
  <c r="AE16" i="14" s="1"/>
  <c r="AF16" i="14" s="1"/>
  <c r="AG16" i="14" s="1"/>
  <c r="AH16" i="14" s="1"/>
  <c r="AI16" i="14" s="1"/>
  <c r="C27" i="17"/>
  <c r="C28" i="17" s="1"/>
  <c r="I8" i="6"/>
  <c r="E23" i="3" s="1"/>
  <c r="E15" i="4" s="1"/>
  <c r="AG10" i="7"/>
  <c r="H14" i="7" s="1"/>
  <c r="Y19" i="14"/>
  <c r="G12" i="6"/>
  <c r="I10" i="6"/>
  <c r="I12" i="6" s="1"/>
  <c r="C14" i="6"/>
  <c r="C15" i="6" s="1"/>
  <c r="C17" i="6" s="1"/>
  <c r="S19" i="14"/>
  <c r="AP14" i="14"/>
  <c r="AX5" i="7"/>
  <c r="M5" i="14"/>
  <c r="AC5" i="7"/>
  <c r="T3" i="5"/>
  <c r="AB5" i="7"/>
  <c r="AA5" i="7"/>
  <c r="BO6" i="7"/>
  <c r="BP6" i="7" s="1"/>
  <c r="BB6" i="7"/>
  <c r="AI7" i="7"/>
  <c r="AK7" i="7" s="1"/>
  <c r="AV7" i="7"/>
  <c r="AJ7" i="7"/>
  <c r="AD7" i="14" s="1"/>
  <c r="F33" i="19"/>
  <c r="F2" i="19"/>
  <c r="H18" i="6"/>
  <c r="H19" i="6" s="1"/>
  <c r="H20" i="6" s="1"/>
  <c r="H22" i="6" s="1"/>
  <c r="E28" i="6"/>
  <c r="E29" i="6" s="1"/>
  <c r="E30" i="6" s="1"/>
  <c r="E32" i="6" s="1"/>
  <c r="F18" i="6"/>
  <c r="F19" i="6" s="1"/>
  <c r="F20" i="6" s="1"/>
  <c r="F22" i="6" s="1"/>
  <c r="J18" i="11"/>
  <c r="R19" i="14"/>
  <c r="AJ8" i="14"/>
  <c r="AK8" i="14"/>
  <c r="AN17" i="14"/>
  <c r="AO17" i="14" s="1"/>
  <c r="AP17" i="14"/>
  <c r="D13" i="6"/>
  <c r="D14" i="6" s="1"/>
  <c r="D15" i="6" s="1"/>
  <c r="F14" i="10"/>
  <c r="B21" i="11"/>
  <c r="D21" i="11"/>
  <c r="A22" i="11"/>
  <c r="AV17" i="14"/>
  <c r="AW17" i="14" s="1"/>
  <c r="AX17" i="14" s="1"/>
  <c r="AY17" i="14" s="1"/>
  <c r="AK6" i="14"/>
  <c r="AJ6" i="14"/>
  <c r="E18" i="11"/>
  <c r="Q15" i="14"/>
  <c r="G36" i="10"/>
  <c r="F65" i="10"/>
  <c r="K6" i="15"/>
  <c r="D6" i="15"/>
  <c r="I6" i="15"/>
  <c r="C6" i="15"/>
  <c r="M6" i="15"/>
  <c r="L6" i="15"/>
  <c r="G6" i="15"/>
  <c r="F6" i="15"/>
  <c r="B6" i="15"/>
  <c r="J6" i="15"/>
  <c r="H6" i="15"/>
  <c r="E6" i="15"/>
  <c r="BJ6" i="7"/>
  <c r="D75" i="10" l="1"/>
  <c r="AL21" i="14"/>
  <c r="AL23" i="14"/>
  <c r="AM21" i="14"/>
  <c r="U14" i="14"/>
  <c r="T23" i="14"/>
  <c r="T21" i="14"/>
  <c r="AC23" i="14"/>
  <c r="AB23" i="14"/>
  <c r="Q23" i="14"/>
  <c r="Q21" i="14"/>
  <c r="AQ14" i="14"/>
  <c r="AM23" i="14"/>
  <c r="AK21" i="14"/>
  <c r="I14" i="14"/>
  <c r="H23" i="14"/>
  <c r="H21" i="14"/>
  <c r="AK23" i="14"/>
  <c r="AD21" i="14"/>
  <c r="BK5" i="7"/>
  <c r="BM5" i="7" s="1"/>
  <c r="AD23" i="14"/>
  <c r="AB21" i="14"/>
  <c r="AF14" i="14"/>
  <c r="AE23" i="14"/>
  <c r="AE21" i="14"/>
  <c r="C8" i="14"/>
  <c r="H7" i="14"/>
  <c r="C6" i="14"/>
  <c r="B5" i="15" s="1"/>
  <c r="H5" i="14"/>
  <c r="N8" i="14"/>
  <c r="K7" i="14"/>
  <c r="N6" i="14"/>
  <c r="M4" i="15" s="1"/>
  <c r="K5" i="14"/>
  <c r="E8" i="14"/>
  <c r="J7" i="14"/>
  <c r="E6" i="14"/>
  <c r="E9" i="14" s="1"/>
  <c r="J5" i="14"/>
  <c r="D8" i="14"/>
  <c r="I7" i="14"/>
  <c r="D6" i="14"/>
  <c r="C4" i="15" s="1"/>
  <c r="I5" i="14"/>
  <c r="E21" i="16"/>
  <c r="F21" i="10"/>
  <c r="G46" i="10"/>
  <c r="E64" i="10"/>
  <c r="E67" i="10" s="1"/>
  <c r="T6" i="15" s="1"/>
  <c r="D3" i="37"/>
  <c r="I41" i="2"/>
  <c r="D38" i="19"/>
  <c r="BB8" i="7"/>
  <c r="X5" i="14"/>
  <c r="D12" i="34"/>
  <c r="E12" i="34" s="1"/>
  <c r="G77" i="10"/>
  <c r="G81" i="10" s="1"/>
  <c r="D81" i="10"/>
  <c r="B10" i="10"/>
  <c r="Y7" i="14"/>
  <c r="X7" i="14"/>
  <c r="H54" i="10"/>
  <c r="H66" i="10" s="1"/>
  <c r="G66" i="10"/>
  <c r="I9" i="6"/>
  <c r="E32" i="2" s="1"/>
  <c r="E37" i="2" s="1"/>
  <c r="F23" i="10"/>
  <c r="E71" i="10"/>
  <c r="E50" i="10"/>
  <c r="F14" i="3" s="1"/>
  <c r="F24" i="4"/>
  <c r="Y9" i="15" s="1"/>
  <c r="F26" i="2"/>
  <c r="E6" i="10"/>
  <c r="R7" i="5"/>
  <c r="C5" i="37" s="1"/>
  <c r="C6" i="37" s="1"/>
  <c r="C7" i="37" s="1"/>
  <c r="P8" i="5"/>
  <c r="AB8" i="7"/>
  <c r="S6" i="5"/>
  <c r="AP7" i="7"/>
  <c r="T5" i="5"/>
  <c r="C9" i="14"/>
  <c r="E32" i="10"/>
  <c r="E7" i="10" s="1"/>
  <c r="E70" i="10"/>
  <c r="L9" i="14"/>
  <c r="K5" i="15"/>
  <c r="L4" i="15"/>
  <c r="K4" i="15"/>
  <c r="E4" i="15"/>
  <c r="Q10" i="7"/>
  <c r="J4" i="15"/>
  <c r="M10" i="7"/>
  <c r="E20" i="16" s="1"/>
  <c r="AE7" i="7"/>
  <c r="AA8" i="7"/>
  <c r="D15" i="34" s="1"/>
  <c r="E15" i="34" s="1"/>
  <c r="AE8" i="7"/>
  <c r="AF8" i="7" s="1"/>
  <c r="AC8" i="7"/>
  <c r="AB6" i="7"/>
  <c r="G42" i="2"/>
  <c r="G23" i="4" s="1"/>
  <c r="F26" i="10"/>
  <c r="I40" i="4"/>
  <c r="I12" i="2"/>
  <c r="G33" i="19"/>
  <c r="G2" i="19"/>
  <c r="BH12" i="14"/>
  <c r="BI12" i="14"/>
  <c r="BJ12" i="14"/>
  <c r="B31" i="19" s="1"/>
  <c r="C2" i="19"/>
  <c r="C33" i="19"/>
  <c r="E2" i="23"/>
  <c r="E9" i="23" s="1"/>
  <c r="E3" i="17"/>
  <c r="D2" i="19"/>
  <c r="D33" i="19"/>
  <c r="F5" i="15"/>
  <c r="L5" i="15"/>
  <c r="AU10" i="7"/>
  <c r="J14" i="7" s="1"/>
  <c r="BE11" i="15"/>
  <c r="BF11" i="15"/>
  <c r="BB11" i="15"/>
  <c r="BI11" i="15"/>
  <c r="BA11" i="15"/>
  <c r="AX11" i="15"/>
  <c r="BG11" i="15"/>
  <c r="AZ11" i="15"/>
  <c r="BD11" i="15"/>
  <c r="BC11" i="15"/>
  <c r="BH11" i="15"/>
  <c r="AY11" i="15"/>
  <c r="P19" i="14"/>
  <c r="AK10" i="7"/>
  <c r="AV15" i="14"/>
  <c r="AW15" i="14" s="1"/>
  <c r="AW23" i="14" s="1"/>
  <c r="BL6" i="7"/>
  <c r="G59" i="10"/>
  <c r="H16" i="3" s="1"/>
  <c r="F25" i="10"/>
  <c r="AP15" i="14"/>
  <c r="AN15" i="14"/>
  <c r="AN23" i="14" s="1"/>
  <c r="F4" i="15"/>
  <c r="AY6" i="7"/>
  <c r="BO5" i="7"/>
  <c r="BB5" i="7"/>
  <c r="AK19" i="14"/>
  <c r="AE19" i="14"/>
  <c r="M9" i="14"/>
  <c r="G23" i="2"/>
  <c r="F22" i="10"/>
  <c r="F18" i="10"/>
  <c r="U5" i="5"/>
  <c r="AO7" i="7"/>
  <c r="D18" i="34" s="1"/>
  <c r="E18" i="34" s="1"/>
  <c r="AQ7" i="7"/>
  <c r="E19" i="14"/>
  <c r="F24" i="10"/>
  <c r="AJ10" i="7"/>
  <c r="F6" i="10" s="1"/>
  <c r="F19" i="10"/>
  <c r="F20" i="10"/>
  <c r="AP16" i="14"/>
  <c r="AQ16" i="14" s="1"/>
  <c r="AR16" i="14" s="1"/>
  <c r="AS16" i="14" s="1"/>
  <c r="BJ8" i="7"/>
  <c r="BK8" i="7" s="1"/>
  <c r="BM8" i="7" s="1"/>
  <c r="AW8" i="7"/>
  <c r="AY8" i="7" s="1"/>
  <c r="R10" i="7"/>
  <c r="D8" i="10" s="1"/>
  <c r="D10" i="10" s="1"/>
  <c r="C18" i="6"/>
  <c r="C19" i="6" s="1"/>
  <c r="C20" i="6" s="1"/>
  <c r="C22" i="6" s="1"/>
  <c r="Y5" i="14"/>
  <c r="G9" i="14"/>
  <c r="AO5" i="7"/>
  <c r="U3" i="5"/>
  <c r="AQ5" i="7"/>
  <c r="AP5" i="7"/>
  <c r="AQ5" i="14"/>
  <c r="AP5" i="14"/>
  <c r="BT5" i="7"/>
  <c r="BB14" i="14"/>
  <c r="BL5" i="7"/>
  <c r="F2" i="23"/>
  <c r="F9" i="23" s="1"/>
  <c r="F3" i="17"/>
  <c r="BJ7" i="7"/>
  <c r="AW7" i="7"/>
  <c r="AY7" i="7" s="1"/>
  <c r="AX7" i="7"/>
  <c r="AP7" i="14" s="1"/>
  <c r="T19" i="14"/>
  <c r="G13" i="6"/>
  <c r="G14" i="6" s="1"/>
  <c r="G15" i="6" s="1"/>
  <c r="AS5" i="7"/>
  <c r="Z19" i="14"/>
  <c r="BB17" i="14"/>
  <c r="AZ17" i="14"/>
  <c r="BA17" i="14" s="1"/>
  <c r="F23" i="6"/>
  <c r="F24" i="6" s="1"/>
  <c r="F25" i="6" s="1"/>
  <c r="F27" i="6" s="1"/>
  <c r="E33" i="6"/>
  <c r="E34" i="6" s="1"/>
  <c r="BT8" i="7"/>
  <c r="BH17" i="14"/>
  <c r="BI17" i="14" s="1"/>
  <c r="BJ17" i="14" s="1"/>
  <c r="E5" i="15"/>
  <c r="G14" i="10"/>
  <c r="F18" i="11"/>
  <c r="G18" i="11" s="1"/>
  <c r="I18" i="11" s="1"/>
  <c r="AW8" i="14"/>
  <c r="AV8" i="14"/>
  <c r="B22" i="11"/>
  <c r="D22" i="11"/>
  <c r="A23" i="11"/>
  <c r="D17" i="6"/>
  <c r="BK6" i="7"/>
  <c r="AJ16" i="14"/>
  <c r="AF19" i="14"/>
  <c r="AV6" i="14"/>
  <c r="AW6" i="14"/>
  <c r="H36" i="10"/>
  <c r="G65" i="10"/>
  <c r="Q19" i="14"/>
  <c r="BP8" i="7"/>
  <c r="H23" i="6"/>
  <c r="H24" i="6" s="1"/>
  <c r="H25" i="6" s="1"/>
  <c r="H27" i="6" s="1"/>
  <c r="D5" i="15" l="1"/>
  <c r="B4" i="15"/>
  <c r="W9" i="15"/>
  <c r="B30" i="19"/>
  <c r="I9" i="14"/>
  <c r="I5" i="15"/>
  <c r="J5" i="15"/>
  <c r="G4" i="15"/>
  <c r="AP23" i="14"/>
  <c r="D4" i="15"/>
  <c r="N9" i="14"/>
  <c r="D9" i="14"/>
  <c r="M5" i="15"/>
  <c r="C5" i="15"/>
  <c r="BP5" i="7"/>
  <c r="AX15" i="14"/>
  <c r="AW21" i="14"/>
  <c r="H5" i="15"/>
  <c r="AO15" i="14"/>
  <c r="AN21" i="14"/>
  <c r="BC14" i="14"/>
  <c r="AG14" i="14"/>
  <c r="AF23" i="14"/>
  <c r="AF21" i="14"/>
  <c r="AP21" i="14"/>
  <c r="AR14" i="14"/>
  <c r="AQ23" i="14"/>
  <c r="AQ21" i="14"/>
  <c r="J14" i="14"/>
  <c r="I23" i="14"/>
  <c r="I21" i="14"/>
  <c r="I19" i="14"/>
  <c r="V14" i="14"/>
  <c r="U21" i="14"/>
  <c r="U23" i="14"/>
  <c r="K9" i="14"/>
  <c r="G5" i="15"/>
  <c r="H9" i="14"/>
  <c r="I4" i="15"/>
  <c r="H4" i="15"/>
  <c r="J9" i="14"/>
  <c r="H78" i="10"/>
  <c r="B82" i="10"/>
  <c r="G21" i="10"/>
  <c r="S6" i="15"/>
  <c r="X6" i="15"/>
  <c r="N6" i="15"/>
  <c r="R6" i="15"/>
  <c r="U6" i="15"/>
  <c r="V6" i="15"/>
  <c r="P6" i="15"/>
  <c r="Q6" i="15"/>
  <c r="W6" i="15"/>
  <c r="Y6" i="15"/>
  <c r="O6" i="15"/>
  <c r="H46" i="10"/>
  <c r="F7" i="34"/>
  <c r="D9" i="3"/>
  <c r="D11" i="3" s="1"/>
  <c r="D18" i="3" s="1"/>
  <c r="D24" i="3" s="1"/>
  <c r="D27" i="3" s="1"/>
  <c r="D32" i="3" s="1"/>
  <c r="F64" i="10"/>
  <c r="F67" i="10" s="1"/>
  <c r="AI6" i="15" s="1"/>
  <c r="E3" i="37"/>
  <c r="T9" i="15"/>
  <c r="F4" i="34"/>
  <c r="F5" i="34"/>
  <c r="F6" i="34"/>
  <c r="F8" i="34"/>
  <c r="F11" i="34"/>
  <c r="F9" i="34"/>
  <c r="F10" i="34"/>
  <c r="D82" i="10"/>
  <c r="AJ5" i="14"/>
  <c r="D16" i="34"/>
  <c r="E16" i="34" s="1"/>
  <c r="F82" i="10"/>
  <c r="E82" i="10"/>
  <c r="H79" i="10"/>
  <c r="H77" i="10"/>
  <c r="H80" i="10"/>
  <c r="E38" i="19"/>
  <c r="AJ7" i="14"/>
  <c r="AK7" i="14"/>
  <c r="N9" i="15"/>
  <c r="S9" i="15"/>
  <c r="P9" i="15"/>
  <c r="Q9" i="15"/>
  <c r="X9" i="15"/>
  <c r="V9" i="15"/>
  <c r="U9" i="15"/>
  <c r="O9" i="15"/>
  <c r="R9" i="15"/>
  <c r="G23" i="10"/>
  <c r="E73" i="10"/>
  <c r="F9" i="14"/>
  <c r="F71" i="10"/>
  <c r="F50" i="10"/>
  <c r="G14" i="3" s="1"/>
  <c r="BF10" i="7"/>
  <c r="E8" i="3"/>
  <c r="AC6" i="7"/>
  <c r="AC10" i="7" s="1"/>
  <c r="S4" i="5"/>
  <c r="S7" i="5" s="1"/>
  <c r="D5" i="37" s="1"/>
  <c r="D6" i="37" s="1"/>
  <c r="D7" i="37" s="1"/>
  <c r="AS7" i="7"/>
  <c r="AT7" i="7" s="1"/>
  <c r="B29" i="19"/>
  <c r="G25" i="10"/>
  <c r="G18" i="10"/>
  <c r="G20" i="10"/>
  <c r="AA6" i="7"/>
  <c r="D13" i="34" s="1"/>
  <c r="E13" i="34" s="1"/>
  <c r="G19" i="10"/>
  <c r="G24" i="10"/>
  <c r="AE6" i="7"/>
  <c r="AF6" i="7" s="1"/>
  <c r="G22" i="10"/>
  <c r="S8" i="14"/>
  <c r="R8" i="14"/>
  <c r="H42" i="2"/>
  <c r="F38" i="19" s="1"/>
  <c r="T6" i="5"/>
  <c r="G26" i="10"/>
  <c r="D3" i="17"/>
  <c r="D2" i="23"/>
  <c r="D9" i="23" s="1"/>
  <c r="C2" i="23"/>
  <c r="C9" i="23" s="1"/>
  <c r="C3" i="17"/>
  <c r="G2" i="23"/>
  <c r="G9" i="23" s="1"/>
  <c r="G3" i="17"/>
  <c r="W5" i="15"/>
  <c r="AL19" i="14"/>
  <c r="AB10" i="7"/>
  <c r="D20" i="19" s="1"/>
  <c r="BH15" i="14"/>
  <c r="BI15" i="14" s="1"/>
  <c r="BT6" i="7"/>
  <c r="E27" i="17"/>
  <c r="E28" i="17" s="1"/>
  <c r="E40" i="2"/>
  <c r="E22" i="4" s="1"/>
  <c r="BL8" i="7"/>
  <c r="BH8" i="14" s="1"/>
  <c r="BM6" i="7"/>
  <c r="H59" i="10"/>
  <c r="I16" i="3" s="1"/>
  <c r="AW19" i="14"/>
  <c r="AQ19" i="14"/>
  <c r="BC7" i="7"/>
  <c r="D22" i="34" s="1"/>
  <c r="E22" i="34" s="1"/>
  <c r="BE7" i="7"/>
  <c r="F70" i="10"/>
  <c r="H23" i="2"/>
  <c r="G26" i="2"/>
  <c r="G24" i="4"/>
  <c r="AK9" i="15" s="1"/>
  <c r="AY10" i="7"/>
  <c r="F32" i="10"/>
  <c r="F7" i="10" s="1"/>
  <c r="BD7" i="7"/>
  <c r="BT7" i="7"/>
  <c r="BB16" i="14"/>
  <c r="BC16" i="14" s="1"/>
  <c r="BD16" i="14" s="1"/>
  <c r="BE16" i="14" s="1"/>
  <c r="F19" i="14"/>
  <c r="G17" i="6"/>
  <c r="G18" i="6" s="1"/>
  <c r="G19" i="6" s="1"/>
  <c r="G20" i="6" s="1"/>
  <c r="G22" i="6" s="1"/>
  <c r="I15" i="6"/>
  <c r="I17" i="6" s="1"/>
  <c r="C23" i="6"/>
  <c r="C24" i="6" s="1"/>
  <c r="C25" i="6" s="1"/>
  <c r="C27" i="6" s="1"/>
  <c r="BD5" i="7"/>
  <c r="V3" i="5"/>
  <c r="BC5" i="7"/>
  <c r="BE5" i="7"/>
  <c r="AA19" i="14"/>
  <c r="BK7" i="7"/>
  <c r="BM7" i="7" s="1"/>
  <c r="BL7" i="7"/>
  <c r="BB7" i="14" s="1"/>
  <c r="AK5" i="14"/>
  <c r="I13" i="6"/>
  <c r="BI10" i="7"/>
  <c r="K14" i="7" s="1"/>
  <c r="AT5" i="7"/>
  <c r="BG5" i="7"/>
  <c r="W4" i="15"/>
  <c r="X9" i="14"/>
  <c r="U19" i="14"/>
  <c r="AX10" i="7"/>
  <c r="G6" i="10" s="1"/>
  <c r="BB5" i="14"/>
  <c r="BC5" i="14"/>
  <c r="Y9" i="14"/>
  <c r="X4" i="15"/>
  <c r="X5" i="15"/>
  <c r="F28" i="6"/>
  <c r="F29" i="6" s="1"/>
  <c r="F30" i="6" s="1"/>
  <c r="F32" i="6" s="1"/>
  <c r="H28" i="6"/>
  <c r="H29" i="6" s="1"/>
  <c r="H30" i="6" s="1"/>
  <c r="H32" i="6" s="1"/>
  <c r="H65" i="10"/>
  <c r="AG19" i="14"/>
  <c r="AT16" i="14"/>
  <c r="H14" i="10"/>
  <c r="AM19" i="14"/>
  <c r="C19" i="11"/>
  <c r="D18" i="6"/>
  <c r="BI6" i="14"/>
  <c r="BH6" i="14"/>
  <c r="B23" i="11"/>
  <c r="D23" i="11"/>
  <c r="A24" i="11"/>
  <c r="E5" i="10"/>
  <c r="E9" i="3"/>
  <c r="BJ15" i="14" l="1"/>
  <c r="BJ19" i="14" s="1"/>
  <c r="BI21" i="14"/>
  <c r="BD14" i="14"/>
  <c r="BC23" i="14"/>
  <c r="BC21" i="14"/>
  <c r="AS14" i="14"/>
  <c r="AR23" i="14"/>
  <c r="AR21" i="14"/>
  <c r="AH14" i="14"/>
  <c r="AH19" i="14" s="1"/>
  <c r="AG23" i="14"/>
  <c r="AG21" i="14"/>
  <c r="AY15" i="14"/>
  <c r="AX21" i="14"/>
  <c r="AX23" i="14"/>
  <c r="BI23" i="14"/>
  <c r="W14" i="14"/>
  <c r="V23" i="14"/>
  <c r="V21" i="14"/>
  <c r="K14" i="14"/>
  <c r="J23" i="14"/>
  <c r="J21" i="14"/>
  <c r="J19" i="14"/>
  <c r="AO21" i="14"/>
  <c r="AO23" i="14"/>
  <c r="E75" i="10"/>
  <c r="T5" i="14"/>
  <c r="S5" i="15" s="1"/>
  <c r="W5" i="14"/>
  <c r="V4" i="15" s="1"/>
  <c r="V5" i="14"/>
  <c r="V9" i="14" s="1"/>
  <c r="U5" i="14"/>
  <c r="T4" i="15" s="1"/>
  <c r="BG7" i="7"/>
  <c r="BU7" i="7" s="1"/>
  <c r="BV7" i="7" s="1"/>
  <c r="H21" i="10"/>
  <c r="F21" i="16"/>
  <c r="AA6" i="15"/>
  <c r="AG6" i="15"/>
  <c r="AB6" i="15"/>
  <c r="AK6" i="15"/>
  <c r="AF6" i="15"/>
  <c r="AH6" i="15"/>
  <c r="Z6" i="15"/>
  <c r="AE6" i="15"/>
  <c r="AJ6" i="15"/>
  <c r="AC6" i="15"/>
  <c r="AD6" i="15"/>
  <c r="G64" i="10"/>
  <c r="G67" i="10" s="1"/>
  <c r="AN6" i="15" s="1"/>
  <c r="F3" i="37"/>
  <c r="C19" i="19"/>
  <c r="C21" i="19" s="1"/>
  <c r="D13" i="2"/>
  <c r="D14" i="2" s="1"/>
  <c r="D27" i="2" s="1"/>
  <c r="AV5" i="14"/>
  <c r="D20" i="34"/>
  <c r="E20" i="34" s="1"/>
  <c r="F73" i="10"/>
  <c r="F75" i="10" s="1"/>
  <c r="K7" i="34"/>
  <c r="H7" i="34"/>
  <c r="G7" i="34"/>
  <c r="K9" i="34"/>
  <c r="G9" i="34"/>
  <c r="H9" i="34"/>
  <c r="K6" i="34"/>
  <c r="H6" i="34"/>
  <c r="G6" i="34"/>
  <c r="K10" i="34"/>
  <c r="H10" i="34"/>
  <c r="G10" i="34"/>
  <c r="G4" i="34"/>
  <c r="H4" i="34"/>
  <c r="K4" i="34"/>
  <c r="K11" i="34"/>
  <c r="H11" i="34"/>
  <c r="G11" i="34"/>
  <c r="K5" i="34"/>
  <c r="G5" i="34"/>
  <c r="H5" i="34"/>
  <c r="G8" i="34"/>
  <c r="K8" i="34"/>
  <c r="H8" i="34"/>
  <c r="AV7" i="14"/>
  <c r="AW7" i="14"/>
  <c r="Z6" i="14"/>
  <c r="Z8" i="14"/>
  <c r="R6" i="14"/>
  <c r="Q5" i="15" s="1"/>
  <c r="S6" i="14"/>
  <c r="R5" i="15" s="1"/>
  <c r="AE10" i="7"/>
  <c r="O9" i="14"/>
  <c r="H25" i="10"/>
  <c r="G71" i="10"/>
  <c r="G50" i="10"/>
  <c r="H14" i="3" s="1"/>
  <c r="E11" i="3"/>
  <c r="E18" i="3" s="1"/>
  <c r="N4" i="15"/>
  <c r="N5" i="15"/>
  <c r="V5" i="15"/>
  <c r="I42" i="2"/>
  <c r="G38" i="19" s="1"/>
  <c r="G32" i="10"/>
  <c r="G7" i="10" s="1"/>
  <c r="AD9" i="15"/>
  <c r="AJ9" i="15"/>
  <c r="AH9" i="15"/>
  <c r="AI9" i="15"/>
  <c r="AA9" i="15"/>
  <c r="AC9" i="15"/>
  <c r="G70" i="10"/>
  <c r="Z9" i="15"/>
  <c r="AF9" i="15"/>
  <c r="AG9" i="15"/>
  <c r="AE9" i="15"/>
  <c r="AB9" i="15"/>
  <c r="P5" i="15"/>
  <c r="W9" i="14"/>
  <c r="P4" i="15"/>
  <c r="I18" i="6"/>
  <c r="G23" i="3" s="1"/>
  <c r="G15" i="4" s="1"/>
  <c r="O5" i="15"/>
  <c r="Q9" i="14"/>
  <c r="BR7" i="7"/>
  <c r="V5" i="5"/>
  <c r="O4" i="15"/>
  <c r="P9" i="14"/>
  <c r="R9" i="14"/>
  <c r="AF10" i="7"/>
  <c r="BI8" i="14"/>
  <c r="AH9" i="14"/>
  <c r="AS6" i="7"/>
  <c r="AT6" i="7" s="1"/>
  <c r="AA10" i="7"/>
  <c r="F20" i="16" s="1"/>
  <c r="AS8" i="7"/>
  <c r="AT8" i="7" s="1"/>
  <c r="AO8" i="7"/>
  <c r="D19" i="34" s="1"/>
  <c r="E19" i="34" s="1"/>
  <c r="AP8" i="7"/>
  <c r="AQ8" i="7"/>
  <c r="H23" i="4"/>
  <c r="H19" i="10"/>
  <c r="AI5" i="15"/>
  <c r="H18" i="10"/>
  <c r="AJ4" i="15"/>
  <c r="I23" i="2"/>
  <c r="H23" i="10"/>
  <c r="AJ9" i="14"/>
  <c r="AK9" i="14"/>
  <c r="AJ5" i="15"/>
  <c r="AX19" i="14"/>
  <c r="H26" i="2"/>
  <c r="H24" i="4"/>
  <c r="BQ7" i="7"/>
  <c r="D26" i="34" s="1"/>
  <c r="E26" i="34" s="1"/>
  <c r="BS7" i="7"/>
  <c r="AR19" i="14"/>
  <c r="BI19" i="14"/>
  <c r="BC19" i="14"/>
  <c r="AI4" i="15"/>
  <c r="H20" i="10"/>
  <c r="H26" i="10"/>
  <c r="H24" i="10"/>
  <c r="F23" i="3"/>
  <c r="F15" i="4" s="1"/>
  <c r="I14" i="6"/>
  <c r="F32" i="2" s="1"/>
  <c r="F37" i="2" s="1"/>
  <c r="AD19" i="14"/>
  <c r="F27" i="17"/>
  <c r="F28" i="17" s="1"/>
  <c r="V19" i="14"/>
  <c r="AB19" i="14"/>
  <c r="BQ5" i="7"/>
  <c r="BR5" i="7"/>
  <c r="BS5" i="7"/>
  <c r="BM10" i="7"/>
  <c r="D19" i="6"/>
  <c r="D20" i="6" s="1"/>
  <c r="D22" i="6" s="1"/>
  <c r="BH5" i="7"/>
  <c r="BU5" i="7"/>
  <c r="BV5" i="7" s="1"/>
  <c r="H22" i="10"/>
  <c r="AW5" i="14"/>
  <c r="G23" i="6"/>
  <c r="G24" i="6" s="1"/>
  <c r="G25" i="6" s="1"/>
  <c r="G27" i="6" s="1"/>
  <c r="G28" i="6" s="1"/>
  <c r="G29" i="6" s="1"/>
  <c r="G30" i="6" s="1"/>
  <c r="G32" i="6" s="1"/>
  <c r="BL10" i="7"/>
  <c r="BF16" i="14"/>
  <c r="H19" i="11"/>
  <c r="E19" i="11"/>
  <c r="H33" i="6"/>
  <c r="H34" i="6" s="1"/>
  <c r="B24" i="11"/>
  <c r="D24" i="11"/>
  <c r="A25" i="11"/>
  <c r="AN19" i="14"/>
  <c r="C28" i="6"/>
  <c r="C29" i="6" s="1"/>
  <c r="AU16" i="14"/>
  <c r="AP19" i="14"/>
  <c r="F33" i="6"/>
  <c r="F34" i="6" s="1"/>
  <c r="BH7" i="7" l="1"/>
  <c r="S4" i="15"/>
  <c r="U9" i="14"/>
  <c r="T9" i="14"/>
  <c r="U5" i="15"/>
  <c r="Q4" i="15"/>
  <c r="U4" i="15"/>
  <c r="X14" i="14"/>
  <c r="W23" i="14"/>
  <c r="W21" i="14"/>
  <c r="AY21" i="14"/>
  <c r="BB15" i="14"/>
  <c r="BB19" i="14" s="1"/>
  <c r="AZ15" i="14"/>
  <c r="AY23" i="14"/>
  <c r="AY19" i="14"/>
  <c r="T5" i="15"/>
  <c r="L14" i="14"/>
  <c r="K23" i="14"/>
  <c r="K21" i="14"/>
  <c r="K19" i="14"/>
  <c r="BE14" i="14"/>
  <c r="BD23" i="14"/>
  <c r="BD21" i="14"/>
  <c r="AT14" i="14"/>
  <c r="AS21" i="14"/>
  <c r="AS23" i="14"/>
  <c r="AI14" i="14"/>
  <c r="AH23" i="14"/>
  <c r="AH21" i="14"/>
  <c r="BJ21" i="14"/>
  <c r="BJ23" i="14"/>
  <c r="AS6" i="15"/>
  <c r="AW6" i="15"/>
  <c r="AQ6" i="15"/>
  <c r="AO6" i="15"/>
  <c r="AP6" i="15"/>
  <c r="AV6" i="15"/>
  <c r="AM6" i="15"/>
  <c r="AL6" i="15"/>
  <c r="AR6" i="15"/>
  <c r="AU6" i="15"/>
  <c r="AT6" i="15"/>
  <c r="AC8" i="14"/>
  <c r="AC9" i="14" s="1"/>
  <c r="H64" i="10"/>
  <c r="H67" i="10" s="1"/>
  <c r="BH6" i="15" s="1"/>
  <c r="G3" i="37"/>
  <c r="D11" i="4"/>
  <c r="D20" i="4" s="1"/>
  <c r="D29" i="4" s="1"/>
  <c r="D46" i="4" s="1"/>
  <c r="D50" i="4" s="1"/>
  <c r="I26" i="2"/>
  <c r="D15" i="16"/>
  <c r="D12" i="16"/>
  <c r="I23" i="4"/>
  <c r="I19" i="6"/>
  <c r="G32" i="2" s="1"/>
  <c r="G37" i="2" s="1"/>
  <c r="BH5" i="14"/>
  <c r="D24" i="34"/>
  <c r="E24" i="34" s="1"/>
  <c r="J8" i="34"/>
  <c r="I8" i="34"/>
  <c r="L11" i="34"/>
  <c r="P11" i="34" s="1"/>
  <c r="S11" i="34" s="1"/>
  <c r="M11" i="34"/>
  <c r="J6" i="34"/>
  <c r="I6" i="34"/>
  <c r="L9" i="34"/>
  <c r="P9" i="34" s="1"/>
  <c r="S9" i="34" s="1"/>
  <c r="M9" i="34"/>
  <c r="L8" i="34"/>
  <c r="P8" i="34" s="1"/>
  <c r="S8" i="34" s="1"/>
  <c r="M8" i="34"/>
  <c r="L5" i="34"/>
  <c r="P5" i="34" s="1"/>
  <c r="S5" i="34" s="1"/>
  <c r="M5" i="34"/>
  <c r="L4" i="34"/>
  <c r="P4" i="34" s="1"/>
  <c r="S4" i="34" s="1"/>
  <c r="M4" i="34"/>
  <c r="J10" i="34"/>
  <c r="I10" i="34"/>
  <c r="M6" i="34"/>
  <c r="L6" i="34"/>
  <c r="P6" i="34" s="1"/>
  <c r="S6" i="34" s="1"/>
  <c r="J4" i="34"/>
  <c r="I4" i="34"/>
  <c r="M10" i="34"/>
  <c r="L10" i="34"/>
  <c r="P10" i="34" s="1"/>
  <c r="S10" i="34" s="1"/>
  <c r="J9" i="34"/>
  <c r="I9" i="34"/>
  <c r="I7" i="34"/>
  <c r="J7" i="34"/>
  <c r="J5" i="34"/>
  <c r="I5" i="34"/>
  <c r="I11" i="34"/>
  <c r="J11" i="34"/>
  <c r="L7" i="34"/>
  <c r="P7" i="34" s="1"/>
  <c r="S7" i="34" s="1"/>
  <c r="M7" i="34"/>
  <c r="Y5" i="15"/>
  <c r="Y4" i="15"/>
  <c r="BH7" i="14"/>
  <c r="BI7" i="14"/>
  <c r="Z9" i="14"/>
  <c r="AA8" i="14"/>
  <c r="AB8" i="14"/>
  <c r="AB9" i="14" s="1"/>
  <c r="G73" i="10"/>
  <c r="G75" i="10" s="1"/>
  <c r="AA6" i="14"/>
  <c r="I20" i="6"/>
  <c r="I22" i="6" s="1"/>
  <c r="E8" i="10"/>
  <c r="H71" i="10"/>
  <c r="H50" i="10"/>
  <c r="I14" i="3" s="1"/>
  <c r="AT9" i="15"/>
  <c r="AO9" i="15"/>
  <c r="F8" i="3"/>
  <c r="AR9" i="15"/>
  <c r="G21" i="16"/>
  <c r="AQ6" i="7"/>
  <c r="AQ10" i="7" s="1"/>
  <c r="AL9" i="15"/>
  <c r="AQ9" i="15"/>
  <c r="AN9" i="15"/>
  <c r="AI9" i="14"/>
  <c r="AP6" i="7"/>
  <c r="AP10" i="7" s="1"/>
  <c r="E20" i="19" s="1"/>
  <c r="AF4" i="15"/>
  <c r="AK4" i="15"/>
  <c r="AO6" i="7"/>
  <c r="D17" i="34" s="1"/>
  <c r="E17" i="34" s="1"/>
  <c r="T4" i="5"/>
  <c r="T7" i="5" s="1"/>
  <c r="E5" i="37" s="1"/>
  <c r="E6" i="37" s="1"/>
  <c r="E7" i="37" s="1"/>
  <c r="AH4" i="15"/>
  <c r="AH5" i="15"/>
  <c r="S9" i="14"/>
  <c r="R4" i="15"/>
  <c r="AL9" i="14"/>
  <c r="AK5" i="15"/>
  <c r="AF5" i="15"/>
  <c r="AG4" i="15"/>
  <c r="AG5" i="15"/>
  <c r="AG9" i="14"/>
  <c r="AW9" i="15"/>
  <c r="F40" i="2"/>
  <c r="F22" i="4" s="1"/>
  <c r="I24" i="4"/>
  <c r="AD8" i="14"/>
  <c r="AE8" i="14"/>
  <c r="U6" i="5"/>
  <c r="AV9" i="14"/>
  <c r="AV5" i="15"/>
  <c r="AP9" i="15"/>
  <c r="AV9" i="15"/>
  <c r="AS9" i="15"/>
  <c r="AU4" i="15"/>
  <c r="AU9" i="15"/>
  <c r="AM9" i="15"/>
  <c r="AW9" i="14"/>
  <c r="H70" i="10"/>
  <c r="AS10" i="7"/>
  <c r="AU5" i="15"/>
  <c r="H32" i="10"/>
  <c r="H7" i="10" s="1"/>
  <c r="AS19" i="14"/>
  <c r="BI5" i="14"/>
  <c r="AC19" i="14"/>
  <c r="AV4" i="15"/>
  <c r="W19" i="14"/>
  <c r="G33" i="6"/>
  <c r="G34" i="6" s="1"/>
  <c r="BD19" i="14"/>
  <c r="D23" i="6"/>
  <c r="I23" i="6" s="1"/>
  <c r="H23" i="3" s="1"/>
  <c r="H15" i="4" s="1"/>
  <c r="BG16" i="14"/>
  <c r="H6" i="10"/>
  <c r="G27" i="17"/>
  <c r="G28" i="17" s="1"/>
  <c r="C31" i="17" s="1"/>
  <c r="AV16" i="14"/>
  <c r="B25" i="11"/>
  <c r="D25" i="11"/>
  <c r="A26" i="11"/>
  <c r="AI19" i="14"/>
  <c r="J19" i="11"/>
  <c r="AZ19" i="14"/>
  <c r="AO19" i="14"/>
  <c r="C30" i="6"/>
  <c r="F19" i="11"/>
  <c r="G19" i="11" s="1"/>
  <c r="I19" i="11" s="1"/>
  <c r="AJ14" i="14" l="1"/>
  <c r="AI23" i="14"/>
  <c r="AI21" i="14"/>
  <c r="BF14" i="14"/>
  <c r="BE23" i="14"/>
  <c r="BE21" i="14"/>
  <c r="L23" i="14"/>
  <c r="L21" i="14"/>
  <c r="L19" i="14"/>
  <c r="BA15" i="14"/>
  <c r="AZ21" i="14"/>
  <c r="AZ23" i="14"/>
  <c r="AU14" i="14"/>
  <c r="AT23" i="14"/>
  <c r="AT21" i="14"/>
  <c r="BB23" i="14"/>
  <c r="BB21" i="14"/>
  <c r="X23" i="14"/>
  <c r="X21" i="14"/>
  <c r="BA6" i="15"/>
  <c r="BB6" i="15"/>
  <c r="BF6" i="15"/>
  <c r="AZ6" i="15"/>
  <c r="BC6" i="15"/>
  <c r="BE6" i="15"/>
  <c r="AX6" i="15"/>
  <c r="BG6" i="15"/>
  <c r="BI6" i="15"/>
  <c r="AY6" i="15"/>
  <c r="BD6" i="15"/>
  <c r="AB4" i="15"/>
  <c r="AB5" i="15"/>
  <c r="BI9" i="15"/>
  <c r="E48" i="4"/>
  <c r="D39" i="2"/>
  <c r="D19" i="19"/>
  <c r="D21" i="19" s="1"/>
  <c r="AA5" i="15"/>
  <c r="AA4" i="15"/>
  <c r="AO10" i="7"/>
  <c r="G8" i="3" s="1"/>
  <c r="E19" i="19" s="1"/>
  <c r="E21" i="19" s="1"/>
  <c r="AA9" i="14"/>
  <c r="Q10" i="34"/>
  <c r="R10" i="34"/>
  <c r="Q11" i="34"/>
  <c r="R11" i="34"/>
  <c r="O7" i="34"/>
  <c r="N7" i="34"/>
  <c r="O5" i="34"/>
  <c r="N5" i="34"/>
  <c r="N9" i="34"/>
  <c r="O9" i="34"/>
  <c r="Q7" i="34"/>
  <c r="R7" i="34"/>
  <c r="N10" i="34"/>
  <c r="O10" i="34"/>
  <c r="Q8" i="34"/>
  <c r="R8" i="34"/>
  <c r="Q5" i="34"/>
  <c r="R5" i="34"/>
  <c r="O11" i="34"/>
  <c r="N11" i="34"/>
  <c r="Q9" i="34"/>
  <c r="R9" i="34"/>
  <c r="Q6" i="34"/>
  <c r="R6" i="34"/>
  <c r="O4" i="34"/>
  <c r="N4" i="34"/>
  <c r="O8" i="34"/>
  <c r="N8" i="34"/>
  <c r="R4" i="34"/>
  <c r="Q4" i="34"/>
  <c r="O6" i="34"/>
  <c r="N6" i="34"/>
  <c r="H73" i="10"/>
  <c r="H75" i="10" s="1"/>
  <c r="Z5" i="15"/>
  <c r="Z4" i="15"/>
  <c r="AD6" i="14"/>
  <c r="AC4" i="15" s="1"/>
  <c r="AE6" i="14"/>
  <c r="AD5" i="15" s="1"/>
  <c r="F5" i="10"/>
  <c r="E10" i="10"/>
  <c r="BB9" i="15"/>
  <c r="BD9" i="15"/>
  <c r="BA9" i="15"/>
  <c r="AZ9" i="15"/>
  <c r="AX9" i="15"/>
  <c r="BE9" i="15"/>
  <c r="AY9" i="15"/>
  <c r="BH9" i="15"/>
  <c r="BG9" i="15"/>
  <c r="BF9" i="15"/>
  <c r="BC9" i="15"/>
  <c r="BG6" i="7"/>
  <c r="BH6" i="7" s="1"/>
  <c r="U4" i="5"/>
  <c r="U7" i="5" s="1"/>
  <c r="F5" i="37" s="1"/>
  <c r="F6" i="37" s="1"/>
  <c r="F7" i="37" s="1"/>
  <c r="H21" i="16"/>
  <c r="BH9" i="14"/>
  <c r="BG5" i="15"/>
  <c r="BG4" i="15"/>
  <c r="BE8" i="7"/>
  <c r="BD8" i="7"/>
  <c r="BC8" i="7"/>
  <c r="D23" i="34" s="1"/>
  <c r="E23" i="34" s="1"/>
  <c r="BG8" i="7"/>
  <c r="BH8" i="7" s="1"/>
  <c r="BH4" i="15"/>
  <c r="AT10" i="7"/>
  <c r="G40" i="2" s="1"/>
  <c r="G22" i="4" s="1"/>
  <c r="BI9" i="14"/>
  <c r="BH5" i="15"/>
  <c r="BD6" i="7"/>
  <c r="BC6" i="7"/>
  <c r="D21" i="34" s="1"/>
  <c r="E21" i="34" s="1"/>
  <c r="BE6" i="7"/>
  <c r="AT19" i="14"/>
  <c r="X19" i="14"/>
  <c r="BE19" i="14"/>
  <c r="C20" i="11"/>
  <c r="C32" i="6"/>
  <c r="AJ19" i="14"/>
  <c r="BH16" i="14"/>
  <c r="D24" i="6"/>
  <c r="BA19" i="14"/>
  <c r="B26" i="11"/>
  <c r="D26" i="11"/>
  <c r="A27" i="11"/>
  <c r="BG14" i="14" l="1"/>
  <c r="BF23" i="14"/>
  <c r="BF21" i="14"/>
  <c r="BA21" i="14"/>
  <c r="BA23" i="14"/>
  <c r="AV14" i="14"/>
  <c r="AU23" i="14"/>
  <c r="AU21" i="14"/>
  <c r="AJ23" i="14"/>
  <c r="AJ21" i="14"/>
  <c r="D43" i="2"/>
  <c r="B15" i="15"/>
  <c r="AC5" i="15"/>
  <c r="AD9" i="14"/>
  <c r="F15" i="34"/>
  <c r="F14" i="34"/>
  <c r="F12" i="34"/>
  <c r="F13" i="34"/>
  <c r="BD10" i="7"/>
  <c r="F20" i="19" s="1"/>
  <c r="G20" i="16"/>
  <c r="F9" i="3"/>
  <c r="F11" i="3" s="1"/>
  <c r="F18" i="3" s="1"/>
  <c r="AD4" i="15"/>
  <c r="AP6" i="14"/>
  <c r="AQ6" i="14"/>
  <c r="AE5" i="15"/>
  <c r="AE4" i="15"/>
  <c r="AF9" i="14"/>
  <c r="AR9" i="14"/>
  <c r="AE9" i="14"/>
  <c r="V4" i="5"/>
  <c r="BU6" i="7"/>
  <c r="BV6" i="7" s="1"/>
  <c r="BG10" i="7"/>
  <c r="BC10" i="7"/>
  <c r="BE10" i="7"/>
  <c r="AQ8" i="14"/>
  <c r="AP8" i="14"/>
  <c r="V6" i="5"/>
  <c r="F8" i="10"/>
  <c r="F10" i="10" s="1"/>
  <c r="AN9" i="14"/>
  <c r="AM9" i="14"/>
  <c r="AL5" i="15"/>
  <c r="AL4" i="15"/>
  <c r="AQ4" i="15"/>
  <c r="AQ5" i="15"/>
  <c r="AO9" i="14"/>
  <c r="AN5" i="15"/>
  <c r="AN4" i="15"/>
  <c r="AU9" i="14"/>
  <c r="AT5" i="15"/>
  <c r="AT4" i="15"/>
  <c r="BQ6" i="7"/>
  <c r="D25" i="34" s="1"/>
  <c r="E25" i="34" s="1"/>
  <c r="BR6" i="7"/>
  <c r="BS6" i="7"/>
  <c r="AM5" i="15"/>
  <c r="AM4" i="15"/>
  <c r="AW4" i="15"/>
  <c r="AX9" i="14"/>
  <c r="AW5" i="15"/>
  <c r="AR5" i="15"/>
  <c r="AS9" i="14"/>
  <c r="AR4" i="15"/>
  <c r="AS4" i="15"/>
  <c r="AS5" i="15"/>
  <c r="AT9" i="14"/>
  <c r="AU19" i="14"/>
  <c r="BF19" i="14"/>
  <c r="C33" i="6"/>
  <c r="H20" i="11"/>
  <c r="E20" i="11"/>
  <c r="D25" i="6"/>
  <c r="I24" i="6"/>
  <c r="H32" i="2" s="1"/>
  <c r="H37" i="2" s="1"/>
  <c r="B27" i="11"/>
  <c r="D27" i="11"/>
  <c r="A28" i="11"/>
  <c r="AV23" i="14" l="1"/>
  <c r="AV21" i="14"/>
  <c r="BH14" i="14"/>
  <c r="BG23" i="14"/>
  <c r="BG21" i="14"/>
  <c r="D44" i="2"/>
  <c r="D8" i="16"/>
  <c r="AP5" i="15"/>
  <c r="F19" i="34"/>
  <c r="F17" i="34"/>
  <c r="F16" i="34"/>
  <c r="F18" i="34"/>
  <c r="G12" i="34"/>
  <c r="H12" i="34"/>
  <c r="K12" i="34"/>
  <c r="K13" i="34"/>
  <c r="G13" i="34"/>
  <c r="H13" i="34"/>
  <c r="K14" i="34"/>
  <c r="G14" i="34"/>
  <c r="H14" i="34"/>
  <c r="K15" i="34"/>
  <c r="G15" i="34"/>
  <c r="H15" i="34"/>
  <c r="BB6" i="14"/>
  <c r="BC6" i="14"/>
  <c r="BD9" i="14"/>
  <c r="V7" i="5"/>
  <c r="G5" i="37" s="1"/>
  <c r="G6" i="37" s="1"/>
  <c r="G7" i="37" s="1"/>
  <c r="I21" i="16"/>
  <c r="BH10" i="7"/>
  <c r="H40" i="2" s="1"/>
  <c r="H22" i="4" s="1"/>
  <c r="AY9" i="14"/>
  <c r="AQ9" i="14"/>
  <c r="BU8" i="7"/>
  <c r="BV8" i="7" s="1"/>
  <c r="BR8" i="7"/>
  <c r="BR10" i="7" s="1"/>
  <c r="G20" i="19" s="1"/>
  <c r="BS8" i="7"/>
  <c r="BS10" i="7" s="1"/>
  <c r="BQ8" i="7"/>
  <c r="BA9" i="14"/>
  <c r="G5" i="10"/>
  <c r="G9" i="3"/>
  <c r="G11" i="3" s="1"/>
  <c r="G18" i="3" s="1"/>
  <c r="BF5" i="15"/>
  <c r="AZ5" i="15"/>
  <c r="BG9" i="14"/>
  <c r="AP9" i="14"/>
  <c r="AP4" i="15"/>
  <c r="AO4" i="15"/>
  <c r="AO5" i="15"/>
  <c r="BF4" i="15"/>
  <c r="AZ4" i="15"/>
  <c r="H8" i="3"/>
  <c r="H20" i="16"/>
  <c r="AV19" i="14"/>
  <c r="BG19" i="14"/>
  <c r="J20" i="11"/>
  <c r="D27" i="6"/>
  <c r="I25" i="6"/>
  <c r="I27" i="6" s="1"/>
  <c r="B28" i="11"/>
  <c r="D28" i="11"/>
  <c r="A29" i="11"/>
  <c r="C34" i="6"/>
  <c r="F20" i="11"/>
  <c r="G20" i="11" s="1"/>
  <c r="I20" i="11" s="1"/>
  <c r="BH23" i="14" l="1"/>
  <c r="BH21" i="14"/>
  <c r="D47" i="2"/>
  <c r="D14" i="16"/>
  <c r="D11" i="16"/>
  <c r="D10" i="16"/>
  <c r="BQ10" i="7"/>
  <c r="I20" i="16" s="1"/>
  <c r="D27" i="34"/>
  <c r="E27" i="34" s="1"/>
  <c r="J14" i="34"/>
  <c r="I14" i="34"/>
  <c r="K19" i="34"/>
  <c r="H19" i="34"/>
  <c r="G19" i="34"/>
  <c r="J15" i="34"/>
  <c r="I15" i="34"/>
  <c r="L13" i="34"/>
  <c r="P13" i="34" s="1"/>
  <c r="S13" i="34" s="1"/>
  <c r="M13" i="34"/>
  <c r="G16" i="34"/>
  <c r="K16" i="34"/>
  <c r="H16" i="34"/>
  <c r="M14" i="34"/>
  <c r="L14" i="34"/>
  <c r="P14" i="34" s="1"/>
  <c r="S14" i="34" s="1"/>
  <c r="L12" i="34"/>
  <c r="P12" i="34" s="1"/>
  <c r="S12" i="34" s="1"/>
  <c r="M12" i="34"/>
  <c r="K17" i="34"/>
  <c r="G17" i="34"/>
  <c r="H17" i="34"/>
  <c r="L15" i="34"/>
  <c r="P15" i="34" s="1"/>
  <c r="S15" i="34" s="1"/>
  <c r="M15" i="34"/>
  <c r="J13" i="34"/>
  <c r="I13" i="34"/>
  <c r="I12" i="34"/>
  <c r="J12" i="34"/>
  <c r="K18" i="34"/>
  <c r="G18" i="34"/>
  <c r="H18" i="34"/>
  <c r="BI5" i="15"/>
  <c r="AX4" i="15"/>
  <c r="BE9" i="14"/>
  <c r="AX5" i="15"/>
  <c r="BF9" i="14"/>
  <c r="BD4" i="15"/>
  <c r="BI4" i="15"/>
  <c r="BJ9" i="14"/>
  <c r="AZ9" i="14"/>
  <c r="BD5" i="15"/>
  <c r="G8" i="10"/>
  <c r="H5" i="10" s="1"/>
  <c r="BE4" i="15"/>
  <c r="BE5" i="15"/>
  <c r="BC4" i="15"/>
  <c r="BC5" i="15"/>
  <c r="AY5" i="15"/>
  <c r="AY4" i="15"/>
  <c r="BU10" i="7"/>
  <c r="BV10" i="7"/>
  <c r="I40" i="2" s="1"/>
  <c r="I22" i="4" s="1"/>
  <c r="BB8" i="14"/>
  <c r="BB9" i="14" s="1"/>
  <c r="BC8" i="14"/>
  <c r="BB4" i="15" s="1"/>
  <c r="F19" i="19"/>
  <c r="F21" i="19" s="1"/>
  <c r="BH19" i="14"/>
  <c r="B29" i="11"/>
  <c r="D29" i="11"/>
  <c r="A30" i="11"/>
  <c r="C21" i="11"/>
  <c r="D28" i="6"/>
  <c r="I28" i="6" s="1"/>
  <c r="I23" i="3" s="1"/>
  <c r="I15" i="4" s="1"/>
  <c r="I8" i="3" l="1"/>
  <c r="Q15" i="34"/>
  <c r="R15" i="34"/>
  <c r="Q13" i="34"/>
  <c r="R13" i="34"/>
  <c r="Q12" i="34"/>
  <c r="R12" i="34"/>
  <c r="Q14" i="34"/>
  <c r="R14" i="34"/>
  <c r="M18" i="34"/>
  <c r="L18" i="34"/>
  <c r="P18" i="34" s="1"/>
  <c r="S18" i="34" s="1"/>
  <c r="O15" i="34"/>
  <c r="N15" i="34"/>
  <c r="M17" i="34"/>
  <c r="L17" i="34"/>
  <c r="P17" i="34" s="1"/>
  <c r="S17" i="34" s="1"/>
  <c r="N14" i="34"/>
  <c r="O14" i="34"/>
  <c r="J18" i="34"/>
  <c r="I18" i="34"/>
  <c r="O12" i="34"/>
  <c r="N12" i="34"/>
  <c r="N13" i="34"/>
  <c r="O13" i="34"/>
  <c r="J17" i="34"/>
  <c r="I17" i="34"/>
  <c r="J16" i="34"/>
  <c r="I16" i="34"/>
  <c r="L16" i="34"/>
  <c r="P16" i="34" s="1"/>
  <c r="S16" i="34" s="1"/>
  <c r="M16" i="34"/>
  <c r="J19" i="34"/>
  <c r="I19" i="34"/>
  <c r="L19" i="34"/>
  <c r="P19" i="34" s="1"/>
  <c r="S19" i="34" s="1"/>
  <c r="M19" i="34"/>
  <c r="G10" i="10"/>
  <c r="H8" i="10"/>
  <c r="BC9" i="14"/>
  <c r="BA4" i="15"/>
  <c r="BB5" i="15"/>
  <c r="BA5" i="15"/>
  <c r="D29" i="6"/>
  <c r="H21" i="11"/>
  <c r="E21" i="11"/>
  <c r="B30" i="11"/>
  <c r="D30" i="11"/>
  <c r="A31" i="11"/>
  <c r="G19" i="19" l="1"/>
  <c r="G21" i="19" s="1"/>
  <c r="F20" i="34"/>
  <c r="F21" i="34"/>
  <c r="F22" i="34"/>
  <c r="F23" i="34"/>
  <c r="Q19" i="34"/>
  <c r="R19" i="34"/>
  <c r="Q16" i="34"/>
  <c r="R16" i="34"/>
  <c r="N19" i="34"/>
  <c r="O19" i="34"/>
  <c r="O16" i="34"/>
  <c r="N16" i="34"/>
  <c r="Q17" i="34"/>
  <c r="R17" i="34"/>
  <c r="H9" i="3"/>
  <c r="H11" i="3" s="1"/>
  <c r="H18" i="3" s="1"/>
  <c r="Q18" i="34"/>
  <c r="R18" i="34"/>
  <c r="O17" i="34"/>
  <c r="N17" i="34"/>
  <c r="N18" i="34"/>
  <c r="O18" i="34"/>
  <c r="H10" i="10"/>
  <c r="B31" i="11"/>
  <c r="D31" i="11"/>
  <c r="A32" i="11"/>
  <c r="F21" i="11"/>
  <c r="G21" i="11" s="1"/>
  <c r="I21" i="11" s="1"/>
  <c r="J21" i="11"/>
  <c r="D30" i="6"/>
  <c r="I29" i="6"/>
  <c r="I32" i="2" s="1"/>
  <c r="I37" i="2" s="1"/>
  <c r="F24" i="34" l="1"/>
  <c r="F27" i="34"/>
  <c r="F26" i="34"/>
  <c r="F25" i="34"/>
  <c r="K23" i="34"/>
  <c r="H23" i="34"/>
  <c r="G23" i="34"/>
  <c r="K20" i="34"/>
  <c r="G20" i="34"/>
  <c r="H20" i="34"/>
  <c r="I9" i="3"/>
  <c r="I11" i="3" s="1"/>
  <c r="I18" i="3" s="1"/>
  <c r="K21" i="34"/>
  <c r="G21" i="34"/>
  <c r="H21" i="34"/>
  <c r="K22" i="34"/>
  <c r="H22" i="34"/>
  <c r="G22" i="34"/>
  <c r="C22" i="11"/>
  <c r="D32" i="6"/>
  <c r="I30" i="6"/>
  <c r="I32" i="6" s="1"/>
  <c r="B32" i="11"/>
  <c r="D32" i="11"/>
  <c r="A33" i="11"/>
  <c r="J22" i="34" l="1"/>
  <c r="I22" i="34"/>
  <c r="L21" i="34"/>
  <c r="P21" i="34" s="1"/>
  <c r="S21" i="34" s="1"/>
  <c r="M21" i="34"/>
  <c r="K27" i="34"/>
  <c r="G27" i="34"/>
  <c r="H27" i="34"/>
  <c r="L20" i="34"/>
  <c r="P20" i="34" s="1"/>
  <c r="S20" i="34" s="1"/>
  <c r="M20" i="34"/>
  <c r="L22" i="34"/>
  <c r="P22" i="34" s="1"/>
  <c r="S22" i="34" s="1"/>
  <c r="M22" i="34"/>
  <c r="J21" i="34"/>
  <c r="I21" i="34"/>
  <c r="K25" i="34"/>
  <c r="G25" i="34"/>
  <c r="H25" i="34"/>
  <c r="J20" i="34"/>
  <c r="I20" i="34"/>
  <c r="J23" i="34"/>
  <c r="I23" i="34"/>
  <c r="G24" i="34"/>
  <c r="K24" i="34"/>
  <c r="H24" i="34"/>
  <c r="K26" i="34"/>
  <c r="H26" i="34"/>
  <c r="G26" i="34"/>
  <c r="L23" i="34"/>
  <c r="P23" i="34" s="1"/>
  <c r="S23" i="34" s="1"/>
  <c r="M23" i="34"/>
  <c r="D33" i="6"/>
  <c r="I33" i="6" s="1"/>
  <c r="B33" i="11"/>
  <c r="D33" i="11"/>
  <c r="A34" i="11"/>
  <c r="H22" i="11"/>
  <c r="E22" i="11"/>
  <c r="Q23" i="34" l="1"/>
  <c r="R23" i="34"/>
  <c r="Q21" i="34"/>
  <c r="R21" i="34"/>
  <c r="Q22" i="34"/>
  <c r="R22" i="34"/>
  <c r="J25" i="34"/>
  <c r="I25" i="34"/>
  <c r="O20" i="34"/>
  <c r="N20" i="34"/>
  <c r="M27" i="34"/>
  <c r="L27" i="34"/>
  <c r="P27" i="34" s="1"/>
  <c r="S27" i="34" s="1"/>
  <c r="J26" i="34"/>
  <c r="I26" i="34"/>
  <c r="J24" i="34"/>
  <c r="I24" i="34"/>
  <c r="Q20" i="34"/>
  <c r="R20" i="34"/>
  <c r="N21" i="34"/>
  <c r="O21" i="34"/>
  <c r="O23" i="34"/>
  <c r="N23" i="34"/>
  <c r="L26" i="34"/>
  <c r="P26" i="34" s="1"/>
  <c r="S26" i="34" s="1"/>
  <c r="M26" i="34"/>
  <c r="M24" i="34"/>
  <c r="L24" i="34"/>
  <c r="P24" i="34" s="1"/>
  <c r="S24" i="34" s="1"/>
  <c r="M25" i="34"/>
  <c r="L25" i="34"/>
  <c r="P25" i="34" s="1"/>
  <c r="S25" i="34" s="1"/>
  <c r="O22" i="34"/>
  <c r="N22" i="34"/>
  <c r="J27" i="34"/>
  <c r="I27" i="34"/>
  <c r="D34" i="6"/>
  <c r="I34" i="6" s="1"/>
  <c r="F22" i="11"/>
  <c r="G22" i="11" s="1"/>
  <c r="I22" i="11" s="1"/>
  <c r="J22" i="11"/>
  <c r="B34" i="11"/>
  <c r="D34" i="11"/>
  <c r="A35" i="11"/>
  <c r="Q25" i="34" l="1"/>
  <c r="R25" i="34"/>
  <c r="Q26" i="34"/>
  <c r="R26" i="34"/>
  <c r="O25" i="34"/>
  <c r="N25" i="34"/>
  <c r="Q24" i="34"/>
  <c r="R24" i="34"/>
  <c r="N27" i="34"/>
  <c r="O27" i="34"/>
  <c r="Q27" i="34"/>
  <c r="R27" i="34"/>
  <c r="O24" i="34"/>
  <c r="N24" i="34"/>
  <c r="N26" i="34"/>
  <c r="O26" i="34"/>
  <c r="C23" i="11"/>
  <c r="B35" i="11"/>
  <c r="D35" i="11"/>
  <c r="A36" i="11"/>
  <c r="B36" i="11" l="1"/>
  <c r="D36" i="11"/>
  <c r="A37" i="11"/>
  <c r="E23" i="11"/>
  <c r="H23" i="11"/>
  <c r="J23" i="11" s="1"/>
  <c r="B37" i="11" l="1"/>
  <c r="D37" i="11"/>
  <c r="A38" i="11"/>
  <c r="F23" i="11"/>
  <c r="G23" i="11" s="1"/>
  <c r="I23" i="11" s="1"/>
  <c r="C24" i="11" s="1"/>
  <c r="B38" i="11" l="1"/>
  <c r="D38" i="11"/>
  <c r="A39" i="11"/>
  <c r="H24" i="11"/>
  <c r="J24" i="11" s="1"/>
  <c r="E24" i="11"/>
  <c r="B39" i="11" l="1"/>
  <c r="D39" i="11"/>
  <c r="A40" i="11"/>
  <c r="F24" i="11"/>
  <c r="G24" i="11" s="1"/>
  <c r="I24" i="11" s="1"/>
  <c r="C25" i="11" s="1"/>
  <c r="H25" i="11" l="1"/>
  <c r="J25" i="11" s="1"/>
  <c r="E25" i="11"/>
  <c r="B40" i="11"/>
  <c r="D40" i="11"/>
  <c r="A41" i="11"/>
  <c r="B41" i="11" l="1"/>
  <c r="D41" i="11"/>
  <c r="A42" i="11"/>
  <c r="F25" i="11"/>
  <c r="G25" i="11" s="1"/>
  <c r="I25" i="11" s="1"/>
  <c r="C26" i="11" s="1"/>
  <c r="B42" i="11" l="1"/>
  <c r="D42" i="11"/>
  <c r="A43" i="11"/>
  <c r="H26" i="11"/>
  <c r="J26" i="11" s="1"/>
  <c r="E26" i="11"/>
  <c r="F26" i="11" l="1"/>
  <c r="G26" i="11" s="1"/>
  <c r="I26" i="11" s="1"/>
  <c r="C27" i="11" s="1"/>
  <c r="B43" i="11"/>
  <c r="D43" i="11"/>
  <c r="A44" i="11"/>
  <c r="H27" i="11" l="1"/>
  <c r="J27" i="11" s="1"/>
  <c r="E27" i="11"/>
  <c r="B44" i="11"/>
  <c r="D44" i="11"/>
  <c r="A45" i="11"/>
  <c r="F27" i="11" l="1"/>
  <c r="G27" i="11" s="1"/>
  <c r="I27" i="11" s="1"/>
  <c r="C28" i="11" s="1"/>
  <c r="B45" i="11"/>
  <c r="D45" i="11"/>
  <c r="A46" i="11"/>
  <c r="E28" i="11" l="1"/>
  <c r="H28" i="11"/>
  <c r="J28" i="11" s="1"/>
  <c r="B46" i="11"/>
  <c r="D46" i="11"/>
  <c r="A47" i="11"/>
  <c r="B47" i="11" l="1"/>
  <c r="D47" i="11"/>
  <c r="A48" i="11"/>
  <c r="F28" i="11"/>
  <c r="G28" i="11" s="1"/>
  <c r="I28" i="11" s="1"/>
  <c r="C29" i="11" s="1"/>
  <c r="H29" i="11" l="1"/>
  <c r="J29" i="11" s="1"/>
  <c r="E29" i="11"/>
  <c r="B48" i="11"/>
  <c r="D48" i="11"/>
  <c r="A49" i="11"/>
  <c r="B49" i="11" l="1"/>
  <c r="D49" i="11"/>
  <c r="A50" i="11"/>
  <c r="F29" i="11"/>
  <c r="G29" i="11" s="1"/>
  <c r="I29" i="11" s="1"/>
  <c r="C30" i="11" s="1"/>
  <c r="B50" i="11" l="1"/>
  <c r="D50" i="11"/>
  <c r="A51" i="11"/>
  <c r="H30" i="11"/>
  <c r="J30" i="11" s="1"/>
  <c r="E30" i="11"/>
  <c r="F30" i="11" l="1"/>
  <c r="G30" i="11" s="1"/>
  <c r="I30" i="11" s="1"/>
  <c r="C31" i="11" s="1"/>
  <c r="B51" i="11"/>
  <c r="D51" i="11"/>
  <c r="A52" i="11"/>
  <c r="H31" i="11" l="1"/>
  <c r="J31" i="11" s="1"/>
  <c r="E31" i="11"/>
  <c r="B52" i="11"/>
  <c r="D52" i="11"/>
  <c r="A53" i="11"/>
  <c r="B53" i="11" l="1"/>
  <c r="D53" i="11"/>
  <c r="A54" i="11"/>
  <c r="F31" i="11"/>
  <c r="G31" i="11" s="1"/>
  <c r="I31" i="11" s="1"/>
  <c r="C32" i="11" s="1"/>
  <c r="B54" i="11" l="1"/>
  <c r="D54" i="11"/>
  <c r="A55" i="11"/>
  <c r="H32" i="11"/>
  <c r="J32" i="11" s="1"/>
  <c r="E32" i="11"/>
  <c r="B55" i="11" l="1"/>
  <c r="D55" i="11"/>
  <c r="A56" i="11"/>
  <c r="F32" i="11"/>
  <c r="G32" i="11" s="1"/>
  <c r="I32" i="11" s="1"/>
  <c r="C33" i="11" s="1"/>
  <c r="H33" i="11" l="1"/>
  <c r="J33" i="11" s="1"/>
  <c r="E33" i="11"/>
  <c r="B56" i="11"/>
  <c r="D56" i="11"/>
  <c r="A57" i="11"/>
  <c r="B57" i="11" l="1"/>
  <c r="D57" i="11"/>
  <c r="A58" i="11"/>
  <c r="F33" i="11"/>
  <c r="G33" i="11" s="1"/>
  <c r="I33" i="11" s="1"/>
  <c r="C34" i="11" s="1"/>
  <c r="B58" i="11" l="1"/>
  <c r="D58" i="11"/>
  <c r="A59" i="11"/>
  <c r="H34" i="11"/>
  <c r="J34" i="11" s="1"/>
  <c r="E34" i="11"/>
  <c r="F34" i="11" l="1"/>
  <c r="G34" i="11" s="1"/>
  <c r="I34" i="11" s="1"/>
  <c r="C35" i="11" s="1"/>
  <c r="B59" i="11"/>
  <c r="D59" i="11"/>
  <c r="A60" i="11"/>
  <c r="H35" i="11" l="1"/>
  <c r="J35" i="11" s="1"/>
  <c r="E35" i="11"/>
  <c r="B60" i="11"/>
  <c r="D60" i="11"/>
  <c r="A61" i="11"/>
  <c r="F35" i="11" l="1"/>
  <c r="G35" i="11" s="1"/>
  <c r="I35" i="11" s="1"/>
  <c r="C36" i="11" s="1"/>
  <c r="B61" i="11"/>
  <c r="D61" i="11"/>
  <c r="A62" i="11"/>
  <c r="H36" i="11" l="1"/>
  <c r="J36" i="11" s="1"/>
  <c r="E36" i="11"/>
  <c r="B62" i="11"/>
  <c r="D62" i="11"/>
  <c r="A63" i="11"/>
  <c r="B63" i="11" l="1"/>
  <c r="D63" i="11"/>
  <c r="A64" i="11"/>
  <c r="F36" i="11"/>
  <c r="G36" i="11" s="1"/>
  <c r="I36" i="11" s="1"/>
  <c r="C37" i="11" s="1"/>
  <c r="H37" i="11" l="1"/>
  <c r="J37" i="11" s="1"/>
  <c r="E37" i="11"/>
  <c r="B64" i="11"/>
  <c r="D64" i="11"/>
  <c r="A65" i="11"/>
  <c r="B65" i="11" l="1"/>
  <c r="D65" i="11"/>
  <c r="A66" i="11"/>
  <c r="I37" i="11"/>
  <c r="C38" i="11" s="1"/>
  <c r="F37" i="11"/>
  <c r="G37" i="11" s="1"/>
  <c r="H38" i="11" l="1"/>
  <c r="J38" i="11" s="1"/>
  <c r="E38" i="11"/>
  <c r="B66" i="11"/>
  <c r="D66" i="11"/>
  <c r="A67" i="11"/>
  <c r="I38" i="11" l="1"/>
  <c r="C39" i="11" s="1"/>
  <c r="F38" i="11"/>
  <c r="G38" i="11" s="1"/>
  <c r="B67" i="11"/>
  <c r="D67" i="11"/>
  <c r="A68" i="11"/>
  <c r="B68" i="11" l="1"/>
  <c r="D68" i="11"/>
  <c r="A69" i="11"/>
  <c r="H39" i="11"/>
  <c r="J39" i="11" s="1"/>
  <c r="E39" i="11"/>
  <c r="B69" i="11" l="1"/>
  <c r="D69" i="11"/>
  <c r="A70" i="11"/>
  <c r="I39" i="11"/>
  <c r="C40" i="11" s="1"/>
  <c r="F39" i="11"/>
  <c r="G39" i="11" s="1"/>
  <c r="H40" i="11" l="1"/>
  <c r="J40" i="11" s="1"/>
  <c r="E40" i="11"/>
  <c r="B70" i="11"/>
  <c r="D70" i="11"/>
  <c r="A71" i="11"/>
  <c r="F40" i="11" l="1"/>
  <c r="G40" i="11" s="1"/>
  <c r="I40" i="11"/>
  <c r="C41" i="11" s="1"/>
  <c r="B71" i="11"/>
  <c r="D71" i="11"/>
  <c r="A72" i="11"/>
  <c r="B72" i="11" l="1"/>
  <c r="D72" i="11"/>
  <c r="A73" i="11"/>
  <c r="H41" i="11"/>
  <c r="J41" i="11" s="1"/>
  <c r="E41" i="11"/>
  <c r="F41" i="11" l="1"/>
  <c r="G41" i="11" s="1"/>
  <c r="I41" i="11"/>
  <c r="C42" i="11" s="1"/>
  <c r="B73" i="11"/>
  <c r="D73" i="11"/>
  <c r="A74" i="11"/>
  <c r="B74" i="11" l="1"/>
  <c r="D74" i="11"/>
  <c r="A75" i="11"/>
  <c r="H42" i="11"/>
  <c r="J42" i="11" s="1"/>
  <c r="E42" i="11"/>
  <c r="I42" i="11" l="1"/>
  <c r="C43" i="11" s="1"/>
  <c r="F42" i="11"/>
  <c r="G42" i="11" s="1"/>
  <c r="B75" i="11"/>
  <c r="D75" i="11"/>
  <c r="A76" i="11"/>
  <c r="B76" i="11" l="1"/>
  <c r="D76" i="11"/>
  <c r="A77" i="11"/>
  <c r="H43" i="11"/>
  <c r="J43" i="11" s="1"/>
  <c r="E43" i="11"/>
  <c r="F43" i="11" l="1"/>
  <c r="G43" i="11" s="1"/>
  <c r="I43" i="11"/>
  <c r="C44" i="11" s="1"/>
  <c r="B77" i="11"/>
  <c r="D77" i="11"/>
  <c r="A78" i="11"/>
  <c r="B78" i="11" l="1"/>
  <c r="D78" i="11"/>
  <c r="A79" i="11"/>
  <c r="E44" i="11"/>
  <c r="H44" i="11"/>
  <c r="J44" i="11" s="1"/>
  <c r="B79" i="11" l="1"/>
  <c r="D79" i="11"/>
  <c r="A80" i="11"/>
  <c r="I44" i="11"/>
  <c r="C45" i="11" s="1"/>
  <c r="F44" i="11"/>
  <c r="G44" i="11" s="1"/>
  <c r="H45" i="11" l="1"/>
  <c r="J45" i="11" s="1"/>
  <c r="E45" i="11"/>
  <c r="B80" i="11"/>
  <c r="D80" i="11"/>
  <c r="A81" i="11"/>
  <c r="I45" i="11" l="1"/>
  <c r="C46" i="11" s="1"/>
  <c r="F45" i="11"/>
  <c r="G45" i="11" s="1"/>
  <c r="B81" i="11"/>
  <c r="D81" i="11"/>
  <c r="A82" i="11"/>
  <c r="B82" i="11" l="1"/>
  <c r="D82" i="11"/>
  <c r="A83" i="11"/>
  <c r="H46" i="11"/>
  <c r="J46" i="11" s="1"/>
  <c r="E46" i="11"/>
  <c r="I46" i="11" l="1"/>
  <c r="C47" i="11" s="1"/>
  <c r="F46" i="11"/>
  <c r="G46" i="11" s="1"/>
  <c r="B83" i="11"/>
  <c r="D83" i="11"/>
  <c r="A84" i="11"/>
  <c r="H47" i="11" l="1"/>
  <c r="J47" i="11" s="1"/>
  <c r="E47" i="11"/>
  <c r="B84" i="11"/>
  <c r="D84" i="11"/>
  <c r="A85" i="11"/>
  <c r="B85" i="11" l="1"/>
  <c r="D85" i="11"/>
  <c r="A86" i="11"/>
  <c r="F47" i="11"/>
  <c r="G47" i="11" s="1"/>
  <c r="I47" i="11"/>
  <c r="C48" i="11" s="1"/>
  <c r="B86" i="11" l="1"/>
  <c r="D86" i="11"/>
  <c r="A87" i="11"/>
  <c r="E48" i="11"/>
  <c r="H48" i="11"/>
  <c r="J48" i="11" s="1"/>
  <c r="F48" i="11" l="1"/>
  <c r="G48" i="11" s="1"/>
  <c r="I48" i="11"/>
  <c r="C49" i="11" s="1"/>
  <c r="B87" i="11"/>
  <c r="D87" i="11"/>
  <c r="A88" i="11"/>
  <c r="H49" i="11" l="1"/>
  <c r="J49" i="11" s="1"/>
  <c r="E49" i="11"/>
  <c r="B88" i="11"/>
  <c r="D88" i="11"/>
  <c r="A89" i="11"/>
  <c r="B89" i="11" l="1"/>
  <c r="D89" i="11"/>
  <c r="A90" i="11"/>
  <c r="F49" i="11"/>
  <c r="G49" i="11" s="1"/>
  <c r="I49" i="11"/>
  <c r="C50" i="11" s="1"/>
  <c r="B90" i="11" l="1"/>
  <c r="D90" i="11"/>
  <c r="A91" i="11"/>
  <c r="H50" i="11"/>
  <c r="J50" i="11" s="1"/>
  <c r="E50" i="11"/>
  <c r="B91" i="11" l="1"/>
  <c r="D91" i="11"/>
  <c r="A92" i="11"/>
  <c r="I50" i="11"/>
  <c r="C51" i="11" s="1"/>
  <c r="F50" i="11"/>
  <c r="G50" i="11" s="1"/>
  <c r="H51" i="11" l="1"/>
  <c r="J51" i="11" s="1"/>
  <c r="E51" i="11"/>
  <c r="B92" i="11"/>
  <c r="D92" i="11"/>
  <c r="A93" i="11"/>
  <c r="F51" i="11" l="1"/>
  <c r="G51" i="11" s="1"/>
  <c r="I51" i="11"/>
  <c r="C52" i="11" s="1"/>
  <c r="B93" i="11"/>
  <c r="D93" i="11"/>
  <c r="A94" i="11"/>
  <c r="H52" i="11" l="1"/>
  <c r="J52" i="11" s="1"/>
  <c r="E52" i="11"/>
  <c r="B94" i="11"/>
  <c r="D94" i="11"/>
  <c r="A95" i="11"/>
  <c r="F52" i="11" l="1"/>
  <c r="G52" i="11" s="1"/>
  <c r="I52" i="11"/>
  <c r="C53" i="11" s="1"/>
  <c r="B95" i="11"/>
  <c r="D95" i="11"/>
  <c r="A96" i="11"/>
  <c r="B96" i="11" l="1"/>
  <c r="D96" i="11"/>
  <c r="A97" i="11"/>
  <c r="H53" i="11"/>
  <c r="J53" i="11" s="1"/>
  <c r="E53" i="11"/>
  <c r="I53" i="11" l="1"/>
  <c r="C54" i="11" s="1"/>
  <c r="F53" i="11"/>
  <c r="G53" i="11" s="1"/>
  <c r="B97" i="11"/>
  <c r="D97" i="11"/>
  <c r="A98" i="11"/>
  <c r="B98" i="11" l="1"/>
  <c r="D98" i="11"/>
  <c r="A99" i="11"/>
  <c r="H54" i="11"/>
  <c r="J54" i="11" s="1"/>
  <c r="E54" i="11"/>
  <c r="B99" i="11" l="1"/>
  <c r="D99" i="11"/>
  <c r="A100" i="11"/>
  <c r="F54" i="11"/>
  <c r="G54" i="11" s="1"/>
  <c r="I54" i="11"/>
  <c r="C55" i="11" s="1"/>
  <c r="B100" i="11" l="1"/>
  <c r="D100" i="11"/>
  <c r="A101" i="11"/>
  <c r="H55" i="11"/>
  <c r="J55" i="11" s="1"/>
  <c r="E55" i="11"/>
  <c r="B101" i="11" l="1"/>
  <c r="D101" i="11"/>
  <c r="A102" i="11"/>
  <c r="F55" i="11"/>
  <c r="G55" i="11" s="1"/>
  <c r="I55" i="11"/>
  <c r="C56" i="11" s="1"/>
  <c r="B102" i="11" l="1"/>
  <c r="D102" i="11"/>
  <c r="A103" i="11"/>
  <c r="E56" i="11"/>
  <c r="H56" i="11"/>
  <c r="J56" i="11" s="1"/>
  <c r="F56" i="11" l="1"/>
  <c r="G56" i="11" s="1"/>
  <c r="I56" i="11"/>
  <c r="C57" i="11" s="1"/>
  <c r="B103" i="11"/>
  <c r="D103" i="11"/>
  <c r="A104" i="11"/>
  <c r="H57" i="11" l="1"/>
  <c r="J57" i="11" s="1"/>
  <c r="E57" i="11"/>
  <c r="B104" i="11"/>
  <c r="D104" i="11"/>
  <c r="A105" i="11"/>
  <c r="B105" i="11" l="1"/>
  <c r="D105" i="11"/>
  <c r="A106" i="11"/>
  <c r="F57" i="11"/>
  <c r="G57" i="11" s="1"/>
  <c r="I57" i="11"/>
  <c r="C58" i="11" s="1"/>
  <c r="H58" i="11" l="1"/>
  <c r="J58" i="11" s="1"/>
  <c r="E58" i="11"/>
  <c r="B106" i="11"/>
  <c r="D106" i="11"/>
  <c r="A107" i="11"/>
  <c r="I58" i="11" l="1"/>
  <c r="C59" i="11" s="1"/>
  <c r="F58" i="11"/>
  <c r="G58" i="11" s="1"/>
  <c r="B107" i="11"/>
  <c r="D107" i="11"/>
  <c r="A108" i="11"/>
  <c r="H59" i="11" l="1"/>
  <c r="J59" i="11" s="1"/>
  <c r="E59" i="11"/>
  <c r="B108" i="11"/>
  <c r="D108" i="11"/>
  <c r="A109" i="11"/>
  <c r="F59" i="11" l="1"/>
  <c r="G59" i="11" s="1"/>
  <c r="I59" i="11"/>
  <c r="C60" i="11" s="1"/>
  <c r="B109" i="11"/>
  <c r="D109" i="11"/>
  <c r="A110" i="11"/>
  <c r="B110" i="11" l="1"/>
  <c r="D110" i="11"/>
  <c r="A111" i="11"/>
  <c r="E60" i="11"/>
  <c r="H60" i="11"/>
  <c r="J60" i="11" s="1"/>
  <c r="I60" i="11" l="1"/>
  <c r="C61" i="11" s="1"/>
  <c r="F60" i="11"/>
  <c r="G60" i="11" s="1"/>
  <c r="B111" i="11"/>
  <c r="D111" i="11"/>
  <c r="A112" i="11"/>
  <c r="B112" i="11" l="1"/>
  <c r="D112" i="11"/>
  <c r="A113" i="11"/>
  <c r="H61" i="11"/>
  <c r="J61" i="11" s="1"/>
  <c r="E61" i="11"/>
  <c r="B113" i="11" l="1"/>
  <c r="D113" i="11"/>
  <c r="A114" i="11"/>
  <c r="I61" i="11"/>
  <c r="C62" i="11" s="1"/>
  <c r="F61" i="11"/>
  <c r="G61" i="11" s="1"/>
  <c r="H62" i="11" l="1"/>
  <c r="J62" i="11" s="1"/>
  <c r="E62" i="11"/>
  <c r="B114" i="11"/>
  <c r="D114" i="11"/>
  <c r="A115" i="11"/>
  <c r="B115" i="11" l="1"/>
  <c r="D115" i="11"/>
  <c r="A116" i="11"/>
  <c r="I62" i="11"/>
  <c r="C63" i="11" s="1"/>
  <c r="F62" i="11"/>
  <c r="G62" i="11" s="1"/>
  <c r="H63" i="11" l="1"/>
  <c r="J63" i="11" s="1"/>
  <c r="E63" i="11"/>
  <c r="B116" i="11"/>
  <c r="D116" i="11"/>
  <c r="A117" i="11"/>
  <c r="I63" i="11" l="1"/>
  <c r="C64" i="11" s="1"/>
  <c r="F63" i="11"/>
  <c r="G63" i="11" s="1"/>
  <c r="B117" i="11"/>
  <c r="D117" i="11"/>
  <c r="A118" i="11"/>
  <c r="H64" i="11" l="1"/>
  <c r="J64" i="11" s="1"/>
  <c r="E64" i="11"/>
  <c r="B118" i="11"/>
  <c r="D118" i="11"/>
  <c r="A119" i="11"/>
  <c r="B119" i="11" l="1"/>
  <c r="D119" i="11"/>
  <c r="A120" i="11"/>
  <c r="I64" i="11"/>
  <c r="C65" i="11" s="1"/>
  <c r="F64" i="11"/>
  <c r="G64" i="11" s="1"/>
  <c r="H65" i="11" l="1"/>
  <c r="J65" i="11" s="1"/>
  <c r="E65" i="11"/>
  <c r="B120" i="11"/>
  <c r="D120" i="11"/>
  <c r="A121" i="11"/>
  <c r="I65" i="11" l="1"/>
  <c r="C66" i="11" s="1"/>
  <c r="F65" i="11"/>
  <c r="G65" i="11" s="1"/>
  <c r="B121" i="11"/>
  <c r="D121" i="11"/>
  <c r="A122" i="11"/>
  <c r="B122" i="11" l="1"/>
  <c r="D122" i="11"/>
  <c r="A123" i="11"/>
  <c r="H66" i="11"/>
  <c r="J66" i="11" s="1"/>
  <c r="E66" i="11"/>
  <c r="F66" i="11" l="1"/>
  <c r="G66" i="11" s="1"/>
  <c r="I66" i="11"/>
  <c r="C67" i="11" s="1"/>
  <c r="B123" i="11"/>
  <c r="D123" i="11"/>
  <c r="A124" i="11"/>
  <c r="H67" i="11" l="1"/>
  <c r="J67" i="11" s="1"/>
  <c r="E67" i="11"/>
  <c r="B124" i="11"/>
  <c r="D124" i="11"/>
  <c r="A125" i="11"/>
  <c r="I67" i="11" l="1"/>
  <c r="C68" i="11" s="1"/>
  <c r="F67" i="11"/>
  <c r="G67" i="11" s="1"/>
  <c r="B125" i="11"/>
  <c r="D125" i="11"/>
  <c r="A126" i="11"/>
  <c r="B126" i="11" l="1"/>
  <c r="D126" i="11"/>
  <c r="A127" i="11"/>
  <c r="H68" i="11"/>
  <c r="J68" i="11" s="1"/>
  <c r="E68" i="11"/>
  <c r="B127" i="11" l="1"/>
  <c r="D127" i="11"/>
  <c r="A128" i="11"/>
  <c r="F68" i="11"/>
  <c r="G68" i="11" s="1"/>
  <c r="I68" i="11"/>
  <c r="C69" i="11" s="1"/>
  <c r="H69" i="11" l="1"/>
  <c r="J69" i="11" s="1"/>
  <c r="E69" i="11"/>
  <c r="B128" i="11"/>
  <c r="D128" i="11"/>
  <c r="A129" i="11"/>
  <c r="F69" i="11" l="1"/>
  <c r="G69" i="11" s="1"/>
  <c r="I69" i="11"/>
  <c r="C70" i="11" s="1"/>
  <c r="B129" i="11"/>
  <c r="D129" i="11"/>
  <c r="A130" i="11"/>
  <c r="B130" i="11" l="1"/>
  <c r="D130" i="11"/>
  <c r="A131" i="11"/>
  <c r="H70" i="11"/>
  <c r="J70" i="11" s="1"/>
  <c r="E70" i="11"/>
  <c r="I70" i="11" l="1"/>
  <c r="C71" i="11" s="1"/>
  <c r="F70" i="11"/>
  <c r="G70" i="11" s="1"/>
  <c r="B131" i="11"/>
  <c r="D131" i="11"/>
  <c r="A132" i="11"/>
  <c r="B132" i="11" l="1"/>
  <c r="D132" i="11"/>
  <c r="A133" i="11"/>
  <c r="H71" i="11"/>
  <c r="J71" i="11" s="1"/>
  <c r="E71" i="11"/>
  <c r="B133" i="11" l="1"/>
  <c r="D133" i="11"/>
  <c r="A134" i="11"/>
  <c r="I71" i="11"/>
  <c r="C72" i="11" s="1"/>
  <c r="F71" i="11"/>
  <c r="G71" i="11" s="1"/>
  <c r="H72" i="11" l="1"/>
  <c r="J72" i="11" s="1"/>
  <c r="E72" i="11"/>
  <c r="B134" i="11"/>
  <c r="D134" i="11"/>
  <c r="A135" i="11"/>
  <c r="F72" i="11" l="1"/>
  <c r="G72" i="11" s="1"/>
  <c r="I72" i="11"/>
  <c r="C73" i="11" s="1"/>
  <c r="B135" i="11"/>
  <c r="D135" i="11"/>
  <c r="A136" i="11"/>
  <c r="H73" i="11" l="1"/>
  <c r="J73" i="11" s="1"/>
  <c r="E73" i="11"/>
  <c r="B136" i="11"/>
  <c r="D136" i="11"/>
  <c r="A137" i="11"/>
  <c r="B137" i="11" l="1"/>
  <c r="D137" i="11"/>
  <c r="A138" i="11"/>
  <c r="I73" i="11"/>
  <c r="C74" i="11" s="1"/>
  <c r="F73" i="11"/>
  <c r="G73" i="11" s="1"/>
  <c r="H74" i="11" l="1"/>
  <c r="J74" i="11" s="1"/>
  <c r="E74" i="11"/>
  <c r="B138" i="11"/>
  <c r="D138" i="11"/>
  <c r="A139" i="11"/>
  <c r="B139" i="11" l="1"/>
  <c r="D139" i="11"/>
  <c r="A140" i="11"/>
  <c r="F74" i="11"/>
  <c r="G74" i="11" s="1"/>
  <c r="I74" i="11"/>
  <c r="C75" i="11" s="1"/>
  <c r="B140" i="11" l="1"/>
  <c r="D140" i="11"/>
  <c r="A141" i="11"/>
  <c r="H75" i="11"/>
  <c r="J75" i="11" s="1"/>
  <c r="E75" i="11"/>
  <c r="B141" i="11" l="1"/>
  <c r="D141" i="11"/>
  <c r="A142" i="11"/>
  <c r="I75" i="11"/>
  <c r="C76" i="11" s="1"/>
  <c r="F75" i="11"/>
  <c r="G75" i="11" s="1"/>
  <c r="B142" i="11" l="1"/>
  <c r="D142" i="11"/>
  <c r="A143" i="11"/>
  <c r="H76" i="11"/>
  <c r="J76" i="11" s="1"/>
  <c r="E76" i="11"/>
  <c r="F76" i="11" l="1"/>
  <c r="G76" i="11" s="1"/>
  <c r="I76" i="11"/>
  <c r="C77" i="11" s="1"/>
  <c r="B143" i="11"/>
  <c r="D143" i="11"/>
  <c r="A144" i="11"/>
  <c r="B144" i="11" l="1"/>
  <c r="D144" i="11"/>
  <c r="A145" i="11"/>
  <c r="H77" i="11"/>
  <c r="J77" i="11" s="1"/>
  <c r="E77" i="11"/>
  <c r="I77" i="11" l="1"/>
  <c r="C78" i="11" s="1"/>
  <c r="F77" i="11"/>
  <c r="G77" i="11" s="1"/>
  <c r="B145" i="11"/>
  <c r="D145" i="11"/>
  <c r="A146" i="11"/>
  <c r="B146" i="11" l="1"/>
  <c r="D146" i="11"/>
  <c r="A147" i="11"/>
  <c r="H78" i="11"/>
  <c r="J78" i="11" s="1"/>
  <c r="E78" i="11"/>
  <c r="B147" i="11" l="1"/>
  <c r="D147" i="11"/>
  <c r="A148" i="11"/>
  <c r="F78" i="11"/>
  <c r="G78" i="11" s="1"/>
  <c r="I78" i="11"/>
  <c r="C79" i="11" s="1"/>
  <c r="B148" i="11" l="1"/>
  <c r="D148" i="11"/>
  <c r="A149" i="11"/>
  <c r="H79" i="11"/>
  <c r="J79" i="11" s="1"/>
  <c r="E79" i="11"/>
  <c r="B149" i="11" l="1"/>
  <c r="D149" i="11"/>
  <c r="A150" i="11"/>
  <c r="I79" i="11"/>
  <c r="C80" i="11" s="1"/>
  <c r="F79" i="11"/>
  <c r="G79" i="11" s="1"/>
  <c r="H80" i="11" l="1"/>
  <c r="J80" i="11" s="1"/>
  <c r="E80" i="11"/>
  <c r="B150" i="11"/>
  <c r="D150" i="11"/>
  <c r="A151" i="11"/>
  <c r="F80" i="11" l="1"/>
  <c r="G80" i="11" s="1"/>
  <c r="I80" i="11"/>
  <c r="C81" i="11" s="1"/>
  <c r="B151" i="11"/>
  <c r="D151" i="11"/>
  <c r="A152" i="11"/>
  <c r="H81" i="11" l="1"/>
  <c r="J81" i="11" s="1"/>
  <c r="E81" i="11"/>
  <c r="B152" i="11"/>
  <c r="D152" i="11"/>
  <c r="A153" i="11"/>
  <c r="B153" i="11" l="1"/>
  <c r="D153" i="11"/>
  <c r="A154" i="11"/>
  <c r="F81" i="11"/>
  <c r="G81" i="11" s="1"/>
  <c r="I81" i="11"/>
  <c r="C82" i="11" s="1"/>
  <c r="H82" i="11" l="1"/>
  <c r="J82" i="11" s="1"/>
  <c r="E82" i="11"/>
  <c r="B154" i="11"/>
  <c r="D154" i="11"/>
  <c r="A155" i="11"/>
  <c r="F82" i="11" l="1"/>
  <c r="G82" i="11" s="1"/>
  <c r="I82" i="11"/>
  <c r="C83" i="11" s="1"/>
  <c r="B155" i="11"/>
  <c r="D155" i="11"/>
  <c r="A156" i="11"/>
  <c r="H83" i="11" l="1"/>
  <c r="J83" i="11" s="1"/>
  <c r="E83" i="11"/>
  <c r="B156" i="11"/>
  <c r="D156" i="11"/>
  <c r="A157" i="11"/>
  <c r="I83" i="11" l="1"/>
  <c r="C84" i="11" s="1"/>
  <c r="F83" i="11"/>
  <c r="G83" i="11" s="1"/>
  <c r="B157" i="11"/>
  <c r="D157" i="11"/>
  <c r="A158" i="11"/>
  <c r="B158" i="11" l="1"/>
  <c r="D158" i="11"/>
  <c r="A159" i="11"/>
  <c r="H84" i="11"/>
  <c r="J84" i="11" s="1"/>
  <c r="E84" i="11"/>
  <c r="F84" i="11" l="1"/>
  <c r="G84" i="11" s="1"/>
  <c r="I84" i="11"/>
  <c r="C85" i="11" s="1"/>
  <c r="B159" i="11"/>
  <c r="D159" i="11"/>
  <c r="A160" i="11"/>
  <c r="B160" i="11" l="1"/>
  <c r="D160" i="11"/>
  <c r="A161" i="11"/>
  <c r="H85" i="11"/>
  <c r="J85" i="11" s="1"/>
  <c r="E85" i="11"/>
  <c r="I85" i="11" l="1"/>
  <c r="C86" i="11" s="1"/>
  <c r="F85" i="11"/>
  <c r="G85" i="11" s="1"/>
  <c r="B161" i="11"/>
  <c r="D161" i="11"/>
  <c r="A162" i="11"/>
  <c r="B162" i="11" l="1"/>
  <c r="D162" i="11"/>
  <c r="A163" i="11"/>
  <c r="H86" i="11"/>
  <c r="J86" i="11" s="1"/>
  <c r="E86" i="11"/>
  <c r="F86" i="11" l="1"/>
  <c r="G86" i="11" s="1"/>
  <c r="I86" i="11"/>
  <c r="C87" i="11" s="1"/>
  <c r="B163" i="11"/>
  <c r="D163" i="11"/>
  <c r="A164" i="11"/>
  <c r="B164" i="11" l="1"/>
  <c r="D164" i="11"/>
  <c r="A165" i="11"/>
  <c r="H87" i="11"/>
  <c r="J87" i="11" s="1"/>
  <c r="E87" i="11"/>
  <c r="B165" i="11" l="1"/>
  <c r="D165" i="11"/>
  <c r="A166" i="11"/>
  <c r="I87" i="11"/>
  <c r="C88" i="11" s="1"/>
  <c r="F87" i="11"/>
  <c r="G87" i="11" s="1"/>
  <c r="B166" i="11" l="1"/>
  <c r="D166" i="11"/>
  <c r="A167" i="11"/>
  <c r="H88" i="11"/>
  <c r="J88" i="11" s="1"/>
  <c r="E88" i="11"/>
  <c r="F88" i="11" l="1"/>
  <c r="G88" i="11" s="1"/>
  <c r="I88" i="11"/>
  <c r="C89" i="11" s="1"/>
  <c r="B167" i="11"/>
  <c r="D167" i="11"/>
  <c r="A168" i="11"/>
  <c r="H89" i="11" l="1"/>
  <c r="J89" i="11" s="1"/>
  <c r="E89" i="11"/>
  <c r="B168" i="11"/>
  <c r="D168" i="11"/>
  <c r="A169" i="11"/>
  <c r="I89" i="11" l="1"/>
  <c r="C90" i="11" s="1"/>
  <c r="F89" i="11"/>
  <c r="G89" i="11" s="1"/>
  <c r="B169" i="11"/>
  <c r="D169" i="11"/>
  <c r="A170" i="11"/>
  <c r="B170" i="11" l="1"/>
  <c r="D170" i="11"/>
  <c r="A171" i="11"/>
  <c r="H90" i="11"/>
  <c r="J90" i="11" s="1"/>
  <c r="E90" i="11"/>
  <c r="F90" i="11" l="1"/>
  <c r="G90" i="11" s="1"/>
  <c r="I90" i="11"/>
  <c r="C91" i="11" s="1"/>
  <c r="B171" i="11"/>
  <c r="D171" i="11"/>
  <c r="A172" i="11"/>
  <c r="H91" i="11" l="1"/>
  <c r="J91" i="11" s="1"/>
  <c r="E91" i="11"/>
  <c r="B172" i="11"/>
  <c r="D172" i="11"/>
  <c r="A173" i="11"/>
  <c r="B173" i="11" l="1"/>
  <c r="D173" i="11"/>
  <c r="A174" i="11"/>
  <c r="I91" i="11"/>
  <c r="C92" i="11" s="1"/>
  <c r="F91" i="11"/>
  <c r="G91" i="11" s="1"/>
  <c r="B174" i="11" l="1"/>
  <c r="D174" i="11"/>
  <c r="A175" i="11"/>
  <c r="H92" i="11"/>
  <c r="J92" i="11" s="1"/>
  <c r="E92" i="11"/>
  <c r="F92" i="11" l="1"/>
  <c r="G92" i="11" s="1"/>
  <c r="I92" i="11"/>
  <c r="C93" i="11" s="1"/>
  <c r="B175" i="11"/>
  <c r="D175" i="11"/>
  <c r="A176" i="11"/>
  <c r="B176" i="11" l="1"/>
  <c r="D176" i="11"/>
  <c r="A177" i="11"/>
  <c r="H93" i="11"/>
  <c r="J93" i="11" s="1"/>
  <c r="E93" i="11"/>
  <c r="I93" i="11" l="1"/>
  <c r="C94" i="11" s="1"/>
  <c r="F93" i="11"/>
  <c r="G93" i="11" s="1"/>
  <c r="B177" i="11"/>
  <c r="D177" i="11"/>
  <c r="A178" i="11"/>
  <c r="B178" i="11" l="1"/>
  <c r="D178" i="11"/>
  <c r="A179" i="11"/>
  <c r="H94" i="11"/>
  <c r="J94" i="11" s="1"/>
  <c r="E94" i="11"/>
  <c r="B179" i="11" l="1"/>
  <c r="D179" i="11"/>
  <c r="A180" i="11"/>
  <c r="F94" i="11"/>
  <c r="G94" i="11" s="1"/>
  <c r="I94" i="11"/>
  <c r="C95" i="11" s="1"/>
  <c r="B180" i="11" l="1"/>
  <c r="D180" i="11"/>
  <c r="A181" i="11"/>
  <c r="H95" i="11"/>
  <c r="J95" i="11" s="1"/>
  <c r="E95" i="11"/>
  <c r="B181" i="11" l="1"/>
  <c r="D181" i="11"/>
  <c r="A182" i="11"/>
  <c r="F95" i="11"/>
  <c r="G95" i="11" s="1"/>
  <c r="I95" i="11"/>
  <c r="C96" i="11" s="1"/>
  <c r="H96" i="11" l="1"/>
  <c r="J96" i="11" s="1"/>
  <c r="E96" i="11"/>
  <c r="B182" i="11"/>
  <c r="D182" i="11"/>
  <c r="A183" i="11"/>
  <c r="B183" i="11" l="1"/>
  <c r="D183" i="11"/>
  <c r="A184" i="11"/>
  <c r="I96" i="11"/>
  <c r="C97" i="11" s="1"/>
  <c r="F96" i="11"/>
  <c r="G96" i="11" s="1"/>
  <c r="B184" i="11" l="1"/>
  <c r="D184" i="11"/>
  <c r="A185" i="11"/>
  <c r="H97" i="11"/>
  <c r="J97" i="11" s="1"/>
  <c r="E97" i="11"/>
  <c r="B185" i="11" l="1"/>
  <c r="D185" i="11"/>
  <c r="A186" i="11"/>
  <c r="I97" i="11"/>
  <c r="C98" i="11" s="1"/>
  <c r="F97" i="11"/>
  <c r="G97" i="11" s="1"/>
  <c r="H98" i="11" l="1"/>
  <c r="J98" i="11" s="1"/>
  <c r="E98" i="11"/>
  <c r="B186" i="11"/>
  <c r="D186" i="11"/>
  <c r="A187" i="11"/>
  <c r="B187" i="11" l="1"/>
  <c r="D187" i="11"/>
  <c r="A188" i="11"/>
  <c r="F98" i="11"/>
  <c r="G98" i="11" s="1"/>
  <c r="I98" i="11"/>
  <c r="C99" i="11" s="1"/>
  <c r="H99" i="11" l="1"/>
  <c r="J99" i="11" s="1"/>
  <c r="E99" i="11"/>
  <c r="B188" i="11"/>
  <c r="D188" i="11"/>
  <c r="A189" i="11"/>
  <c r="B189" i="11" l="1"/>
  <c r="D189" i="11"/>
  <c r="A190" i="11"/>
  <c r="F99" i="11"/>
  <c r="G99" i="11" s="1"/>
  <c r="I99" i="11"/>
  <c r="C100" i="11" s="1"/>
  <c r="H100" i="11" l="1"/>
  <c r="J100" i="11" s="1"/>
  <c r="E100" i="11"/>
  <c r="B190" i="11"/>
  <c r="D190" i="11"/>
  <c r="A191" i="11"/>
  <c r="B191" i="11" l="1"/>
  <c r="D191" i="11"/>
  <c r="A192" i="11"/>
  <c r="F100" i="11"/>
  <c r="G100" i="11" s="1"/>
  <c r="I100" i="11"/>
  <c r="C101" i="11" s="1"/>
  <c r="B192" i="11" l="1"/>
  <c r="D192" i="11"/>
  <c r="A193" i="11"/>
  <c r="E101" i="11"/>
  <c r="H101" i="11"/>
  <c r="J101" i="11" s="1"/>
  <c r="I101" i="11" l="1"/>
  <c r="C102" i="11" s="1"/>
  <c r="F101" i="11"/>
  <c r="G101" i="11" s="1"/>
  <c r="B193" i="11"/>
  <c r="D193" i="11"/>
  <c r="A194" i="11"/>
  <c r="B194" i="11" l="1"/>
  <c r="D194" i="11"/>
  <c r="A195" i="11"/>
  <c r="H102" i="11"/>
  <c r="J102" i="11" s="1"/>
  <c r="E102" i="11"/>
  <c r="F102" i="11" l="1"/>
  <c r="G102" i="11" s="1"/>
  <c r="I102" i="11"/>
  <c r="C103" i="11" s="1"/>
  <c r="B195" i="11"/>
  <c r="D195" i="11"/>
  <c r="A196" i="11"/>
  <c r="H103" i="11" l="1"/>
  <c r="J103" i="11" s="1"/>
  <c r="E103" i="11"/>
  <c r="B196" i="11"/>
  <c r="D196" i="11"/>
  <c r="A197" i="11"/>
  <c r="B197" i="11" l="1"/>
  <c r="D197" i="11"/>
  <c r="A198" i="11"/>
  <c r="I103" i="11"/>
  <c r="C104" i="11" s="1"/>
  <c r="F103" i="11"/>
  <c r="G103" i="11" s="1"/>
  <c r="B198" i="11" l="1"/>
  <c r="D198" i="11"/>
  <c r="A199" i="11"/>
  <c r="H104" i="11"/>
  <c r="J104" i="11" s="1"/>
  <c r="E104" i="11"/>
  <c r="B199" i="11" l="1"/>
  <c r="D199" i="11"/>
  <c r="A200" i="11"/>
  <c r="I104" i="11"/>
  <c r="C105" i="11" s="1"/>
  <c r="F104" i="11"/>
  <c r="G104" i="11" s="1"/>
  <c r="B200" i="11" l="1"/>
  <c r="D200" i="11"/>
  <c r="A201" i="11"/>
  <c r="H105" i="11"/>
  <c r="J105" i="11" s="1"/>
  <c r="E105" i="11"/>
  <c r="F105" i="11" l="1"/>
  <c r="G105" i="11" s="1"/>
  <c r="I105" i="11"/>
  <c r="C106" i="11" s="1"/>
  <c r="B201" i="11"/>
  <c r="D201" i="11"/>
  <c r="A202" i="11"/>
  <c r="B202" i="11" l="1"/>
  <c r="D202" i="11"/>
  <c r="A203" i="11"/>
  <c r="H106" i="11"/>
  <c r="J106" i="11" s="1"/>
  <c r="E106" i="11"/>
  <c r="F106" i="11" l="1"/>
  <c r="G106" i="11" s="1"/>
  <c r="I106" i="11"/>
  <c r="C107" i="11" s="1"/>
  <c r="B203" i="11"/>
  <c r="D203" i="11"/>
  <c r="A204" i="11"/>
  <c r="B204" i="11" l="1"/>
  <c r="D204" i="11"/>
  <c r="A205" i="11"/>
  <c r="H107" i="11"/>
  <c r="J107" i="11" s="1"/>
  <c r="E107" i="11"/>
  <c r="I107" i="11" l="1"/>
  <c r="C108" i="11" s="1"/>
  <c r="F107" i="11"/>
  <c r="G107" i="11" s="1"/>
  <c r="B205" i="11"/>
  <c r="D205" i="11"/>
  <c r="A206" i="11"/>
  <c r="B206" i="11" l="1"/>
  <c r="D206" i="11"/>
  <c r="A207" i="11"/>
  <c r="E108" i="11"/>
  <c r="H108" i="11"/>
  <c r="J108" i="11" s="1"/>
  <c r="F108" i="11" l="1"/>
  <c r="G108" i="11" s="1"/>
  <c r="I108" i="11"/>
  <c r="C109" i="11" s="1"/>
  <c r="B207" i="11"/>
  <c r="D207" i="11"/>
  <c r="A208" i="11"/>
  <c r="H109" i="11" l="1"/>
  <c r="J109" i="11" s="1"/>
  <c r="E109" i="11"/>
  <c r="B208" i="11"/>
  <c r="D208" i="11"/>
  <c r="A209" i="11"/>
  <c r="F109" i="11" l="1"/>
  <c r="G109" i="11" s="1"/>
  <c r="I109" i="11"/>
  <c r="C110" i="11" s="1"/>
  <c r="B209" i="11"/>
  <c r="D209" i="11"/>
  <c r="A210" i="11"/>
  <c r="B210" i="11" l="1"/>
  <c r="D210" i="11"/>
  <c r="A211" i="11"/>
  <c r="H110" i="11"/>
  <c r="J110" i="11" s="1"/>
  <c r="E110" i="11"/>
  <c r="F110" i="11" l="1"/>
  <c r="G110" i="11" s="1"/>
  <c r="I110" i="11"/>
  <c r="C111" i="11" s="1"/>
  <c r="B211" i="11"/>
  <c r="D211" i="11"/>
  <c r="A212" i="11"/>
  <c r="B212" i="11" l="1"/>
  <c r="D212" i="11"/>
  <c r="A213" i="11"/>
  <c r="H111" i="11"/>
  <c r="J111" i="11" s="1"/>
  <c r="E111" i="11"/>
  <c r="I111" i="11" l="1"/>
  <c r="C112" i="11" s="1"/>
  <c r="F111" i="11"/>
  <c r="G111" i="11" s="1"/>
  <c r="B213" i="11"/>
  <c r="D213" i="11"/>
  <c r="A214" i="11"/>
  <c r="B214" i="11" l="1"/>
  <c r="D214" i="11"/>
  <c r="A215" i="11"/>
  <c r="H112" i="11"/>
  <c r="J112" i="11" s="1"/>
  <c r="E112" i="11"/>
  <c r="F112" i="11" l="1"/>
  <c r="G112" i="11" s="1"/>
  <c r="I112" i="11"/>
  <c r="C113" i="11" s="1"/>
  <c r="B215" i="11"/>
  <c r="D215" i="11"/>
  <c r="A216" i="11"/>
  <c r="B216" i="11" l="1"/>
  <c r="D216" i="11"/>
  <c r="A217" i="11"/>
  <c r="H113" i="11"/>
  <c r="J113" i="11" s="1"/>
  <c r="E113" i="11"/>
  <c r="B217" i="11" l="1"/>
  <c r="D217" i="11"/>
  <c r="A218" i="11"/>
  <c r="I113" i="11"/>
  <c r="C114" i="11" s="1"/>
  <c r="F113" i="11"/>
  <c r="G113" i="11" s="1"/>
  <c r="B218" i="11" l="1"/>
  <c r="D218" i="11"/>
  <c r="A219" i="11"/>
  <c r="H114" i="11"/>
  <c r="J114" i="11" s="1"/>
  <c r="E114" i="11"/>
  <c r="I114" i="11" l="1"/>
  <c r="C115" i="11" s="1"/>
  <c r="F114" i="11"/>
  <c r="G114" i="11" s="1"/>
  <c r="B219" i="11"/>
  <c r="D219" i="11"/>
  <c r="A220" i="11"/>
  <c r="B220" i="11" l="1"/>
  <c r="D220" i="11"/>
  <c r="A221" i="11"/>
  <c r="H115" i="11"/>
  <c r="J115" i="11" s="1"/>
  <c r="E115" i="11"/>
  <c r="I115" i="11" l="1"/>
  <c r="C116" i="11" s="1"/>
  <c r="F115" i="11"/>
  <c r="G115" i="11" s="1"/>
  <c r="B221" i="11"/>
  <c r="D221" i="11"/>
  <c r="A222" i="11"/>
  <c r="B222" i="11" l="1"/>
  <c r="D222" i="11"/>
  <c r="A223" i="11"/>
  <c r="H116" i="11"/>
  <c r="J116" i="11" s="1"/>
  <c r="E116" i="11"/>
  <c r="B223" i="11" l="1"/>
  <c r="D223" i="11"/>
  <c r="A224" i="11"/>
  <c r="F116" i="11"/>
  <c r="G116" i="11" s="1"/>
  <c r="I116" i="11"/>
  <c r="C117" i="11" s="1"/>
  <c r="B224" i="11" l="1"/>
  <c r="D224" i="11"/>
  <c r="A225" i="11"/>
  <c r="H117" i="11"/>
  <c r="J117" i="11" s="1"/>
  <c r="E117" i="11"/>
  <c r="B225" i="11" l="1"/>
  <c r="D225" i="11"/>
  <c r="A226" i="11"/>
  <c r="I117" i="11"/>
  <c r="C118" i="11" s="1"/>
  <c r="F117" i="11"/>
  <c r="G117" i="11" s="1"/>
  <c r="B226" i="11" l="1"/>
  <c r="D226" i="11"/>
  <c r="A227" i="11"/>
  <c r="H118" i="11"/>
  <c r="J118" i="11" s="1"/>
  <c r="E118" i="11"/>
  <c r="B227" i="11" l="1"/>
  <c r="D227" i="11"/>
  <c r="A228" i="11"/>
  <c r="I118" i="11"/>
  <c r="C119" i="11" s="1"/>
  <c r="F118" i="11"/>
  <c r="G118" i="11" s="1"/>
  <c r="H119" i="11" l="1"/>
  <c r="J119" i="11" s="1"/>
  <c r="E119" i="11"/>
  <c r="B228" i="11"/>
  <c r="D228" i="11"/>
  <c r="A229" i="11"/>
  <c r="I119" i="11" l="1"/>
  <c r="C120" i="11" s="1"/>
  <c r="F119" i="11"/>
  <c r="G119" i="11" s="1"/>
  <c r="B229" i="11"/>
  <c r="D229" i="11"/>
  <c r="A230" i="11"/>
  <c r="H120" i="11" l="1"/>
  <c r="J120" i="11" s="1"/>
  <c r="E120" i="11"/>
  <c r="B230" i="11"/>
  <c r="D230" i="11"/>
  <c r="A231" i="11"/>
  <c r="F120" i="11" l="1"/>
  <c r="G120" i="11" s="1"/>
  <c r="I120" i="11"/>
  <c r="C121" i="11" s="1"/>
  <c r="B231" i="11"/>
  <c r="D231" i="11"/>
  <c r="A232" i="11"/>
  <c r="H121" i="11" l="1"/>
  <c r="J121" i="11" s="1"/>
  <c r="E121" i="11"/>
  <c r="B232" i="11"/>
  <c r="D232" i="11"/>
  <c r="A233" i="11"/>
  <c r="B233" i="11" l="1"/>
  <c r="D233" i="11"/>
  <c r="A234" i="11"/>
  <c r="F121" i="11"/>
  <c r="G121" i="11" s="1"/>
  <c r="I121" i="11"/>
  <c r="C122" i="11" s="1"/>
  <c r="B234" i="11" l="1"/>
  <c r="D234" i="11"/>
  <c r="A235" i="11"/>
  <c r="H122" i="11"/>
  <c r="J122" i="11" s="1"/>
  <c r="E122" i="11"/>
  <c r="F122" i="11" l="1"/>
  <c r="G122" i="11" s="1"/>
  <c r="I122" i="11"/>
  <c r="C123" i="11" s="1"/>
  <c r="B235" i="11"/>
  <c r="D235" i="11"/>
  <c r="A236" i="11"/>
  <c r="H123" i="11" l="1"/>
  <c r="J123" i="11" s="1"/>
  <c r="E123" i="11"/>
  <c r="B236" i="11"/>
  <c r="D236" i="11"/>
  <c r="A237" i="11"/>
  <c r="I123" i="11" l="1"/>
  <c r="C124" i="11" s="1"/>
  <c r="F123" i="11"/>
  <c r="G123" i="11" s="1"/>
  <c r="B237" i="11"/>
  <c r="D237" i="11"/>
  <c r="A238" i="11"/>
  <c r="E124" i="11" l="1"/>
  <c r="H124" i="11"/>
  <c r="J124" i="11" s="1"/>
  <c r="B238" i="11"/>
  <c r="D238" i="11"/>
  <c r="A239" i="11"/>
  <c r="B239" i="11" l="1"/>
  <c r="D239" i="11"/>
  <c r="A240" i="11"/>
  <c r="I124" i="11"/>
  <c r="C125" i="11" s="1"/>
  <c r="F124" i="11"/>
  <c r="G124" i="11" s="1"/>
  <c r="B240" i="11" l="1"/>
  <c r="D240" i="11"/>
  <c r="A241" i="11"/>
  <c r="H125" i="11"/>
  <c r="J125" i="11" s="1"/>
  <c r="E125" i="11"/>
  <c r="F125" i="11" l="1"/>
  <c r="G125" i="11" s="1"/>
  <c r="I125" i="11"/>
  <c r="C126" i="11" s="1"/>
  <c r="B241" i="11"/>
  <c r="D241" i="11"/>
  <c r="A242" i="11"/>
  <c r="H126" i="11" l="1"/>
  <c r="J126" i="11" s="1"/>
  <c r="E126" i="11"/>
  <c r="B242" i="11"/>
  <c r="D242" i="11"/>
  <c r="A243" i="11"/>
  <c r="B243" i="11" l="1"/>
  <c r="D243" i="11"/>
  <c r="A244" i="11"/>
  <c r="I126" i="11"/>
  <c r="C127" i="11" s="1"/>
  <c r="F126" i="11"/>
  <c r="G126" i="11" s="1"/>
  <c r="H127" i="11" l="1"/>
  <c r="J127" i="11" s="1"/>
  <c r="E127" i="11"/>
  <c r="B244" i="11"/>
  <c r="D244" i="11"/>
  <c r="A245" i="11"/>
  <c r="B245" i="11" l="1"/>
  <c r="D245" i="11"/>
  <c r="A246" i="11"/>
  <c r="F127" i="11"/>
  <c r="G127" i="11" s="1"/>
  <c r="I127" i="11"/>
  <c r="C128" i="11" s="1"/>
  <c r="H128" i="11" l="1"/>
  <c r="J128" i="11" s="1"/>
  <c r="E128" i="11"/>
  <c r="B246" i="11"/>
  <c r="D246" i="11"/>
  <c r="A247" i="11"/>
  <c r="B247" i="11" l="1"/>
  <c r="D247" i="11"/>
  <c r="A248" i="11"/>
  <c r="F128" i="11"/>
  <c r="G128" i="11" s="1"/>
  <c r="I128" i="11"/>
  <c r="C129" i="11" s="1"/>
  <c r="B248" i="11" l="1"/>
  <c r="D248" i="11"/>
  <c r="A249" i="11"/>
  <c r="H129" i="11"/>
  <c r="J129" i="11" s="1"/>
  <c r="E129" i="11"/>
  <c r="B249" i="11" l="1"/>
  <c r="D249" i="11"/>
  <c r="A250" i="11"/>
  <c r="F129" i="11"/>
  <c r="G129" i="11" s="1"/>
  <c r="I129" i="11"/>
  <c r="C130" i="11" s="1"/>
  <c r="B250" i="11" l="1"/>
  <c r="D250" i="11"/>
  <c r="A251" i="11"/>
  <c r="H130" i="11"/>
  <c r="J130" i="11" s="1"/>
  <c r="E130" i="11"/>
  <c r="I130" i="11" l="1"/>
  <c r="C131" i="11" s="1"/>
  <c r="F130" i="11"/>
  <c r="G130" i="11" s="1"/>
  <c r="B251" i="11"/>
  <c r="D251" i="11"/>
  <c r="A252" i="11"/>
  <c r="B252" i="11" l="1"/>
  <c r="D252" i="11"/>
  <c r="A253" i="11"/>
  <c r="H131" i="11"/>
  <c r="J131" i="11" s="1"/>
  <c r="E131" i="11"/>
  <c r="B253" i="11" l="1"/>
  <c r="D253" i="11"/>
  <c r="A254" i="11"/>
  <c r="I131" i="11"/>
  <c r="C132" i="11" s="1"/>
  <c r="F131" i="11"/>
  <c r="G131" i="11" s="1"/>
  <c r="H132" i="11" l="1"/>
  <c r="J132" i="11" s="1"/>
  <c r="E132" i="11"/>
  <c r="B254" i="11"/>
  <c r="D254" i="11"/>
  <c r="A255" i="11"/>
  <c r="I132" i="11" l="1"/>
  <c r="C133" i="11" s="1"/>
  <c r="F132" i="11"/>
  <c r="G132" i="11" s="1"/>
  <c r="B255" i="11"/>
  <c r="D255" i="11"/>
  <c r="A256" i="11"/>
  <c r="B256" i="11" l="1"/>
  <c r="D256" i="11"/>
  <c r="A257" i="11"/>
  <c r="H133" i="11"/>
  <c r="J133" i="11" s="1"/>
  <c r="E133" i="11"/>
  <c r="B257" i="11" l="1"/>
  <c r="D257" i="11"/>
  <c r="A258" i="11"/>
  <c r="I133" i="11"/>
  <c r="C134" i="11" s="1"/>
  <c r="F133" i="11"/>
  <c r="G133" i="11" s="1"/>
  <c r="B258" i="11" l="1"/>
  <c r="D258" i="11"/>
  <c r="A259" i="11"/>
  <c r="H134" i="11"/>
  <c r="J134" i="11" s="1"/>
  <c r="E134" i="11"/>
  <c r="B259" i="11" l="1"/>
  <c r="D259" i="11"/>
  <c r="A260" i="11"/>
  <c r="F134" i="11"/>
  <c r="G134" i="11" s="1"/>
  <c r="I134" i="11"/>
  <c r="C135" i="11" s="1"/>
  <c r="B260" i="11" l="1"/>
  <c r="D260" i="11"/>
  <c r="A261" i="11"/>
  <c r="H135" i="11"/>
  <c r="J135" i="11" s="1"/>
  <c r="E135" i="11"/>
  <c r="F135" i="11" l="1"/>
  <c r="G135" i="11" s="1"/>
  <c r="I135" i="11"/>
  <c r="C136" i="11" s="1"/>
  <c r="B261" i="11"/>
  <c r="D261" i="11"/>
  <c r="A262" i="11"/>
  <c r="H136" i="11" l="1"/>
  <c r="J136" i="11" s="1"/>
  <c r="E136" i="11"/>
  <c r="B262" i="11"/>
  <c r="D262" i="11"/>
  <c r="A263" i="11"/>
  <c r="B263" i="11" l="1"/>
  <c r="D263" i="11"/>
  <c r="A264" i="11"/>
  <c r="I136" i="11"/>
  <c r="C137" i="11" s="1"/>
  <c r="F136" i="11"/>
  <c r="G136" i="11" s="1"/>
  <c r="B264" i="11" l="1"/>
  <c r="D264" i="11"/>
  <c r="A265" i="11"/>
  <c r="E137" i="11"/>
  <c r="H137" i="11"/>
  <c r="J137" i="11" s="1"/>
  <c r="B265" i="11" l="1"/>
  <c r="D265" i="11"/>
  <c r="A266" i="11"/>
  <c r="F137" i="11"/>
  <c r="G137" i="11" s="1"/>
  <c r="I137" i="11"/>
  <c r="C138" i="11" s="1"/>
  <c r="H138" i="11" l="1"/>
  <c r="J138" i="11" s="1"/>
  <c r="E138" i="11"/>
  <c r="B266" i="11"/>
  <c r="D266" i="11"/>
  <c r="A267" i="11"/>
  <c r="F138" i="11" l="1"/>
  <c r="G138" i="11" s="1"/>
  <c r="I138" i="11"/>
  <c r="C139" i="11" s="1"/>
  <c r="B267" i="11"/>
  <c r="D267" i="11"/>
  <c r="A268" i="11"/>
  <c r="H139" i="11" l="1"/>
  <c r="J139" i="11" s="1"/>
  <c r="E139" i="11"/>
  <c r="B268" i="11"/>
  <c r="D268" i="11"/>
  <c r="A269" i="11"/>
  <c r="B269" i="11" l="1"/>
  <c r="D269" i="11"/>
  <c r="A270" i="11"/>
  <c r="I139" i="11"/>
  <c r="C140" i="11" s="1"/>
  <c r="F139" i="11"/>
  <c r="G139" i="11" s="1"/>
  <c r="E140" i="11" l="1"/>
  <c r="H140" i="11"/>
  <c r="J140" i="11" s="1"/>
  <c r="B270" i="11"/>
  <c r="D270" i="11"/>
  <c r="A271" i="11"/>
  <c r="F140" i="11" l="1"/>
  <c r="G140" i="11" s="1"/>
  <c r="I140" i="11"/>
  <c r="C141" i="11" s="1"/>
  <c r="B271" i="11"/>
  <c r="D271" i="11"/>
  <c r="A272" i="11"/>
  <c r="B272" i="11" l="1"/>
  <c r="D272" i="11"/>
  <c r="A273" i="11"/>
  <c r="H141" i="11"/>
  <c r="J141" i="11" s="1"/>
  <c r="E141" i="11"/>
  <c r="F141" i="11" l="1"/>
  <c r="G141" i="11" s="1"/>
  <c r="I141" i="11"/>
  <c r="C142" i="11" s="1"/>
  <c r="B273" i="11"/>
  <c r="D273" i="11"/>
  <c r="A274" i="11"/>
  <c r="H142" i="11" l="1"/>
  <c r="J142" i="11" s="1"/>
  <c r="E142" i="11"/>
  <c r="B274" i="11"/>
  <c r="D274" i="11"/>
  <c r="A275" i="11"/>
  <c r="I142" i="11" l="1"/>
  <c r="C143" i="11" s="1"/>
  <c r="F142" i="11"/>
  <c r="G142" i="11" s="1"/>
  <c r="B275" i="11"/>
  <c r="D275" i="11"/>
  <c r="A276" i="11"/>
  <c r="B276" i="11" l="1"/>
  <c r="D276" i="11"/>
  <c r="A277" i="11"/>
  <c r="H143" i="11"/>
  <c r="J143" i="11" s="1"/>
  <c r="E143" i="11"/>
  <c r="B277" i="11" l="1"/>
  <c r="D277" i="11"/>
  <c r="A278" i="11"/>
  <c r="F143" i="11"/>
  <c r="G143" i="11" s="1"/>
  <c r="I143" i="11"/>
  <c r="C144" i="11" s="1"/>
  <c r="B278" i="11" l="1"/>
  <c r="D278" i="11"/>
  <c r="A279" i="11"/>
  <c r="H144" i="11"/>
  <c r="J144" i="11" s="1"/>
  <c r="E144" i="11"/>
  <c r="I144" i="11" l="1"/>
  <c r="C145" i="11" s="1"/>
  <c r="F144" i="11"/>
  <c r="G144" i="11" s="1"/>
  <c r="B279" i="11"/>
  <c r="D279" i="11"/>
  <c r="A280" i="11"/>
  <c r="B280" i="11" l="1"/>
  <c r="D280" i="11"/>
  <c r="A281" i="11"/>
  <c r="H145" i="11"/>
  <c r="J145" i="11" s="1"/>
  <c r="E145" i="11"/>
  <c r="I145" i="11" l="1"/>
  <c r="C146" i="11" s="1"/>
  <c r="F145" i="11"/>
  <c r="G145" i="11" s="1"/>
  <c r="B281" i="11"/>
  <c r="D281" i="11"/>
  <c r="A282" i="11"/>
  <c r="B282" i="11" l="1"/>
  <c r="D282" i="11"/>
  <c r="A283" i="11"/>
  <c r="H146" i="11"/>
  <c r="J146" i="11" s="1"/>
  <c r="E146" i="11"/>
  <c r="B283" i="11" l="1"/>
  <c r="D283" i="11"/>
  <c r="A284" i="11"/>
  <c r="I146" i="11"/>
  <c r="C147" i="11" s="1"/>
  <c r="F146" i="11"/>
  <c r="G146" i="11" s="1"/>
  <c r="B284" i="11" l="1"/>
  <c r="D284" i="11"/>
  <c r="A285" i="11"/>
  <c r="H147" i="11"/>
  <c r="J147" i="11" s="1"/>
  <c r="E147" i="11"/>
  <c r="B285" i="11" l="1"/>
  <c r="D285" i="11"/>
  <c r="A286" i="11"/>
  <c r="I147" i="11"/>
  <c r="C148" i="11" s="1"/>
  <c r="F147" i="11"/>
  <c r="G147" i="11" s="1"/>
  <c r="H148" i="11" l="1"/>
  <c r="J148" i="11" s="1"/>
  <c r="E148" i="11"/>
  <c r="B286" i="11"/>
  <c r="D286" i="11"/>
  <c r="A287" i="11"/>
  <c r="I148" i="11" l="1"/>
  <c r="C149" i="11" s="1"/>
  <c r="F148" i="11"/>
  <c r="G148" i="11" s="1"/>
  <c r="B287" i="11"/>
  <c r="D287" i="11"/>
  <c r="A288" i="11"/>
  <c r="B288" i="11" l="1"/>
  <c r="D288" i="11"/>
  <c r="A289" i="11"/>
  <c r="H149" i="11"/>
  <c r="J149" i="11" s="1"/>
  <c r="E149" i="11"/>
  <c r="B289" i="11" l="1"/>
  <c r="D289" i="11"/>
  <c r="A290" i="11"/>
  <c r="I149" i="11"/>
  <c r="C150" i="11" s="1"/>
  <c r="F149" i="11"/>
  <c r="G149" i="11" s="1"/>
  <c r="H150" i="11" l="1"/>
  <c r="J150" i="11" s="1"/>
  <c r="E150" i="11"/>
  <c r="B290" i="11"/>
  <c r="D290" i="11"/>
  <c r="A291" i="11"/>
  <c r="F150" i="11" l="1"/>
  <c r="G150" i="11" s="1"/>
  <c r="I150" i="11"/>
  <c r="C151" i="11" s="1"/>
  <c r="B291" i="11"/>
  <c r="D291" i="11"/>
  <c r="A292" i="11"/>
  <c r="B292" i="11" l="1"/>
  <c r="D292" i="11"/>
  <c r="A293" i="11"/>
  <c r="H151" i="11"/>
  <c r="J151" i="11" s="1"/>
  <c r="E151" i="11"/>
  <c r="B293" i="11" l="1"/>
  <c r="D293" i="11"/>
  <c r="A294" i="11"/>
  <c r="F151" i="11"/>
  <c r="G151" i="11" s="1"/>
  <c r="I151" i="11"/>
  <c r="C152" i="11" s="1"/>
  <c r="H152" i="11" l="1"/>
  <c r="J152" i="11" s="1"/>
  <c r="E152" i="11"/>
  <c r="B294" i="11"/>
  <c r="D294" i="11"/>
  <c r="A295" i="11"/>
  <c r="B295" i="11" l="1"/>
  <c r="D295" i="11"/>
  <c r="A296" i="11"/>
  <c r="F152" i="11"/>
  <c r="G152" i="11" s="1"/>
  <c r="I152" i="11"/>
  <c r="C153" i="11" s="1"/>
  <c r="B296" i="11" l="1"/>
  <c r="D296" i="11"/>
  <c r="A297" i="11"/>
  <c r="E153" i="11"/>
  <c r="H153" i="11"/>
  <c r="J153" i="11" s="1"/>
  <c r="I153" i="11" l="1"/>
  <c r="C154" i="11" s="1"/>
  <c r="F153" i="11"/>
  <c r="G153" i="11" s="1"/>
  <c r="B297" i="11"/>
  <c r="D297" i="11"/>
  <c r="A298" i="11"/>
  <c r="B298" i="11" l="1"/>
  <c r="D298" i="11"/>
  <c r="A299" i="11"/>
  <c r="H154" i="11"/>
  <c r="J154" i="11" s="1"/>
  <c r="E154" i="11"/>
  <c r="B299" i="11" l="1"/>
  <c r="D299" i="11"/>
  <c r="A300" i="11"/>
  <c r="F154" i="11"/>
  <c r="G154" i="11" s="1"/>
  <c r="I154" i="11"/>
  <c r="C155" i="11" s="1"/>
  <c r="H155" i="11" l="1"/>
  <c r="J155" i="11" s="1"/>
  <c r="E155" i="11"/>
  <c r="B300" i="11"/>
  <c r="D300" i="11"/>
  <c r="A301" i="11"/>
  <c r="B301" i="11" l="1"/>
  <c r="D301" i="11"/>
  <c r="A302" i="11"/>
  <c r="F155" i="11"/>
  <c r="G155" i="11" s="1"/>
  <c r="I155" i="11"/>
  <c r="C156" i="11" s="1"/>
  <c r="B302" i="11" l="1"/>
  <c r="D302" i="11"/>
  <c r="A303" i="11"/>
  <c r="E156" i="11"/>
  <c r="H156" i="11"/>
  <c r="J156" i="11" s="1"/>
  <c r="F156" i="11" l="1"/>
  <c r="G156" i="11" s="1"/>
  <c r="I156" i="11"/>
  <c r="C157" i="11" s="1"/>
  <c r="B303" i="11"/>
  <c r="D303" i="11"/>
  <c r="A304" i="11"/>
  <c r="H157" i="11" l="1"/>
  <c r="J157" i="11" s="1"/>
  <c r="E157" i="11"/>
  <c r="B304" i="11"/>
  <c r="D304" i="11"/>
  <c r="A305" i="11"/>
  <c r="B305" i="11" l="1"/>
  <c r="D305" i="11"/>
  <c r="A306" i="11"/>
  <c r="F157" i="11"/>
  <c r="G157" i="11" s="1"/>
  <c r="I157" i="11"/>
  <c r="C158" i="11" s="1"/>
  <c r="B306" i="11" l="1"/>
  <c r="D306" i="11"/>
  <c r="A307" i="11"/>
  <c r="H158" i="11"/>
  <c r="J158" i="11" s="1"/>
  <c r="E158" i="11"/>
  <c r="B307" i="11" l="1"/>
  <c r="D307" i="11"/>
  <c r="A308" i="11"/>
  <c r="I158" i="11"/>
  <c r="C159" i="11" s="1"/>
  <c r="F158" i="11"/>
  <c r="G158" i="11" s="1"/>
  <c r="H159" i="11" l="1"/>
  <c r="J159" i="11" s="1"/>
  <c r="E159" i="11"/>
  <c r="B308" i="11"/>
  <c r="D308" i="11"/>
  <c r="A309" i="11"/>
  <c r="B309" i="11" l="1"/>
  <c r="D309" i="11"/>
  <c r="A310" i="11"/>
  <c r="I159" i="11"/>
  <c r="C160" i="11" s="1"/>
  <c r="F159" i="11"/>
  <c r="G159" i="11" s="1"/>
  <c r="H160" i="11" l="1"/>
  <c r="J160" i="11" s="1"/>
  <c r="E160" i="11"/>
  <c r="B310" i="11"/>
  <c r="D310" i="11"/>
  <c r="A311" i="11"/>
  <c r="I160" i="11" l="1"/>
  <c r="C161" i="11" s="1"/>
  <c r="F160" i="11"/>
  <c r="G160" i="11" s="1"/>
  <c r="B311" i="11"/>
  <c r="D311" i="11"/>
  <c r="A312" i="11"/>
  <c r="H161" i="11" l="1"/>
  <c r="J161" i="11" s="1"/>
  <c r="E161" i="11"/>
  <c r="B312" i="11"/>
  <c r="D312" i="11"/>
  <c r="A313" i="11"/>
  <c r="B313" i="11" l="1"/>
  <c r="D313" i="11"/>
  <c r="A314" i="11"/>
  <c r="F161" i="11"/>
  <c r="G161" i="11" s="1"/>
  <c r="I161" i="11"/>
  <c r="C162" i="11" s="1"/>
  <c r="B314" i="11" l="1"/>
  <c r="D314" i="11"/>
  <c r="A315" i="11"/>
  <c r="H162" i="11"/>
  <c r="J162" i="11" s="1"/>
  <c r="E162" i="11"/>
  <c r="B315" i="11" l="1"/>
  <c r="D315" i="11"/>
  <c r="A316" i="11"/>
  <c r="I162" i="11"/>
  <c r="C163" i="11" s="1"/>
  <c r="F162" i="11"/>
  <c r="G162" i="11" s="1"/>
  <c r="B316" i="11" l="1"/>
  <c r="D316" i="11"/>
  <c r="A317" i="11"/>
  <c r="H163" i="11"/>
  <c r="J163" i="11" s="1"/>
  <c r="E163" i="11"/>
  <c r="I163" i="11" l="1"/>
  <c r="C164" i="11" s="1"/>
  <c r="F163" i="11"/>
  <c r="G163" i="11" s="1"/>
  <c r="B317" i="11"/>
  <c r="D317" i="11"/>
  <c r="A318" i="11"/>
  <c r="B318" i="11" l="1"/>
  <c r="D318" i="11"/>
  <c r="A319" i="11"/>
  <c r="H164" i="11"/>
  <c r="J164" i="11" s="1"/>
  <c r="E164" i="11"/>
  <c r="B319" i="11" l="1"/>
  <c r="D319" i="11"/>
  <c r="A320" i="11"/>
  <c r="F164" i="11"/>
  <c r="G164" i="11" s="1"/>
  <c r="I164" i="11"/>
  <c r="C165" i="11" s="1"/>
  <c r="B320" i="11" l="1"/>
  <c r="D320" i="11"/>
  <c r="A321" i="11"/>
  <c r="H165" i="11"/>
  <c r="J165" i="11" s="1"/>
  <c r="E165" i="11"/>
  <c r="B321" i="11" l="1"/>
  <c r="D321" i="11"/>
  <c r="A322" i="11"/>
  <c r="F165" i="11"/>
  <c r="G165" i="11" s="1"/>
  <c r="I165" i="11"/>
  <c r="C166" i="11" s="1"/>
  <c r="H166" i="11" l="1"/>
  <c r="J166" i="11" s="1"/>
  <c r="E166" i="11"/>
  <c r="B322" i="11"/>
  <c r="D322" i="11"/>
  <c r="A323" i="11"/>
  <c r="I166" i="11" l="1"/>
  <c r="C167" i="11" s="1"/>
  <c r="F166" i="11"/>
  <c r="G166" i="11" s="1"/>
  <c r="B323" i="11"/>
  <c r="D323" i="11"/>
  <c r="A324" i="11"/>
  <c r="B324" i="11" l="1"/>
  <c r="D324" i="11"/>
  <c r="A325" i="11"/>
  <c r="H167" i="11"/>
  <c r="J167" i="11" s="1"/>
  <c r="E167" i="11"/>
  <c r="F167" i="11" l="1"/>
  <c r="G167" i="11" s="1"/>
  <c r="I167" i="11"/>
  <c r="C168" i="11" s="1"/>
  <c r="B325" i="11"/>
  <c r="D325" i="11"/>
  <c r="A326" i="11"/>
  <c r="H168" i="11" l="1"/>
  <c r="J168" i="11" s="1"/>
  <c r="E168" i="11"/>
  <c r="B326" i="11"/>
  <c r="D326" i="11"/>
  <c r="A327" i="11"/>
  <c r="F168" i="11" l="1"/>
  <c r="G168" i="11" s="1"/>
  <c r="I168" i="11"/>
  <c r="C169" i="11" s="1"/>
  <c r="B327" i="11"/>
  <c r="D327" i="11"/>
  <c r="A328" i="11"/>
  <c r="B328" i="11" l="1"/>
  <c r="D328" i="11"/>
  <c r="A329" i="11"/>
  <c r="H169" i="11"/>
  <c r="J169" i="11" s="1"/>
  <c r="E169" i="11"/>
  <c r="F169" i="11" l="1"/>
  <c r="G169" i="11" s="1"/>
  <c r="I169" i="11"/>
  <c r="C170" i="11" s="1"/>
  <c r="B329" i="11"/>
  <c r="D329" i="11"/>
  <c r="A330" i="11"/>
  <c r="B330" i="11" l="1"/>
  <c r="D330" i="11"/>
  <c r="A331" i="11"/>
  <c r="H170" i="11"/>
  <c r="J170" i="11" s="1"/>
  <c r="E170" i="11"/>
  <c r="F170" i="11" l="1"/>
  <c r="G170" i="11" s="1"/>
  <c r="I170" i="11"/>
  <c r="C171" i="11" s="1"/>
  <c r="B331" i="11"/>
  <c r="D331" i="11"/>
  <c r="A332" i="11"/>
  <c r="B332" i="11" l="1"/>
  <c r="D332" i="11"/>
  <c r="A333" i="11"/>
  <c r="H171" i="11"/>
  <c r="J171" i="11" s="1"/>
  <c r="E171" i="11"/>
  <c r="F171" i="11" l="1"/>
  <c r="G171" i="11" s="1"/>
  <c r="I171" i="11"/>
  <c r="C172" i="11" s="1"/>
  <c r="B333" i="11"/>
  <c r="D333" i="11"/>
  <c r="A334" i="11"/>
  <c r="H172" i="11" l="1"/>
  <c r="J172" i="11" s="1"/>
  <c r="E172" i="11"/>
  <c r="B334" i="11"/>
  <c r="D334" i="11"/>
  <c r="A335" i="11"/>
  <c r="I172" i="11" l="1"/>
  <c r="C173" i="11" s="1"/>
  <c r="F172" i="11"/>
  <c r="G172" i="11" s="1"/>
  <c r="B335" i="11"/>
  <c r="D335" i="11"/>
  <c r="A336" i="11"/>
  <c r="B336" i="11" l="1"/>
  <c r="D336" i="11"/>
  <c r="A337" i="11"/>
  <c r="H173" i="11"/>
  <c r="J173" i="11" s="1"/>
  <c r="E173" i="11"/>
  <c r="B337" i="11" l="1"/>
  <c r="D337" i="11"/>
  <c r="A338" i="11"/>
  <c r="I173" i="11"/>
  <c r="C174" i="11" s="1"/>
  <c r="F173" i="11"/>
  <c r="G173" i="11" s="1"/>
  <c r="B338" i="11" l="1"/>
  <c r="D338" i="11"/>
  <c r="A339" i="11"/>
  <c r="H174" i="11"/>
  <c r="J174" i="11" s="1"/>
  <c r="E174" i="11"/>
  <c r="I174" i="11" l="1"/>
  <c r="C175" i="11" s="1"/>
  <c r="F174" i="11"/>
  <c r="G174" i="11" s="1"/>
  <c r="B339" i="11"/>
  <c r="D339" i="11"/>
  <c r="A340" i="11"/>
  <c r="H175" i="11" l="1"/>
  <c r="J175" i="11" s="1"/>
  <c r="E175" i="11"/>
  <c r="B340" i="11"/>
  <c r="D340" i="11"/>
  <c r="A341" i="11"/>
  <c r="I175" i="11" l="1"/>
  <c r="C176" i="11" s="1"/>
  <c r="F175" i="11"/>
  <c r="G175" i="11" s="1"/>
  <c r="B341" i="11"/>
  <c r="D341" i="11"/>
  <c r="A342" i="11"/>
  <c r="B342" i="11" l="1"/>
  <c r="D342" i="11"/>
  <c r="A343" i="11"/>
  <c r="H176" i="11"/>
  <c r="J176" i="11" s="1"/>
  <c r="E176" i="11"/>
  <c r="I176" i="11" l="1"/>
  <c r="C177" i="11" s="1"/>
  <c r="F176" i="11"/>
  <c r="G176" i="11" s="1"/>
  <c r="B343" i="11"/>
  <c r="D343" i="11"/>
  <c r="A344" i="11"/>
  <c r="B344" i="11" l="1"/>
  <c r="D344" i="11"/>
  <c r="A345" i="11"/>
  <c r="H177" i="11"/>
  <c r="J177" i="11" s="1"/>
  <c r="E177" i="11"/>
  <c r="I177" i="11" l="1"/>
  <c r="C178" i="11" s="1"/>
  <c r="F177" i="11"/>
  <c r="G177" i="11" s="1"/>
  <c r="B345" i="11"/>
  <c r="D345" i="11"/>
  <c r="A346" i="11"/>
  <c r="H178" i="11" l="1"/>
  <c r="J178" i="11" s="1"/>
  <c r="E178" i="11"/>
  <c r="B346" i="11"/>
  <c r="D346" i="11"/>
  <c r="A347" i="11"/>
  <c r="B347" i="11" l="1"/>
  <c r="D347" i="11"/>
  <c r="A348" i="11"/>
  <c r="I178" i="11"/>
  <c r="C179" i="11" s="1"/>
  <c r="F178" i="11"/>
  <c r="G178" i="11" s="1"/>
  <c r="H179" i="11" l="1"/>
  <c r="J179" i="11" s="1"/>
  <c r="E179" i="11"/>
  <c r="B348" i="11"/>
  <c r="D348" i="11"/>
  <c r="A349" i="11"/>
  <c r="F179" i="11" l="1"/>
  <c r="G179" i="11" s="1"/>
  <c r="I179" i="11"/>
  <c r="C180" i="11" s="1"/>
  <c r="B349" i="11"/>
  <c r="D349" i="11"/>
  <c r="A350" i="11"/>
  <c r="B350" i="11" l="1"/>
  <c r="D350" i="11"/>
  <c r="A351" i="11"/>
  <c r="H180" i="11"/>
  <c r="J180" i="11" s="1"/>
  <c r="E180" i="11"/>
  <c r="I180" i="11" l="1"/>
  <c r="C181" i="11" s="1"/>
  <c r="F180" i="11"/>
  <c r="G180" i="11" s="1"/>
  <c r="B351" i="11"/>
  <c r="D351" i="11"/>
  <c r="A352" i="11"/>
  <c r="H181" i="11" l="1"/>
  <c r="J181" i="11" s="1"/>
  <c r="E181" i="11"/>
  <c r="B352" i="11"/>
  <c r="D352" i="11"/>
  <c r="A353" i="11"/>
  <c r="F181" i="11" l="1"/>
  <c r="G181" i="11" s="1"/>
  <c r="I181" i="11"/>
  <c r="C182" i="11" s="1"/>
  <c r="B353" i="11"/>
  <c r="D353" i="11"/>
  <c r="A354" i="11"/>
  <c r="H182" i="11" l="1"/>
  <c r="J182" i="11" s="1"/>
  <c r="E182" i="11"/>
  <c r="B354" i="11"/>
  <c r="D354" i="11"/>
  <c r="A355" i="11"/>
  <c r="B355" i="11" l="1"/>
  <c r="D355" i="11"/>
  <c r="A356" i="11"/>
  <c r="F182" i="11"/>
  <c r="G182" i="11" s="1"/>
  <c r="I182" i="11"/>
  <c r="C183" i="11" s="1"/>
  <c r="H183" i="11" l="1"/>
  <c r="J183" i="11" s="1"/>
  <c r="E183" i="11"/>
  <c r="B356" i="11"/>
  <c r="D356" i="11"/>
  <c r="A357" i="11"/>
  <c r="I183" i="11" l="1"/>
  <c r="C184" i="11" s="1"/>
  <c r="F183" i="11"/>
  <c r="G183" i="11" s="1"/>
  <c r="B357" i="11"/>
  <c r="D357" i="11"/>
  <c r="A358" i="11"/>
  <c r="B358" i="11" l="1"/>
  <c r="D358" i="11"/>
  <c r="A359" i="11"/>
  <c r="H184" i="11"/>
  <c r="J184" i="11" s="1"/>
  <c r="E184" i="11"/>
  <c r="I184" i="11" l="1"/>
  <c r="C185" i="11" s="1"/>
  <c r="F184" i="11"/>
  <c r="G184" i="11" s="1"/>
  <c r="B359" i="11"/>
  <c r="D359" i="11"/>
  <c r="A360" i="11"/>
  <c r="B360" i="11" l="1"/>
  <c r="D360" i="11"/>
  <c r="A361" i="11"/>
  <c r="H185" i="11"/>
  <c r="J185" i="11" s="1"/>
  <c r="E185" i="11"/>
  <c r="B361" i="11" l="1"/>
  <c r="D361" i="11"/>
  <c r="A362" i="11"/>
  <c r="F185" i="11"/>
  <c r="G185" i="11" s="1"/>
  <c r="I185" i="11"/>
  <c r="C186" i="11" s="1"/>
  <c r="H186" i="11" l="1"/>
  <c r="J186" i="11" s="1"/>
  <c r="E186" i="11"/>
  <c r="B362" i="11"/>
  <c r="D362" i="11"/>
  <c r="A363" i="11"/>
  <c r="B363" i="11" l="1"/>
  <c r="D363" i="11"/>
  <c r="A364" i="11"/>
  <c r="I186" i="11"/>
  <c r="C187" i="11" s="1"/>
  <c r="F186" i="11"/>
  <c r="G186" i="11" s="1"/>
  <c r="H187" i="11" l="1"/>
  <c r="J187" i="11" s="1"/>
  <c r="E187" i="11"/>
  <c r="B364" i="11"/>
  <c r="D364" i="11"/>
  <c r="A365" i="11"/>
  <c r="B365" i="11" l="1"/>
  <c r="D365" i="11"/>
  <c r="A366" i="11"/>
  <c r="I187" i="11"/>
  <c r="C188" i="11" s="1"/>
  <c r="F187" i="11"/>
  <c r="G187" i="11" s="1"/>
  <c r="H188" i="11" l="1"/>
  <c r="J188" i="11" s="1"/>
  <c r="E188" i="11"/>
  <c r="B366" i="11"/>
  <c r="D366" i="11"/>
  <c r="A367" i="11"/>
  <c r="I188" i="11" l="1"/>
  <c r="C189" i="11" s="1"/>
  <c r="F188" i="11"/>
  <c r="G188" i="11" s="1"/>
  <c r="B367" i="11"/>
  <c r="D367" i="11"/>
  <c r="A368" i="11"/>
  <c r="H189" i="11" l="1"/>
  <c r="J189" i="11" s="1"/>
  <c r="E189" i="11"/>
  <c r="B368" i="11"/>
  <c r="D368" i="11"/>
  <c r="A369" i="11"/>
  <c r="I189" i="11" l="1"/>
  <c r="C190" i="11" s="1"/>
  <c r="F189" i="11"/>
  <c r="G189" i="11" s="1"/>
  <c r="B369" i="11"/>
  <c r="D369" i="11"/>
  <c r="A370" i="11"/>
  <c r="B370" i="11" l="1"/>
  <c r="D370" i="11"/>
  <c r="A371" i="11"/>
  <c r="H190" i="11"/>
  <c r="J190" i="11" s="1"/>
  <c r="E190" i="11"/>
  <c r="B371" i="11" l="1"/>
  <c r="D371" i="11"/>
  <c r="A372" i="11"/>
  <c r="F190" i="11"/>
  <c r="G190" i="11" s="1"/>
  <c r="I190" i="11"/>
  <c r="C191" i="11" s="1"/>
  <c r="H191" i="11" l="1"/>
  <c r="J191" i="11" s="1"/>
  <c r="E191" i="11"/>
  <c r="B372" i="11"/>
  <c r="D372" i="11"/>
  <c r="A373" i="11"/>
  <c r="B373" i="11" l="1"/>
  <c r="D373" i="11"/>
  <c r="A374" i="11"/>
  <c r="I191" i="11"/>
  <c r="C192" i="11" s="1"/>
  <c r="F191" i="11"/>
  <c r="G191" i="11" s="1"/>
  <c r="H192" i="11" l="1"/>
  <c r="J192" i="11" s="1"/>
  <c r="E192" i="11"/>
  <c r="B374" i="11"/>
  <c r="D374" i="11"/>
  <c r="A375" i="11"/>
  <c r="F192" i="11" l="1"/>
  <c r="G192" i="11" s="1"/>
  <c r="I192" i="11"/>
  <c r="C193" i="11" s="1"/>
  <c r="B375" i="11"/>
  <c r="D375" i="11"/>
  <c r="A376" i="11"/>
  <c r="B376" i="11" l="1"/>
  <c r="D376" i="11"/>
  <c r="A377" i="11"/>
  <c r="H193" i="11"/>
  <c r="J193" i="11" s="1"/>
  <c r="E193" i="11"/>
  <c r="B377" i="11" l="1"/>
  <c r="D377" i="11"/>
  <c r="A378" i="11"/>
  <c r="I193" i="11"/>
  <c r="C194" i="11" s="1"/>
  <c r="F193" i="11"/>
  <c r="G193" i="11" s="1"/>
  <c r="B378" i="11" l="1"/>
  <c r="D378" i="11"/>
  <c r="A379" i="11"/>
  <c r="H194" i="11"/>
  <c r="J194" i="11" s="1"/>
  <c r="E194" i="11"/>
  <c r="B379" i="11" l="1"/>
  <c r="D379" i="11"/>
  <c r="A380" i="11"/>
  <c r="F194" i="11"/>
  <c r="G194" i="11" s="1"/>
  <c r="I194" i="11"/>
  <c r="C195" i="11" s="1"/>
  <c r="B380" i="11" l="1"/>
  <c r="D380" i="11"/>
  <c r="A381" i="11"/>
  <c r="H195" i="11"/>
  <c r="J195" i="11" s="1"/>
  <c r="E195" i="11"/>
  <c r="B381" i="11" l="1"/>
  <c r="D381" i="11"/>
  <c r="A382" i="11"/>
  <c r="F195" i="11"/>
  <c r="G195" i="11" s="1"/>
  <c r="I195" i="11"/>
  <c r="C196" i="11" s="1"/>
  <c r="H196" i="11" l="1"/>
  <c r="J196" i="11" s="1"/>
  <c r="E196" i="11"/>
  <c r="B382" i="11"/>
  <c r="D382" i="11"/>
  <c r="A383" i="11"/>
  <c r="B383" i="11" l="1"/>
  <c r="D383" i="11"/>
  <c r="A384" i="11"/>
  <c r="F196" i="11"/>
  <c r="G196" i="11" s="1"/>
  <c r="I196" i="11"/>
  <c r="C197" i="11" s="1"/>
  <c r="H197" i="11" l="1"/>
  <c r="J197" i="11" s="1"/>
  <c r="E197" i="11"/>
  <c r="B384" i="11"/>
  <c r="D384" i="11"/>
  <c r="A385" i="11"/>
  <c r="B385" i="11" l="1"/>
  <c r="D385" i="11"/>
  <c r="A386" i="11"/>
  <c r="F197" i="11"/>
  <c r="G197" i="11" s="1"/>
  <c r="I197" i="11"/>
  <c r="C198" i="11" s="1"/>
  <c r="B386" i="11" l="1"/>
  <c r="D386" i="11"/>
  <c r="A387" i="11"/>
  <c r="H198" i="11"/>
  <c r="J198" i="11" s="1"/>
  <c r="E198" i="11"/>
  <c r="I198" i="11" l="1"/>
  <c r="C199" i="11" s="1"/>
  <c r="F198" i="11"/>
  <c r="G198" i="11" s="1"/>
  <c r="B387" i="11"/>
  <c r="D387" i="11"/>
  <c r="A388" i="11"/>
  <c r="H199" i="11" l="1"/>
  <c r="J199" i="11" s="1"/>
  <c r="E199" i="11"/>
  <c r="B388" i="11"/>
  <c r="D388" i="11"/>
  <c r="A389" i="11"/>
  <c r="I199" i="11" l="1"/>
  <c r="C200" i="11" s="1"/>
  <c r="F199" i="11"/>
  <c r="G199" i="11" s="1"/>
  <c r="B389" i="11"/>
  <c r="D389" i="11"/>
  <c r="A390" i="11"/>
  <c r="B390" i="11" l="1"/>
  <c r="D390" i="11"/>
  <c r="A391" i="11"/>
  <c r="H200" i="11"/>
  <c r="J200" i="11" s="1"/>
  <c r="E200" i="11"/>
  <c r="B391" i="11" l="1"/>
  <c r="D391" i="11"/>
  <c r="A392" i="11"/>
  <c r="I200" i="11"/>
  <c r="C201" i="11" s="1"/>
  <c r="F200" i="11"/>
  <c r="G200" i="11" s="1"/>
  <c r="B392" i="11" l="1"/>
  <c r="D392" i="11"/>
  <c r="A393" i="11"/>
  <c r="H201" i="11"/>
  <c r="J201" i="11" s="1"/>
  <c r="E201" i="11"/>
  <c r="B393" i="11" l="1"/>
  <c r="D393" i="11"/>
  <c r="A394" i="11"/>
  <c r="F201" i="11"/>
  <c r="G201" i="11" s="1"/>
  <c r="I201" i="11"/>
  <c r="C202" i="11" s="1"/>
  <c r="H202" i="11" l="1"/>
  <c r="J202" i="11" s="1"/>
  <c r="E202" i="11"/>
  <c r="B394" i="11"/>
  <c r="D394" i="11"/>
  <c r="A395" i="11"/>
  <c r="B395" i="11" l="1"/>
  <c r="D395" i="11"/>
  <c r="A396" i="11"/>
  <c r="I202" i="11"/>
  <c r="C203" i="11" s="1"/>
  <c r="F202" i="11"/>
  <c r="G202" i="11" s="1"/>
  <c r="B396" i="11" l="1"/>
  <c r="D396" i="11"/>
  <c r="A397" i="11"/>
  <c r="H203" i="11"/>
  <c r="J203" i="11" s="1"/>
  <c r="E203" i="11"/>
  <c r="B397" i="11" l="1"/>
  <c r="D397" i="11"/>
  <c r="A398" i="11"/>
  <c r="I203" i="11"/>
  <c r="C204" i="11" s="1"/>
  <c r="F203" i="11"/>
  <c r="G203" i="11" s="1"/>
  <c r="H204" i="11" l="1"/>
  <c r="J204" i="11" s="1"/>
  <c r="E204" i="11"/>
  <c r="B398" i="11"/>
  <c r="D398" i="11"/>
  <c r="A399" i="11"/>
  <c r="I204" i="11" l="1"/>
  <c r="C205" i="11" s="1"/>
  <c r="F204" i="11"/>
  <c r="G204" i="11" s="1"/>
  <c r="B399" i="11"/>
  <c r="D399" i="11"/>
  <c r="A400" i="11"/>
  <c r="B400" i="11" l="1"/>
  <c r="D400" i="11"/>
  <c r="A401" i="11"/>
  <c r="H205" i="11"/>
  <c r="J205" i="11" s="1"/>
  <c r="E205" i="11"/>
  <c r="B401" i="11" l="1"/>
  <c r="D401" i="11"/>
  <c r="A402" i="11"/>
  <c r="F205" i="11"/>
  <c r="G205" i="11" s="1"/>
  <c r="I205" i="11"/>
  <c r="C206" i="11" s="1"/>
  <c r="B402" i="11" l="1"/>
  <c r="D402" i="11"/>
  <c r="A403" i="11"/>
  <c r="H206" i="11"/>
  <c r="J206" i="11" s="1"/>
  <c r="E206" i="11"/>
  <c r="I206" i="11" l="1"/>
  <c r="C207" i="11" s="1"/>
  <c r="F206" i="11"/>
  <c r="G206" i="11" s="1"/>
  <c r="B403" i="11"/>
  <c r="D403" i="11"/>
  <c r="A404" i="11"/>
  <c r="B404" i="11" l="1"/>
  <c r="D404" i="11"/>
  <c r="A405" i="11"/>
  <c r="H207" i="11"/>
  <c r="J207" i="11" s="1"/>
  <c r="E207" i="11"/>
  <c r="F207" i="11" l="1"/>
  <c r="G207" i="11" s="1"/>
  <c r="I207" i="11"/>
  <c r="C208" i="11" s="1"/>
  <c r="B405" i="11"/>
  <c r="D405" i="11"/>
  <c r="A406" i="11"/>
  <c r="H208" i="11" l="1"/>
  <c r="J208" i="11" s="1"/>
  <c r="E208" i="11"/>
  <c r="B406" i="11"/>
  <c r="D406" i="11"/>
  <c r="A407" i="11"/>
  <c r="B407" i="11" l="1"/>
  <c r="D407" i="11"/>
  <c r="A408" i="11"/>
  <c r="I208" i="11"/>
  <c r="C209" i="11" s="1"/>
  <c r="F208" i="11"/>
  <c r="G208" i="11" s="1"/>
  <c r="H209" i="11" l="1"/>
  <c r="J209" i="11" s="1"/>
  <c r="E209" i="11"/>
  <c r="B408" i="11"/>
  <c r="D408" i="11"/>
  <c r="A409" i="11"/>
  <c r="B409" i="11" l="1"/>
  <c r="D409" i="11"/>
  <c r="A410" i="11"/>
  <c r="F209" i="11"/>
  <c r="G209" i="11" s="1"/>
  <c r="I209" i="11"/>
  <c r="C210" i="11" s="1"/>
  <c r="H210" i="11" l="1"/>
  <c r="J210" i="11" s="1"/>
  <c r="E210" i="11"/>
  <c r="B410" i="11"/>
  <c r="D410" i="11"/>
  <c r="A411" i="11"/>
  <c r="B411" i="11" l="1"/>
  <c r="D411" i="11"/>
  <c r="A412" i="11"/>
  <c r="I210" i="11"/>
  <c r="C211" i="11" s="1"/>
  <c r="F210" i="11"/>
  <c r="G210" i="11" s="1"/>
  <c r="B412" i="11" l="1"/>
  <c r="D412" i="11"/>
  <c r="A413" i="11"/>
  <c r="H211" i="11"/>
  <c r="J211" i="11" s="1"/>
  <c r="E211" i="11"/>
  <c r="B413" i="11" l="1"/>
  <c r="D413" i="11"/>
  <c r="A414" i="11"/>
  <c r="I211" i="11"/>
  <c r="C212" i="11" s="1"/>
  <c r="F211" i="11"/>
  <c r="G211" i="11" s="1"/>
  <c r="H212" i="11" l="1"/>
  <c r="J212" i="11" s="1"/>
  <c r="E212" i="11"/>
  <c r="B414" i="11"/>
  <c r="D414" i="11"/>
  <c r="A415" i="11"/>
  <c r="I212" i="11" l="1"/>
  <c r="C213" i="11" s="1"/>
  <c r="F212" i="11"/>
  <c r="G212" i="11" s="1"/>
  <c r="B415" i="11"/>
  <c r="D415" i="11"/>
  <c r="A416" i="11"/>
  <c r="B416" i="11" l="1"/>
  <c r="D416" i="11"/>
  <c r="A417" i="11"/>
  <c r="H213" i="11"/>
  <c r="J213" i="11" s="1"/>
  <c r="E213" i="11"/>
  <c r="B417" i="11" l="1"/>
  <c r="D417" i="11"/>
  <c r="A418" i="11"/>
  <c r="F213" i="11"/>
  <c r="G213" i="11" s="1"/>
  <c r="I213" i="11"/>
  <c r="C214" i="11" s="1"/>
  <c r="B418" i="11" l="1"/>
  <c r="D418" i="11"/>
  <c r="A419" i="11"/>
  <c r="H214" i="11"/>
  <c r="J214" i="11" s="1"/>
  <c r="E214" i="11"/>
  <c r="I214" i="11" l="1"/>
  <c r="C215" i="11" s="1"/>
  <c r="F214" i="11"/>
  <c r="G214" i="11" s="1"/>
  <c r="B419" i="11"/>
  <c r="D419" i="11"/>
  <c r="A420" i="11"/>
  <c r="H215" i="11" l="1"/>
  <c r="J215" i="11" s="1"/>
  <c r="E215" i="11"/>
  <c r="B420" i="11"/>
  <c r="D420" i="11"/>
  <c r="A421" i="11"/>
  <c r="B421" i="11" l="1"/>
  <c r="D421" i="11"/>
  <c r="A422" i="11"/>
  <c r="I215" i="11"/>
  <c r="C216" i="11" s="1"/>
  <c r="F215" i="11"/>
  <c r="G215" i="11" s="1"/>
  <c r="H216" i="11" l="1"/>
  <c r="J216" i="11" s="1"/>
  <c r="E216" i="11"/>
  <c r="B422" i="11"/>
  <c r="D422" i="11"/>
  <c r="A423" i="11"/>
  <c r="B423" i="11" l="1"/>
  <c r="D423" i="11"/>
  <c r="A424" i="11"/>
  <c r="I216" i="11"/>
  <c r="C217" i="11" s="1"/>
  <c r="F216" i="11"/>
  <c r="G216" i="11" s="1"/>
  <c r="H217" i="11" l="1"/>
  <c r="J217" i="11" s="1"/>
  <c r="E217" i="11"/>
  <c r="B424" i="11"/>
  <c r="D424" i="11"/>
  <c r="A425" i="11"/>
  <c r="B425" i="11" l="1"/>
  <c r="D425" i="11"/>
  <c r="A426" i="11"/>
  <c r="F217" i="11"/>
  <c r="G217" i="11" s="1"/>
  <c r="I217" i="11"/>
  <c r="C218" i="11" s="1"/>
  <c r="B426" i="11" l="1"/>
  <c r="D426" i="11"/>
  <c r="A427" i="11"/>
  <c r="H218" i="11"/>
  <c r="J218" i="11" s="1"/>
  <c r="E218" i="11"/>
  <c r="B427" i="11" l="1"/>
  <c r="D427" i="11"/>
  <c r="A428" i="11"/>
  <c r="F218" i="11"/>
  <c r="G218" i="11" s="1"/>
  <c r="I218" i="11"/>
  <c r="C219" i="11" s="1"/>
  <c r="E219" i="11" l="1"/>
  <c r="H219" i="11"/>
  <c r="J219" i="11" s="1"/>
  <c r="B428" i="11"/>
  <c r="D428" i="11"/>
  <c r="A429" i="11"/>
  <c r="I219" i="11" l="1"/>
  <c r="C220" i="11" s="1"/>
  <c r="F219" i="11"/>
  <c r="G219" i="11" s="1"/>
  <c r="B429" i="11"/>
  <c r="D429" i="11"/>
  <c r="A430" i="11"/>
  <c r="B430" i="11" l="1"/>
  <c r="D430" i="11"/>
  <c r="A431" i="11"/>
  <c r="H220" i="11"/>
  <c r="J220" i="11" s="1"/>
  <c r="E220" i="11"/>
  <c r="B431" i="11" l="1"/>
  <c r="D431" i="11"/>
  <c r="A432" i="11"/>
  <c r="I220" i="11"/>
  <c r="C221" i="11" s="1"/>
  <c r="F220" i="11"/>
  <c r="G220" i="11" s="1"/>
  <c r="E221" i="11" l="1"/>
  <c r="H221" i="11"/>
  <c r="J221" i="11" s="1"/>
  <c r="B432" i="11"/>
  <c r="D432" i="11"/>
  <c r="A433" i="11"/>
  <c r="B433" i="11" l="1"/>
  <c r="D433" i="11"/>
  <c r="A434" i="11"/>
  <c r="F221" i="11"/>
  <c r="G221" i="11" s="1"/>
  <c r="I221" i="11"/>
  <c r="C222" i="11" s="1"/>
  <c r="H222" i="11" l="1"/>
  <c r="J222" i="11" s="1"/>
  <c r="E222" i="11"/>
  <c r="B434" i="11"/>
  <c r="D434" i="11"/>
  <c r="A435" i="11"/>
  <c r="B435" i="11" l="1"/>
  <c r="D435" i="11"/>
  <c r="A436" i="11"/>
  <c r="F222" i="11"/>
  <c r="G222" i="11" s="1"/>
  <c r="I222" i="11"/>
  <c r="C223" i="11" s="1"/>
  <c r="B436" i="11" l="1"/>
  <c r="D436" i="11"/>
  <c r="A437" i="11"/>
  <c r="H223" i="11"/>
  <c r="J223" i="11" s="1"/>
  <c r="E223" i="11"/>
  <c r="B437" i="11" l="1"/>
  <c r="D437" i="11"/>
  <c r="A438" i="11"/>
  <c r="I223" i="11"/>
  <c r="C224" i="11" s="1"/>
  <c r="F223" i="11"/>
  <c r="G223" i="11" s="1"/>
  <c r="B438" i="11" l="1"/>
  <c r="D438" i="11"/>
  <c r="A439" i="11"/>
  <c r="E224" i="11"/>
  <c r="H224" i="11"/>
  <c r="J224" i="11" s="1"/>
  <c r="I224" i="11" l="1"/>
  <c r="C225" i="11" s="1"/>
  <c r="F224" i="11"/>
  <c r="G224" i="11" s="1"/>
  <c r="B439" i="11"/>
  <c r="D439" i="11"/>
  <c r="A440" i="11"/>
  <c r="B440" i="11" l="1"/>
  <c r="D440" i="11"/>
  <c r="A441" i="11"/>
  <c r="H225" i="11"/>
  <c r="J225" i="11" s="1"/>
  <c r="E225" i="11"/>
  <c r="B441" i="11" l="1"/>
  <c r="D441" i="11"/>
  <c r="A442" i="11"/>
  <c r="F225" i="11"/>
  <c r="G225" i="11" s="1"/>
  <c r="I225" i="11"/>
  <c r="C226" i="11" s="1"/>
  <c r="B442" i="11" l="1"/>
  <c r="D442" i="11"/>
  <c r="A443" i="11"/>
  <c r="H226" i="11"/>
  <c r="J226" i="11" s="1"/>
  <c r="E226" i="11"/>
  <c r="I226" i="11" l="1"/>
  <c r="C227" i="11" s="1"/>
  <c r="F226" i="11"/>
  <c r="G226" i="11" s="1"/>
  <c r="B443" i="11"/>
  <c r="D443" i="11"/>
  <c r="A444" i="11"/>
  <c r="B444" i="11" l="1"/>
  <c r="D444" i="11"/>
  <c r="A445" i="11"/>
  <c r="H227" i="11"/>
  <c r="J227" i="11" s="1"/>
  <c r="E227" i="11"/>
  <c r="I227" i="11" l="1"/>
  <c r="C228" i="11" s="1"/>
  <c r="F227" i="11"/>
  <c r="G227" i="11" s="1"/>
  <c r="B445" i="11"/>
  <c r="D445" i="11"/>
  <c r="A446" i="11"/>
  <c r="B446" i="11" l="1"/>
  <c r="D446" i="11"/>
  <c r="A447" i="11"/>
  <c r="H228" i="11"/>
  <c r="J228" i="11" s="1"/>
  <c r="E228" i="11"/>
  <c r="B447" i="11" l="1"/>
  <c r="D447" i="11"/>
  <c r="A448" i="11"/>
  <c r="F228" i="11"/>
  <c r="G228" i="11" s="1"/>
  <c r="I228" i="11"/>
  <c r="C229" i="11" s="1"/>
  <c r="H229" i="11" l="1"/>
  <c r="J229" i="11" s="1"/>
  <c r="E229" i="11"/>
  <c r="B448" i="11"/>
  <c r="D448" i="11"/>
  <c r="A449" i="11"/>
  <c r="B449" i="11" l="1"/>
  <c r="D449" i="11"/>
  <c r="A450" i="11"/>
  <c r="I229" i="11"/>
  <c r="C230" i="11" s="1"/>
  <c r="F229" i="11"/>
  <c r="G229" i="11" s="1"/>
  <c r="H230" i="11" l="1"/>
  <c r="J230" i="11" s="1"/>
  <c r="E230" i="11"/>
  <c r="B450" i="11"/>
  <c r="D450" i="11"/>
  <c r="A451" i="11"/>
  <c r="B451" i="11" l="1"/>
  <c r="D451" i="11"/>
  <c r="A452" i="11"/>
  <c r="I230" i="11"/>
  <c r="C231" i="11" s="1"/>
  <c r="F230" i="11"/>
  <c r="G230" i="11" s="1"/>
  <c r="H231" i="11" l="1"/>
  <c r="J231" i="11" s="1"/>
  <c r="E231" i="11"/>
  <c r="B452" i="11"/>
  <c r="D452" i="11"/>
  <c r="A453" i="11"/>
  <c r="B453" i="11" l="1"/>
  <c r="D453" i="11"/>
  <c r="A454" i="11"/>
  <c r="I231" i="11"/>
  <c r="C232" i="11" s="1"/>
  <c r="F231" i="11"/>
  <c r="G231" i="11" s="1"/>
  <c r="E232" i="11" l="1"/>
  <c r="H232" i="11"/>
  <c r="J232" i="11" s="1"/>
  <c r="B454" i="11"/>
  <c r="D454" i="11"/>
  <c r="A455" i="11"/>
  <c r="B455" i="11" l="1"/>
  <c r="D455" i="11"/>
  <c r="A456" i="11"/>
  <c r="F232" i="11"/>
  <c r="G232" i="11" s="1"/>
  <c r="I232" i="11"/>
  <c r="C233" i="11" s="1"/>
  <c r="H233" i="11" l="1"/>
  <c r="J233" i="11" s="1"/>
  <c r="E233" i="11"/>
  <c r="B456" i="11"/>
  <c r="D456" i="11"/>
  <c r="A457" i="11"/>
  <c r="B457" i="11" l="1"/>
  <c r="D457" i="11"/>
  <c r="A458" i="11"/>
  <c r="F233" i="11"/>
  <c r="G233" i="11" s="1"/>
  <c r="I233" i="11"/>
  <c r="C234" i="11" s="1"/>
  <c r="H234" i="11" l="1"/>
  <c r="J234" i="11" s="1"/>
  <c r="E234" i="11"/>
  <c r="B458" i="11"/>
  <c r="D458" i="11"/>
  <c r="A459" i="11"/>
  <c r="B459" i="11" l="1"/>
  <c r="D459" i="11"/>
  <c r="A460" i="11"/>
  <c r="I234" i="11"/>
  <c r="C235" i="11" s="1"/>
  <c r="F234" i="11"/>
  <c r="G234" i="11" s="1"/>
  <c r="H235" i="11" l="1"/>
  <c r="J235" i="11" s="1"/>
  <c r="E235" i="11"/>
  <c r="B460" i="11"/>
  <c r="D460" i="11"/>
  <c r="A461" i="11"/>
  <c r="I235" i="11" l="1"/>
  <c r="C236" i="11" s="1"/>
  <c r="F235" i="11"/>
  <c r="G235" i="11" s="1"/>
  <c r="B461" i="11"/>
  <c r="D461" i="11"/>
  <c r="A462" i="11"/>
  <c r="B462" i="11" l="1"/>
  <c r="D462" i="11"/>
  <c r="A463" i="11"/>
  <c r="H236" i="11"/>
  <c r="J236" i="11" s="1"/>
  <c r="E236" i="11"/>
  <c r="F236" i="11" l="1"/>
  <c r="G236" i="11" s="1"/>
  <c r="I236" i="11"/>
  <c r="C237" i="11" s="1"/>
  <c r="B463" i="11"/>
  <c r="D463" i="11"/>
  <c r="A464" i="11"/>
  <c r="H237" i="11" l="1"/>
  <c r="J237" i="11" s="1"/>
  <c r="E237" i="11"/>
  <c r="B464" i="11"/>
  <c r="D464" i="11"/>
  <c r="A465" i="11"/>
  <c r="I237" i="11" l="1"/>
  <c r="C238" i="11" s="1"/>
  <c r="F237" i="11"/>
  <c r="G237" i="11" s="1"/>
  <c r="B465" i="11"/>
  <c r="D465" i="11"/>
  <c r="A466" i="11"/>
  <c r="B466" i="11" l="1"/>
  <c r="D466" i="11"/>
  <c r="A467" i="11"/>
  <c r="H238" i="11"/>
  <c r="J238" i="11" s="1"/>
  <c r="E238" i="11"/>
  <c r="B467" i="11" l="1"/>
  <c r="D467" i="11"/>
  <c r="A468" i="11"/>
  <c r="I238" i="11"/>
  <c r="C239" i="11" s="1"/>
  <c r="F238" i="11"/>
  <c r="G238" i="11" s="1"/>
  <c r="B468" i="11" l="1"/>
  <c r="D468" i="11"/>
  <c r="A469" i="11"/>
  <c r="H239" i="11"/>
  <c r="J239" i="11" s="1"/>
  <c r="E239" i="11"/>
  <c r="B469" i="11" l="1"/>
  <c r="D469" i="11"/>
  <c r="A470" i="11"/>
  <c r="I239" i="11"/>
  <c r="C240" i="11" s="1"/>
  <c r="F239" i="11"/>
  <c r="G239" i="11" s="1"/>
  <c r="H240" i="11" l="1"/>
  <c r="J240" i="11" s="1"/>
  <c r="E240" i="11"/>
  <c r="B470" i="11"/>
  <c r="D470" i="11"/>
  <c r="A471" i="11"/>
  <c r="B471" i="11" l="1"/>
  <c r="D471" i="11"/>
  <c r="A472" i="11"/>
  <c r="I240" i="11"/>
  <c r="C241" i="11" s="1"/>
  <c r="F240" i="11"/>
  <c r="G240" i="11" s="1"/>
  <c r="H241" i="11" l="1"/>
  <c r="J241" i="11" s="1"/>
  <c r="E241" i="11"/>
  <c r="B472" i="11"/>
  <c r="D472" i="11"/>
  <c r="A473" i="11"/>
  <c r="F241" i="11" l="1"/>
  <c r="G241" i="11" s="1"/>
  <c r="I241" i="11"/>
  <c r="C242" i="11" s="1"/>
  <c r="B473" i="11"/>
  <c r="D473" i="11"/>
  <c r="A474" i="11"/>
  <c r="H242" i="11" l="1"/>
  <c r="J242" i="11" s="1"/>
  <c r="E242" i="11"/>
  <c r="B474" i="11"/>
  <c r="D474" i="11"/>
  <c r="A475" i="11"/>
  <c r="F242" i="11" l="1"/>
  <c r="G242" i="11" s="1"/>
  <c r="I242" i="11"/>
  <c r="C243" i="11" s="1"/>
  <c r="B475" i="11"/>
  <c r="D475" i="11"/>
  <c r="A476" i="11"/>
  <c r="H243" i="11" l="1"/>
  <c r="J243" i="11" s="1"/>
  <c r="E243" i="11"/>
  <c r="B476" i="11"/>
  <c r="D476" i="11"/>
  <c r="A477" i="11"/>
  <c r="B477" i="11" l="1"/>
  <c r="D477" i="11"/>
  <c r="A478" i="11"/>
  <c r="I243" i="11"/>
  <c r="C244" i="11" s="1"/>
  <c r="F243" i="11"/>
  <c r="G243" i="11" s="1"/>
  <c r="B478" i="11" l="1"/>
  <c r="D478" i="11"/>
  <c r="A479" i="11"/>
  <c r="H244" i="11"/>
  <c r="J244" i="11" s="1"/>
  <c r="E244" i="11"/>
  <c r="F244" i="11" l="1"/>
  <c r="G244" i="11" s="1"/>
  <c r="I244" i="11"/>
  <c r="C245" i="11" s="1"/>
  <c r="B479" i="11"/>
  <c r="D479" i="11"/>
  <c r="A480" i="11"/>
  <c r="B480" i="11" l="1"/>
  <c r="D480" i="11"/>
  <c r="A481" i="11"/>
  <c r="E245" i="11"/>
  <c r="H245" i="11"/>
  <c r="J245" i="11" s="1"/>
  <c r="I245" i="11" l="1"/>
  <c r="C246" i="11" s="1"/>
  <c r="F245" i="11"/>
  <c r="G245" i="11" s="1"/>
  <c r="B481" i="11"/>
  <c r="D481" i="11"/>
  <c r="A482" i="11"/>
  <c r="B482" i="11" l="1"/>
  <c r="D482" i="11"/>
  <c r="A483" i="11"/>
  <c r="H246" i="11"/>
  <c r="J246" i="11" s="1"/>
  <c r="E246" i="11"/>
  <c r="B483" i="11" l="1"/>
  <c r="D483" i="11"/>
  <c r="A484" i="11"/>
  <c r="F246" i="11"/>
  <c r="G246" i="11" s="1"/>
  <c r="I246" i="11"/>
  <c r="C247" i="11" s="1"/>
  <c r="H247" i="11" l="1"/>
  <c r="J247" i="11" s="1"/>
  <c r="E247" i="11"/>
  <c r="B484" i="11"/>
  <c r="D484" i="11"/>
  <c r="A485" i="11"/>
  <c r="B485" i="11" l="1"/>
  <c r="D485" i="11"/>
  <c r="A486" i="11"/>
  <c r="I247" i="11"/>
  <c r="C248" i="11" s="1"/>
  <c r="F247" i="11"/>
  <c r="G247" i="11" s="1"/>
  <c r="E248" i="11" l="1"/>
  <c r="H248" i="11"/>
  <c r="J248" i="11" s="1"/>
  <c r="B486" i="11"/>
  <c r="D486" i="11"/>
  <c r="A487" i="11"/>
  <c r="F248" i="11" l="1"/>
  <c r="G248" i="11" s="1"/>
  <c r="I248" i="11"/>
  <c r="C249" i="11" s="1"/>
  <c r="B487" i="11"/>
  <c r="D487" i="11"/>
  <c r="A488" i="11"/>
  <c r="H249" i="11" l="1"/>
  <c r="J249" i="11" s="1"/>
  <c r="E249" i="11"/>
  <c r="B488" i="11"/>
  <c r="D488" i="11"/>
  <c r="A489" i="11"/>
  <c r="B489" i="11" l="1"/>
  <c r="D489" i="11"/>
  <c r="A490" i="11"/>
  <c r="F249" i="11"/>
  <c r="G249" i="11" s="1"/>
  <c r="I249" i="11"/>
  <c r="C250" i="11" s="1"/>
  <c r="B490" i="11" l="1"/>
  <c r="D490" i="11"/>
  <c r="A491" i="11"/>
  <c r="H250" i="11"/>
  <c r="J250" i="11" s="1"/>
  <c r="E250" i="11"/>
  <c r="B491" i="11" l="1"/>
  <c r="D491" i="11"/>
  <c r="A492" i="11"/>
  <c r="I250" i="11"/>
  <c r="C251" i="11" s="1"/>
  <c r="F250" i="11"/>
  <c r="G250" i="11" s="1"/>
  <c r="H251" i="11" l="1"/>
  <c r="J251" i="11" s="1"/>
  <c r="E251" i="11"/>
  <c r="B492" i="11"/>
  <c r="D492" i="11"/>
  <c r="A493" i="11"/>
  <c r="I251" i="11" l="1"/>
  <c r="C252" i="11" s="1"/>
  <c r="F251" i="11"/>
  <c r="G251" i="11" s="1"/>
  <c r="B493" i="11"/>
  <c r="D493" i="11"/>
  <c r="A494" i="11"/>
  <c r="B494" i="11" l="1"/>
  <c r="D494" i="11"/>
  <c r="A495" i="11"/>
  <c r="H252" i="11"/>
  <c r="J252" i="11" s="1"/>
  <c r="E252" i="11"/>
  <c r="F252" i="11" l="1"/>
  <c r="G252" i="11" s="1"/>
  <c r="I252" i="11"/>
  <c r="C253" i="11" s="1"/>
  <c r="B495" i="11"/>
  <c r="D495" i="11"/>
  <c r="A496" i="11"/>
  <c r="B496" i="11" l="1"/>
  <c r="D496" i="11"/>
  <c r="A497" i="11"/>
  <c r="H253" i="11"/>
  <c r="J253" i="11" s="1"/>
  <c r="E253" i="11"/>
  <c r="B497" i="11" l="1"/>
  <c r="D497" i="11"/>
  <c r="I253" i="11"/>
  <c r="C254" i="11" s="1"/>
  <c r="F253" i="11"/>
  <c r="G253" i="11" s="1"/>
  <c r="H254" i="11" l="1"/>
  <c r="J254" i="11" s="1"/>
  <c r="E254" i="11"/>
  <c r="D5" i="12"/>
  <c r="F5" i="12" s="1"/>
  <c r="E20" i="3" s="1"/>
  <c r="E24" i="3" s="1"/>
  <c r="C5" i="12"/>
  <c r="E18" i="4" l="1"/>
  <c r="E27" i="4" s="1"/>
  <c r="L10" i="15"/>
  <c r="K10" i="15"/>
  <c r="J10" i="15"/>
  <c r="E10" i="15"/>
  <c r="H10" i="15"/>
  <c r="D10" i="15"/>
  <c r="I10" i="15"/>
  <c r="C10" i="15"/>
  <c r="M10" i="15"/>
  <c r="G10" i="15"/>
  <c r="F10" i="15"/>
  <c r="B10" i="15"/>
  <c r="E17" i="16"/>
  <c r="E18" i="16" s="1"/>
  <c r="E27" i="3"/>
  <c r="E29" i="3" s="1"/>
  <c r="F254" i="11"/>
  <c r="G254" i="11" s="1"/>
  <c r="I254" i="11"/>
  <c r="C255" i="11" s="1"/>
  <c r="G5" i="12"/>
  <c r="E16" i="2" s="1"/>
  <c r="E5" i="12"/>
  <c r="M12" i="15" l="1"/>
  <c r="E25" i="4"/>
  <c r="E41" i="4"/>
  <c r="E44" i="4" s="1"/>
  <c r="E20" i="2"/>
  <c r="L13" i="15"/>
  <c r="L14" i="15" s="1"/>
  <c r="I13" i="15"/>
  <c r="I14" i="15" s="1"/>
  <c r="C13" i="15"/>
  <c r="C14" i="15" s="1"/>
  <c r="G13" i="15"/>
  <c r="G14" i="15" s="1"/>
  <c r="F13" i="15"/>
  <c r="F14" i="15" s="1"/>
  <c r="B13" i="15"/>
  <c r="K13" i="15"/>
  <c r="J13" i="15"/>
  <c r="J14" i="15" s="1"/>
  <c r="E13" i="15"/>
  <c r="E14" i="15" s="1"/>
  <c r="M13" i="15"/>
  <c r="H13" i="15"/>
  <c r="H14" i="15" s="1"/>
  <c r="D13" i="15"/>
  <c r="D14" i="15" s="1"/>
  <c r="E11" i="4"/>
  <c r="E20" i="4" s="1"/>
  <c r="E29" i="4" s="1"/>
  <c r="E32" i="3"/>
  <c r="K14" i="15"/>
  <c r="H255" i="11"/>
  <c r="J255" i="11" s="1"/>
  <c r="E255" i="11"/>
  <c r="M14" i="15" l="1"/>
  <c r="B14" i="15"/>
  <c r="B16" i="15" s="1"/>
  <c r="C16" i="15" s="1"/>
  <c r="D16" i="15" s="1"/>
  <c r="E16" i="15" s="1"/>
  <c r="F16" i="15" s="1"/>
  <c r="G16" i="15" s="1"/>
  <c r="H16" i="15" s="1"/>
  <c r="I16" i="15" s="1"/>
  <c r="J16" i="15" s="1"/>
  <c r="K16" i="15" s="1"/>
  <c r="L16" i="15" s="1"/>
  <c r="E46" i="4"/>
  <c r="E50" i="4" s="1"/>
  <c r="I255" i="11"/>
  <c r="C256" i="11" s="1"/>
  <c r="F255" i="11"/>
  <c r="G255" i="11" s="1"/>
  <c r="C11" i="17"/>
  <c r="E13" i="2"/>
  <c r="C10" i="19"/>
  <c r="C11" i="19" s="1"/>
  <c r="C11" i="23"/>
  <c r="C10" i="17"/>
  <c r="M16" i="15" l="1"/>
  <c r="F48" i="4"/>
  <c r="E39" i="2"/>
  <c r="M17" i="15" s="1"/>
  <c r="C12" i="23"/>
  <c r="C13" i="23" s="1"/>
  <c r="C16" i="19"/>
  <c r="H256" i="11"/>
  <c r="J256" i="11" s="1"/>
  <c r="E256" i="11"/>
  <c r="C35" i="19"/>
  <c r="C36" i="19" s="1"/>
  <c r="C39" i="19" s="1"/>
  <c r="C12" i="19"/>
  <c r="E14" i="2"/>
  <c r="C13" i="17"/>
  <c r="C14" i="17" s="1"/>
  <c r="C14" i="23"/>
  <c r="C13" i="19"/>
  <c r="M18" i="15" l="1"/>
  <c r="E43" i="2"/>
  <c r="E8" i="16" s="1"/>
  <c r="C15" i="23"/>
  <c r="C16" i="23" s="1"/>
  <c r="C41" i="19"/>
  <c r="C16" i="17"/>
  <c r="C17" i="17" s="1"/>
  <c r="C17" i="19"/>
  <c r="C42" i="19" s="1"/>
  <c r="C17" i="23"/>
  <c r="C14" i="19"/>
  <c r="C15" i="19" s="1"/>
  <c r="F256" i="11"/>
  <c r="G256" i="11" s="1"/>
  <c r="I256" i="11"/>
  <c r="C257" i="11" s="1"/>
  <c r="E15" i="16"/>
  <c r="E12" i="16"/>
  <c r="E27" i="2"/>
  <c r="E44" i="2" l="1"/>
  <c r="E11" i="16" s="1"/>
  <c r="C18" i="23"/>
  <c r="C19" i="23" s="1"/>
  <c r="C18" i="19"/>
  <c r="H257" i="11"/>
  <c r="J257" i="11" s="1"/>
  <c r="E257" i="11"/>
  <c r="E10" i="16" l="1"/>
  <c r="E14" i="16"/>
  <c r="E47" i="2"/>
  <c r="F257" i="11"/>
  <c r="G257" i="11" s="1"/>
  <c r="I257" i="11"/>
  <c r="C258" i="11" s="1"/>
  <c r="H258" i="11" l="1"/>
  <c r="J258" i="11" s="1"/>
  <c r="E258" i="11"/>
  <c r="I258" i="11" l="1"/>
  <c r="C259" i="11" s="1"/>
  <c r="F258" i="11"/>
  <c r="G258" i="11" s="1"/>
  <c r="H259" i="11" l="1"/>
  <c r="J259" i="11" s="1"/>
  <c r="E259" i="11"/>
  <c r="I259" i="11" l="1"/>
  <c r="C260" i="11" s="1"/>
  <c r="F259" i="11"/>
  <c r="G259" i="11" s="1"/>
  <c r="H260" i="11" l="1"/>
  <c r="J260" i="11" s="1"/>
  <c r="E260" i="11"/>
  <c r="F260" i="11" l="1"/>
  <c r="G260" i="11" s="1"/>
  <c r="I260" i="11"/>
  <c r="C261" i="11" s="1"/>
  <c r="H261" i="11" l="1"/>
  <c r="J261" i="11" s="1"/>
  <c r="E261" i="11"/>
  <c r="F261" i="11" l="1"/>
  <c r="G261" i="11" s="1"/>
  <c r="I261" i="11"/>
  <c r="C262" i="11" s="1"/>
  <c r="E262" i="11" l="1"/>
  <c r="H262" i="11"/>
  <c r="J262" i="11" s="1"/>
  <c r="I262" i="11" l="1"/>
  <c r="C263" i="11" s="1"/>
  <c r="F262" i="11"/>
  <c r="G262" i="11" s="1"/>
  <c r="H263" i="11" l="1"/>
  <c r="J263" i="11" s="1"/>
  <c r="E263" i="11"/>
  <c r="F263" i="11" l="1"/>
  <c r="G263" i="11" s="1"/>
  <c r="I263" i="11"/>
  <c r="C264" i="11" s="1"/>
  <c r="H264" i="11" l="1"/>
  <c r="J264" i="11" s="1"/>
  <c r="E264" i="11"/>
  <c r="F264" i="11" l="1"/>
  <c r="G264" i="11" s="1"/>
  <c r="I264" i="11"/>
  <c r="C265" i="11" s="1"/>
  <c r="E265" i="11" l="1"/>
  <c r="H265" i="11"/>
  <c r="J265" i="11" s="1"/>
  <c r="I265" i="11" l="1"/>
  <c r="C266" i="11" s="1"/>
  <c r="F265" i="11"/>
  <c r="G265" i="11" s="1"/>
  <c r="H266" i="11" l="1"/>
  <c r="J266" i="11" s="1"/>
  <c r="E266" i="11"/>
  <c r="I266" i="11" l="1"/>
  <c r="C267" i="11" s="1"/>
  <c r="F266" i="11"/>
  <c r="G266" i="11" s="1"/>
  <c r="H267" i="11" l="1"/>
  <c r="J267" i="11" s="1"/>
  <c r="E267" i="11"/>
  <c r="F267" i="11" l="1"/>
  <c r="G267" i="11" s="1"/>
  <c r="I267" i="11"/>
  <c r="C268" i="11" s="1"/>
  <c r="E268" i="11" l="1"/>
  <c r="H268" i="11"/>
  <c r="J268" i="11" s="1"/>
  <c r="I268" i="11" l="1"/>
  <c r="C269" i="11" s="1"/>
  <c r="F268" i="11"/>
  <c r="G268" i="11" s="1"/>
  <c r="E269" i="11" l="1"/>
  <c r="H269" i="11"/>
  <c r="J269" i="11" s="1"/>
  <c r="I269" i="11" l="1"/>
  <c r="C270" i="11" s="1"/>
  <c r="F269" i="11"/>
  <c r="G269" i="11" s="1"/>
  <c r="H270" i="11" l="1"/>
  <c r="J270" i="11" s="1"/>
  <c r="E270" i="11"/>
  <c r="F270" i="11" l="1"/>
  <c r="G270" i="11" s="1"/>
  <c r="I270" i="11"/>
  <c r="C271" i="11" s="1"/>
  <c r="H271" i="11" l="1"/>
  <c r="J271" i="11" s="1"/>
  <c r="E271" i="11"/>
  <c r="F271" i="11" l="1"/>
  <c r="G271" i="11" s="1"/>
  <c r="I271" i="11"/>
  <c r="C272" i="11" s="1"/>
  <c r="H272" i="11" l="1"/>
  <c r="J272" i="11" s="1"/>
  <c r="E272" i="11"/>
  <c r="F272" i="11" l="1"/>
  <c r="G272" i="11" s="1"/>
  <c r="I272" i="11"/>
  <c r="C273" i="11" s="1"/>
  <c r="H273" i="11" l="1"/>
  <c r="J273" i="11" s="1"/>
  <c r="E273" i="11"/>
  <c r="I273" i="11" l="1"/>
  <c r="C274" i="11" s="1"/>
  <c r="F273" i="11"/>
  <c r="G273" i="11" s="1"/>
  <c r="H274" i="11" l="1"/>
  <c r="J274" i="11" s="1"/>
  <c r="E274" i="11"/>
  <c r="F274" i="11" l="1"/>
  <c r="G274" i="11" s="1"/>
  <c r="I274" i="11"/>
  <c r="C275" i="11" s="1"/>
  <c r="H275" i="11" l="1"/>
  <c r="J275" i="11" s="1"/>
  <c r="E275" i="11"/>
  <c r="I275" i="11" l="1"/>
  <c r="C276" i="11" s="1"/>
  <c r="F275" i="11"/>
  <c r="G275" i="11" s="1"/>
  <c r="H276" i="11" l="1"/>
  <c r="J276" i="11" s="1"/>
  <c r="E276" i="11"/>
  <c r="I276" i="11" l="1"/>
  <c r="C277" i="11" s="1"/>
  <c r="F276" i="11"/>
  <c r="G276" i="11" s="1"/>
  <c r="H277" i="11" l="1"/>
  <c r="J277" i="11" s="1"/>
  <c r="E277" i="11"/>
  <c r="F277" i="11" l="1"/>
  <c r="G277" i="11" s="1"/>
  <c r="I277" i="11"/>
  <c r="C278" i="11" s="1"/>
  <c r="H278" i="11" l="1"/>
  <c r="J278" i="11" s="1"/>
  <c r="E278" i="11"/>
  <c r="F278" i="11" l="1"/>
  <c r="G278" i="11" s="1"/>
  <c r="I278" i="11"/>
  <c r="C279" i="11" s="1"/>
  <c r="H279" i="11" l="1"/>
  <c r="J279" i="11" s="1"/>
  <c r="E279" i="11"/>
  <c r="F279" i="11" l="1"/>
  <c r="G279" i="11" s="1"/>
  <c r="I279" i="11"/>
  <c r="C280" i="11" s="1"/>
  <c r="H280" i="11" l="1"/>
  <c r="J280" i="11" s="1"/>
  <c r="E280" i="11"/>
  <c r="F280" i="11" l="1"/>
  <c r="G280" i="11" s="1"/>
  <c r="I280" i="11"/>
  <c r="C281" i="11" s="1"/>
  <c r="E281" i="11" l="1"/>
  <c r="H281" i="11"/>
  <c r="J281" i="11" s="1"/>
  <c r="I281" i="11" l="1"/>
  <c r="C282" i="11" s="1"/>
  <c r="F281" i="11"/>
  <c r="G281" i="11" s="1"/>
  <c r="H282" i="11" l="1"/>
  <c r="J282" i="11" s="1"/>
  <c r="E282" i="11"/>
  <c r="I282" i="11" l="1"/>
  <c r="C283" i="11" s="1"/>
  <c r="F282" i="11"/>
  <c r="G282" i="11" s="1"/>
  <c r="H283" i="11" l="1"/>
  <c r="J283" i="11" s="1"/>
  <c r="E283" i="11"/>
  <c r="I283" i="11" l="1"/>
  <c r="C284" i="11" s="1"/>
  <c r="F283" i="11"/>
  <c r="G283" i="11" s="1"/>
  <c r="H284" i="11" l="1"/>
  <c r="J284" i="11" s="1"/>
  <c r="E284" i="11"/>
  <c r="F284" i="11" l="1"/>
  <c r="G284" i="11" s="1"/>
  <c r="I284" i="11"/>
  <c r="C285" i="11" s="1"/>
  <c r="H285" i="11" l="1"/>
  <c r="J285" i="11" s="1"/>
  <c r="E285" i="11"/>
  <c r="I285" i="11" l="1"/>
  <c r="C286" i="11" s="1"/>
  <c r="F285" i="11"/>
  <c r="G285" i="11" s="1"/>
  <c r="H286" i="11" l="1"/>
  <c r="J286" i="11" s="1"/>
  <c r="E286" i="11"/>
  <c r="F286" i="11" l="1"/>
  <c r="G286" i="11" s="1"/>
  <c r="I286" i="11"/>
  <c r="C287" i="11" s="1"/>
  <c r="H287" i="11" l="1"/>
  <c r="J287" i="11" s="1"/>
  <c r="E287" i="11"/>
  <c r="F287" i="11" l="1"/>
  <c r="G287" i="11" s="1"/>
  <c r="I287" i="11"/>
  <c r="C288" i="11" s="1"/>
  <c r="H288" i="11" l="1"/>
  <c r="J288" i="11" s="1"/>
  <c r="E288" i="11"/>
  <c r="I288" i="11" l="1"/>
  <c r="C289" i="11" s="1"/>
  <c r="F288" i="11"/>
  <c r="G288" i="11" s="1"/>
  <c r="H289" i="11" l="1"/>
  <c r="J289" i="11" s="1"/>
  <c r="E289" i="11"/>
  <c r="F289" i="11" l="1"/>
  <c r="G289" i="11" s="1"/>
  <c r="I289" i="11"/>
  <c r="C290" i="11" s="1"/>
  <c r="H290" i="11" l="1"/>
  <c r="J290" i="11" s="1"/>
  <c r="E290" i="11"/>
  <c r="F290" i="11" l="1"/>
  <c r="G290" i="11" s="1"/>
  <c r="I290" i="11"/>
  <c r="C291" i="11" s="1"/>
  <c r="H291" i="11" l="1"/>
  <c r="J291" i="11" s="1"/>
  <c r="E291" i="11"/>
  <c r="F291" i="11" l="1"/>
  <c r="G291" i="11" s="1"/>
  <c r="I291" i="11"/>
  <c r="C292" i="11" s="1"/>
  <c r="H292" i="11" l="1"/>
  <c r="J292" i="11" s="1"/>
  <c r="E292" i="11"/>
  <c r="I292" i="11" l="1"/>
  <c r="C293" i="11" s="1"/>
  <c r="F292" i="11"/>
  <c r="G292" i="11" s="1"/>
  <c r="H293" i="11" l="1"/>
  <c r="J293" i="11" s="1"/>
  <c r="E293" i="11"/>
  <c r="I293" i="11" l="1"/>
  <c r="C294" i="11" s="1"/>
  <c r="F293" i="11"/>
  <c r="G293" i="11" s="1"/>
  <c r="H294" i="11" l="1"/>
  <c r="J294" i="11" s="1"/>
  <c r="E294" i="11"/>
  <c r="F294" i="11" l="1"/>
  <c r="G294" i="11" s="1"/>
  <c r="I294" i="11"/>
  <c r="C295" i="11" s="1"/>
  <c r="H295" i="11" l="1"/>
  <c r="J295" i="11" s="1"/>
  <c r="E295" i="11"/>
  <c r="I295" i="11" l="1"/>
  <c r="C296" i="11" s="1"/>
  <c r="F295" i="11"/>
  <c r="G295" i="11" s="1"/>
  <c r="E296" i="11" l="1"/>
  <c r="H296" i="11"/>
  <c r="J296" i="11" s="1"/>
  <c r="I296" i="11" l="1"/>
  <c r="C297" i="11" s="1"/>
  <c r="F296" i="11"/>
  <c r="G296" i="11" s="1"/>
  <c r="H297" i="11" l="1"/>
  <c r="J297" i="11" s="1"/>
  <c r="E297" i="11"/>
  <c r="I297" i="11" l="1"/>
  <c r="C298" i="11" s="1"/>
  <c r="F297" i="11"/>
  <c r="G297" i="11" s="1"/>
  <c r="H298" i="11" l="1"/>
  <c r="J298" i="11" s="1"/>
  <c r="E298" i="11"/>
  <c r="I298" i="11" l="1"/>
  <c r="C299" i="11" s="1"/>
  <c r="F298" i="11"/>
  <c r="G298" i="11" s="1"/>
  <c r="H299" i="11" l="1"/>
  <c r="J299" i="11" s="1"/>
  <c r="E299" i="11"/>
  <c r="I299" i="11" l="1"/>
  <c r="C300" i="11" s="1"/>
  <c r="F299" i="11"/>
  <c r="G299" i="11" s="1"/>
  <c r="H300" i="11" l="1"/>
  <c r="J300" i="11" s="1"/>
  <c r="E300" i="11"/>
  <c r="F300" i="11" l="1"/>
  <c r="G300" i="11" s="1"/>
  <c r="I300" i="11"/>
  <c r="C301" i="11" s="1"/>
  <c r="H301" i="11" l="1"/>
  <c r="J301" i="11" s="1"/>
  <c r="E301" i="11"/>
  <c r="I301" i="11" l="1"/>
  <c r="C302" i="11" s="1"/>
  <c r="F301" i="11"/>
  <c r="G301" i="11" s="1"/>
  <c r="H302" i="11" l="1"/>
  <c r="J302" i="11" s="1"/>
  <c r="E302" i="11"/>
  <c r="F302" i="11" l="1"/>
  <c r="G302" i="11" s="1"/>
  <c r="I302" i="11"/>
  <c r="C303" i="11" s="1"/>
  <c r="H303" i="11" l="1"/>
  <c r="J303" i="11" s="1"/>
  <c r="E303" i="11"/>
  <c r="I303" i="11" l="1"/>
  <c r="C304" i="11" s="1"/>
  <c r="F303" i="11"/>
  <c r="G303" i="11" s="1"/>
  <c r="H304" i="11" l="1"/>
  <c r="J304" i="11" s="1"/>
  <c r="E304" i="11"/>
  <c r="I304" i="11" l="1"/>
  <c r="C305" i="11" s="1"/>
  <c r="F304" i="11"/>
  <c r="G304" i="11" s="1"/>
  <c r="H305" i="11" l="1"/>
  <c r="J305" i="11" s="1"/>
  <c r="E305" i="11"/>
  <c r="F305" i="11" l="1"/>
  <c r="G305" i="11" s="1"/>
  <c r="I305" i="11"/>
  <c r="C306" i="11" s="1"/>
  <c r="H306" i="11" l="1"/>
  <c r="J306" i="11" s="1"/>
  <c r="E306" i="11"/>
  <c r="F306" i="11" l="1"/>
  <c r="G306" i="11" s="1"/>
  <c r="I306" i="11"/>
  <c r="C307" i="11" s="1"/>
  <c r="E307" i="11" l="1"/>
  <c r="H307" i="11"/>
  <c r="J307" i="11" s="1"/>
  <c r="I307" i="11" l="1"/>
  <c r="C308" i="11" s="1"/>
  <c r="F307" i="11"/>
  <c r="G307" i="11" s="1"/>
  <c r="E308" i="11" l="1"/>
  <c r="H308" i="11"/>
  <c r="J308" i="11" s="1"/>
  <c r="I308" i="11" l="1"/>
  <c r="C309" i="11" s="1"/>
  <c r="F308" i="11"/>
  <c r="G308" i="11" s="1"/>
  <c r="H309" i="11" l="1"/>
  <c r="J309" i="11" s="1"/>
  <c r="E309" i="11"/>
  <c r="I309" i="11" l="1"/>
  <c r="C310" i="11" s="1"/>
  <c r="F309" i="11"/>
  <c r="G309" i="11" s="1"/>
  <c r="H310" i="11" l="1"/>
  <c r="J310" i="11" s="1"/>
  <c r="E310" i="11"/>
  <c r="I310" i="11" l="1"/>
  <c r="C311" i="11" s="1"/>
  <c r="F310" i="11"/>
  <c r="G310" i="11" s="1"/>
  <c r="H311" i="11" l="1"/>
  <c r="J311" i="11" s="1"/>
  <c r="E311" i="11"/>
  <c r="I311" i="11" l="1"/>
  <c r="C312" i="11" s="1"/>
  <c r="F311" i="11"/>
  <c r="G311" i="11" s="1"/>
  <c r="H312" i="11" l="1"/>
  <c r="J312" i="11" s="1"/>
  <c r="E312" i="11"/>
  <c r="F312" i="11" l="1"/>
  <c r="G312" i="11" s="1"/>
  <c r="I312" i="11"/>
  <c r="C313" i="11" s="1"/>
  <c r="E313" i="11" l="1"/>
  <c r="H313" i="11"/>
  <c r="J313" i="11" s="1"/>
  <c r="I313" i="11" l="1"/>
  <c r="C314" i="11" s="1"/>
  <c r="F313" i="11"/>
  <c r="G313" i="11" s="1"/>
  <c r="H314" i="11" l="1"/>
  <c r="J314" i="11" s="1"/>
  <c r="E314" i="11"/>
  <c r="I314" i="11" l="1"/>
  <c r="C315" i="11" s="1"/>
  <c r="F314" i="11"/>
  <c r="G314" i="11" s="1"/>
  <c r="H315" i="11" l="1"/>
  <c r="J315" i="11" s="1"/>
  <c r="E315" i="11"/>
  <c r="F315" i="11" l="1"/>
  <c r="G315" i="11" s="1"/>
  <c r="I315" i="11"/>
  <c r="C316" i="11" s="1"/>
  <c r="E316" i="11" l="1"/>
  <c r="H316" i="11"/>
  <c r="J316" i="11" s="1"/>
  <c r="F316" i="11" l="1"/>
  <c r="G316" i="11" s="1"/>
  <c r="I316" i="11"/>
  <c r="C317" i="11" s="1"/>
  <c r="H317" i="11" l="1"/>
  <c r="J317" i="11" s="1"/>
  <c r="E317" i="11"/>
  <c r="I317" i="11" l="1"/>
  <c r="C318" i="11" s="1"/>
  <c r="F317" i="11"/>
  <c r="G317" i="11" s="1"/>
  <c r="H318" i="11" l="1"/>
  <c r="J318" i="11" s="1"/>
  <c r="E318" i="11"/>
  <c r="F318" i="11" l="1"/>
  <c r="G318" i="11" s="1"/>
  <c r="I318" i="11"/>
  <c r="C319" i="11" s="1"/>
  <c r="H319" i="11" l="1"/>
  <c r="J319" i="11" s="1"/>
  <c r="E319" i="11"/>
  <c r="F319" i="11" l="1"/>
  <c r="G319" i="11" s="1"/>
  <c r="I319" i="11"/>
  <c r="C320" i="11" s="1"/>
  <c r="H320" i="11" l="1"/>
  <c r="J320" i="11" s="1"/>
  <c r="E320" i="11"/>
  <c r="F320" i="11" l="1"/>
  <c r="G320" i="11" s="1"/>
  <c r="I320" i="11"/>
  <c r="C321" i="11" s="1"/>
  <c r="H321" i="11" l="1"/>
  <c r="J321" i="11" s="1"/>
  <c r="E321" i="11"/>
  <c r="I321" i="11" l="1"/>
  <c r="C322" i="11" s="1"/>
  <c r="F321" i="11"/>
  <c r="G321" i="11" s="1"/>
  <c r="H322" i="11" l="1"/>
  <c r="J322" i="11" s="1"/>
  <c r="E322" i="11"/>
  <c r="F322" i="11" l="1"/>
  <c r="G322" i="11" s="1"/>
  <c r="I322" i="11"/>
  <c r="C323" i="11" s="1"/>
  <c r="H323" i="11" l="1"/>
  <c r="J323" i="11" s="1"/>
  <c r="E323" i="11"/>
  <c r="F323" i="11" l="1"/>
  <c r="G323" i="11" s="1"/>
  <c r="I323" i="11"/>
  <c r="C324" i="11" s="1"/>
  <c r="E324" i="11" l="1"/>
  <c r="H324" i="11"/>
  <c r="J324" i="11" s="1"/>
  <c r="I324" i="11" l="1"/>
  <c r="C325" i="11" s="1"/>
  <c r="F324" i="11"/>
  <c r="G324" i="11" s="1"/>
  <c r="H325" i="11" l="1"/>
  <c r="J325" i="11" s="1"/>
  <c r="E325" i="11"/>
  <c r="I325" i="11" l="1"/>
  <c r="C326" i="11" s="1"/>
  <c r="F325" i="11"/>
  <c r="G325" i="11" s="1"/>
  <c r="H326" i="11" l="1"/>
  <c r="J326" i="11" s="1"/>
  <c r="E326" i="11"/>
  <c r="I326" i="11" l="1"/>
  <c r="C327" i="11" s="1"/>
  <c r="F326" i="11"/>
  <c r="G326" i="11" s="1"/>
  <c r="E327" i="11" l="1"/>
  <c r="H327" i="11"/>
  <c r="J327" i="11" s="1"/>
  <c r="I327" i="11" l="1"/>
  <c r="C328" i="11" s="1"/>
  <c r="F327" i="11"/>
  <c r="G327" i="11" s="1"/>
  <c r="H328" i="11" l="1"/>
  <c r="J328" i="11" s="1"/>
  <c r="E328" i="11"/>
  <c r="I328" i="11" l="1"/>
  <c r="C329" i="11" s="1"/>
  <c r="F328" i="11"/>
  <c r="G328" i="11" s="1"/>
  <c r="H329" i="11" l="1"/>
  <c r="J329" i="11" s="1"/>
  <c r="E329" i="11"/>
  <c r="I329" i="11" l="1"/>
  <c r="C330" i="11" s="1"/>
  <c r="F329" i="11"/>
  <c r="G329" i="11" s="1"/>
  <c r="H330" i="11" l="1"/>
  <c r="J330" i="11" s="1"/>
  <c r="E330" i="11"/>
  <c r="I330" i="11" l="1"/>
  <c r="C331" i="11" s="1"/>
  <c r="F330" i="11"/>
  <c r="G330" i="11" s="1"/>
  <c r="H331" i="11" l="1"/>
  <c r="J331" i="11" s="1"/>
  <c r="E331" i="11"/>
  <c r="I331" i="11" l="1"/>
  <c r="C332" i="11" s="1"/>
  <c r="F331" i="11"/>
  <c r="G331" i="11" s="1"/>
  <c r="H332" i="11" l="1"/>
  <c r="J332" i="11" s="1"/>
  <c r="E332" i="11"/>
  <c r="F332" i="11" l="1"/>
  <c r="G332" i="11" s="1"/>
  <c r="I332" i="11"/>
  <c r="C333" i="11" s="1"/>
  <c r="H333" i="11" l="1"/>
  <c r="J333" i="11" s="1"/>
  <c r="E333" i="11"/>
  <c r="I333" i="11" l="1"/>
  <c r="C334" i="11" s="1"/>
  <c r="F333" i="11"/>
  <c r="G333" i="11" s="1"/>
  <c r="H334" i="11" l="1"/>
  <c r="J334" i="11" s="1"/>
  <c r="E334" i="11"/>
  <c r="F334" i="11" l="1"/>
  <c r="G334" i="11" s="1"/>
  <c r="I334" i="11"/>
  <c r="C335" i="11" s="1"/>
  <c r="H335" i="11" l="1"/>
  <c r="J335" i="11" s="1"/>
  <c r="E335" i="11"/>
  <c r="F335" i="11" l="1"/>
  <c r="G335" i="11" s="1"/>
  <c r="I335" i="11"/>
  <c r="C336" i="11" s="1"/>
  <c r="H336" i="11" l="1"/>
  <c r="J336" i="11" s="1"/>
  <c r="E336" i="11"/>
  <c r="I336" i="11" l="1"/>
  <c r="C337" i="11" s="1"/>
  <c r="F336" i="11"/>
  <c r="G336" i="11" s="1"/>
  <c r="H337" i="11" l="1"/>
  <c r="J337" i="11" s="1"/>
  <c r="E337" i="11"/>
  <c r="F337" i="11" l="1"/>
  <c r="G337" i="11" s="1"/>
  <c r="I337" i="11"/>
  <c r="C338" i="11" s="1"/>
  <c r="H338" i="11" l="1"/>
  <c r="J338" i="11" s="1"/>
  <c r="E338" i="11"/>
  <c r="F338" i="11" l="1"/>
  <c r="G338" i="11" s="1"/>
  <c r="I338" i="11"/>
  <c r="C339" i="11" s="1"/>
  <c r="H339" i="11" l="1"/>
  <c r="J339" i="11" s="1"/>
  <c r="E339" i="11"/>
  <c r="I339" i="11" l="1"/>
  <c r="C340" i="11" s="1"/>
  <c r="F339" i="11"/>
  <c r="G339" i="11" s="1"/>
  <c r="H340" i="11" l="1"/>
  <c r="J340" i="11" s="1"/>
  <c r="E340" i="11"/>
  <c r="F340" i="11" l="1"/>
  <c r="G340" i="11" s="1"/>
  <c r="I340" i="11"/>
  <c r="C341" i="11" s="1"/>
  <c r="H341" i="11" l="1"/>
  <c r="J341" i="11" s="1"/>
  <c r="E341" i="11"/>
  <c r="I341" i="11" l="1"/>
  <c r="C342" i="11" s="1"/>
  <c r="F341" i="11"/>
  <c r="G341" i="11" s="1"/>
  <c r="H342" i="11" l="1"/>
  <c r="J342" i="11" s="1"/>
  <c r="E342" i="11"/>
  <c r="I342" i="11" l="1"/>
  <c r="C343" i="11" s="1"/>
  <c r="F342" i="11"/>
  <c r="G342" i="11" s="1"/>
  <c r="H343" i="11" l="1"/>
  <c r="J343" i="11" s="1"/>
  <c r="E343" i="11"/>
  <c r="F343" i="11" l="1"/>
  <c r="G343" i="11" s="1"/>
  <c r="I343" i="11"/>
  <c r="C344" i="11" s="1"/>
  <c r="H344" i="11" l="1"/>
  <c r="J344" i="11" s="1"/>
  <c r="E344" i="11"/>
  <c r="F344" i="11" l="1"/>
  <c r="G344" i="11" s="1"/>
  <c r="I344" i="11"/>
  <c r="C345" i="11" s="1"/>
  <c r="H345" i="11" l="1"/>
  <c r="J345" i="11" s="1"/>
  <c r="E345" i="11"/>
  <c r="F345" i="11" l="1"/>
  <c r="G345" i="11" s="1"/>
  <c r="I345" i="11"/>
  <c r="C346" i="11" s="1"/>
  <c r="H346" i="11" l="1"/>
  <c r="J346" i="11" s="1"/>
  <c r="E346" i="11"/>
  <c r="I346" i="11" l="1"/>
  <c r="C347" i="11" s="1"/>
  <c r="F346" i="11"/>
  <c r="G346" i="11" s="1"/>
  <c r="H347" i="11" l="1"/>
  <c r="J347" i="11" s="1"/>
  <c r="E347" i="11"/>
  <c r="I347" i="11" l="1"/>
  <c r="C348" i="11" s="1"/>
  <c r="F347" i="11"/>
  <c r="G347" i="11" s="1"/>
  <c r="H348" i="11" l="1"/>
  <c r="J348" i="11" s="1"/>
  <c r="E348" i="11"/>
  <c r="F348" i="11" l="1"/>
  <c r="G348" i="11" s="1"/>
  <c r="I348" i="11"/>
  <c r="C349" i="11" s="1"/>
  <c r="H349" i="11" l="1"/>
  <c r="J349" i="11" s="1"/>
  <c r="E349" i="11"/>
  <c r="I349" i="11" l="1"/>
  <c r="C350" i="11" s="1"/>
  <c r="F349" i="11"/>
  <c r="G349" i="11" s="1"/>
  <c r="H350" i="11" l="1"/>
  <c r="J350" i="11" s="1"/>
  <c r="E350" i="11"/>
  <c r="I350" i="11" l="1"/>
  <c r="C351" i="11" s="1"/>
  <c r="F350" i="11"/>
  <c r="G350" i="11" s="1"/>
  <c r="H351" i="11" l="1"/>
  <c r="J351" i="11" s="1"/>
  <c r="E351" i="11"/>
  <c r="F351" i="11" l="1"/>
  <c r="G351" i="11" s="1"/>
  <c r="I351" i="11"/>
  <c r="C352" i="11" s="1"/>
  <c r="H352" i="11" l="1"/>
  <c r="J352" i="11" s="1"/>
  <c r="E352" i="11"/>
  <c r="I352" i="11" l="1"/>
  <c r="C353" i="11" s="1"/>
  <c r="F352" i="11"/>
  <c r="G352" i="11" s="1"/>
  <c r="H353" i="11" l="1"/>
  <c r="J353" i="11" s="1"/>
  <c r="E353" i="11"/>
  <c r="F353" i="11" l="1"/>
  <c r="G353" i="11" s="1"/>
  <c r="I353" i="11"/>
  <c r="C354" i="11" s="1"/>
  <c r="H354" i="11" l="1"/>
  <c r="J354" i="11" s="1"/>
  <c r="E354" i="11"/>
  <c r="F354" i="11" l="1"/>
  <c r="G354" i="11" s="1"/>
  <c r="I354" i="11"/>
  <c r="C355" i="11" s="1"/>
  <c r="H355" i="11" l="1"/>
  <c r="J355" i="11" s="1"/>
  <c r="E355" i="11"/>
  <c r="F355" i="11" l="1"/>
  <c r="G355" i="11" s="1"/>
  <c r="I355" i="11"/>
  <c r="C356" i="11" s="1"/>
  <c r="H356" i="11" l="1"/>
  <c r="J356" i="11" s="1"/>
  <c r="E356" i="11"/>
  <c r="F356" i="11" l="1"/>
  <c r="G356" i="11" s="1"/>
  <c r="I356" i="11"/>
  <c r="C357" i="11" s="1"/>
  <c r="H357" i="11" l="1"/>
  <c r="J357" i="11" s="1"/>
  <c r="E357" i="11"/>
  <c r="I357" i="11" l="1"/>
  <c r="C358" i="11" s="1"/>
  <c r="F357" i="11"/>
  <c r="G357" i="11" s="1"/>
  <c r="H358" i="11" l="1"/>
  <c r="J358" i="11" s="1"/>
  <c r="E358" i="11"/>
  <c r="I358" i="11" l="1"/>
  <c r="C359" i="11" s="1"/>
  <c r="F358" i="11"/>
  <c r="G358" i="11" s="1"/>
  <c r="E359" i="11" l="1"/>
  <c r="H359" i="11"/>
  <c r="J359" i="11" s="1"/>
  <c r="I359" i="11" l="1"/>
  <c r="C360" i="11" s="1"/>
  <c r="F359" i="11"/>
  <c r="G359" i="11" s="1"/>
  <c r="H360" i="11" l="1"/>
  <c r="J360" i="11" s="1"/>
  <c r="E360" i="11"/>
  <c r="F360" i="11" l="1"/>
  <c r="G360" i="11" s="1"/>
  <c r="I360" i="11"/>
  <c r="C361" i="11" s="1"/>
  <c r="H361" i="11" l="1"/>
  <c r="J361" i="11" s="1"/>
  <c r="E361" i="11"/>
  <c r="F361" i="11" l="1"/>
  <c r="G361" i="11" s="1"/>
  <c r="I361" i="11"/>
  <c r="C362" i="11" s="1"/>
  <c r="H362" i="11" l="1"/>
  <c r="J362" i="11" s="1"/>
  <c r="E362" i="11"/>
  <c r="F362" i="11" l="1"/>
  <c r="G362" i="11" s="1"/>
  <c r="I362" i="11"/>
  <c r="C363" i="11" s="1"/>
  <c r="H363" i="11" l="1"/>
  <c r="J363" i="11" s="1"/>
  <c r="E363" i="11"/>
  <c r="F363" i="11" l="1"/>
  <c r="G363" i="11" s="1"/>
  <c r="I363" i="11"/>
  <c r="C364" i="11" s="1"/>
  <c r="H364" i="11" l="1"/>
  <c r="J364" i="11" s="1"/>
  <c r="E364" i="11"/>
  <c r="I364" i="11" l="1"/>
  <c r="C365" i="11" s="1"/>
  <c r="F364" i="11"/>
  <c r="G364" i="11" s="1"/>
  <c r="H365" i="11" l="1"/>
  <c r="J365" i="11" s="1"/>
  <c r="E365" i="11"/>
  <c r="F365" i="11" l="1"/>
  <c r="G365" i="11" s="1"/>
  <c r="I365" i="11"/>
  <c r="C366" i="11" s="1"/>
  <c r="H366" i="11" l="1"/>
  <c r="J366" i="11" s="1"/>
  <c r="E366" i="11"/>
  <c r="F366" i="11" l="1"/>
  <c r="G366" i="11" s="1"/>
  <c r="I366" i="11"/>
  <c r="C367" i="11" s="1"/>
  <c r="H367" i="11" l="1"/>
  <c r="J367" i="11" s="1"/>
  <c r="E367" i="11"/>
  <c r="F367" i="11" l="1"/>
  <c r="G367" i="11" s="1"/>
  <c r="I367" i="11"/>
  <c r="C368" i="11" s="1"/>
  <c r="H368" i="11" l="1"/>
  <c r="J368" i="11" s="1"/>
  <c r="E368" i="11"/>
  <c r="I368" i="11" l="1"/>
  <c r="C369" i="11" s="1"/>
  <c r="F368" i="11"/>
  <c r="G368" i="11" s="1"/>
  <c r="H369" i="11" l="1"/>
  <c r="J369" i="11" s="1"/>
  <c r="E369" i="11"/>
  <c r="F369" i="11" l="1"/>
  <c r="G369" i="11" s="1"/>
  <c r="I369" i="11"/>
  <c r="C370" i="11" s="1"/>
  <c r="H370" i="11" l="1"/>
  <c r="J370" i="11" s="1"/>
  <c r="E370" i="11"/>
  <c r="F370" i="11" l="1"/>
  <c r="G370" i="11" s="1"/>
  <c r="I370" i="11"/>
  <c r="C371" i="11" s="1"/>
  <c r="E371" i="11" l="1"/>
  <c r="H371" i="11"/>
  <c r="J371" i="11" s="1"/>
  <c r="I371" i="11" l="1"/>
  <c r="C372" i="11" s="1"/>
  <c r="F371" i="11"/>
  <c r="G371" i="11" s="1"/>
  <c r="H372" i="11" l="1"/>
  <c r="J372" i="11" s="1"/>
  <c r="E372" i="11"/>
  <c r="I372" i="11" l="1"/>
  <c r="C373" i="11" s="1"/>
  <c r="F372" i="11"/>
  <c r="G372" i="11" s="1"/>
  <c r="H373" i="11" l="1"/>
  <c r="J373" i="11" s="1"/>
  <c r="E373" i="11"/>
  <c r="I373" i="11" l="1"/>
  <c r="C374" i="11" s="1"/>
  <c r="F373" i="11"/>
  <c r="G373" i="11" s="1"/>
  <c r="H374" i="11" l="1"/>
  <c r="J374" i="11" s="1"/>
  <c r="E374" i="11"/>
  <c r="I374" i="11" l="1"/>
  <c r="C375" i="11" s="1"/>
  <c r="F374" i="11"/>
  <c r="G374" i="11" s="1"/>
  <c r="E375" i="11" l="1"/>
  <c r="H375" i="11"/>
  <c r="J375" i="11" s="1"/>
  <c r="I375" i="11" l="1"/>
  <c r="C376" i="11" s="1"/>
  <c r="F375" i="11"/>
  <c r="G375" i="11" s="1"/>
  <c r="H376" i="11" l="1"/>
  <c r="J376" i="11" s="1"/>
  <c r="E376" i="11"/>
  <c r="F376" i="11" l="1"/>
  <c r="G376" i="11" s="1"/>
  <c r="I376" i="11"/>
  <c r="C377" i="11" s="1"/>
  <c r="E377" i="11" l="1"/>
  <c r="H377" i="11"/>
  <c r="J377" i="11" s="1"/>
  <c r="I377" i="11" l="1"/>
  <c r="C378" i="11" s="1"/>
  <c r="F377" i="11"/>
  <c r="G377" i="11" s="1"/>
  <c r="H378" i="11" l="1"/>
  <c r="J378" i="11" s="1"/>
  <c r="E378" i="11"/>
  <c r="F378" i="11" l="1"/>
  <c r="G378" i="11" s="1"/>
  <c r="I378" i="11"/>
  <c r="C379" i="11" s="1"/>
  <c r="E379" i="11" l="1"/>
  <c r="H379" i="11"/>
  <c r="J379" i="11" s="1"/>
  <c r="F379" i="11" l="1"/>
  <c r="G379" i="11" s="1"/>
  <c r="I379" i="11"/>
  <c r="C380" i="11" s="1"/>
  <c r="H380" i="11" l="1"/>
  <c r="J380" i="11" s="1"/>
  <c r="E380" i="11"/>
  <c r="F380" i="11" l="1"/>
  <c r="G380" i="11" s="1"/>
  <c r="I380" i="11"/>
  <c r="C381" i="11" s="1"/>
  <c r="H381" i="11" l="1"/>
  <c r="J381" i="11" s="1"/>
  <c r="E381" i="11"/>
  <c r="I381" i="11" l="1"/>
  <c r="C382" i="11" s="1"/>
  <c r="F381" i="11"/>
  <c r="G381" i="11" s="1"/>
  <c r="H382" i="11" l="1"/>
  <c r="J382" i="11" s="1"/>
  <c r="E382" i="11"/>
  <c r="I382" i="11" l="1"/>
  <c r="C383" i="11" s="1"/>
  <c r="F382" i="11"/>
  <c r="G382" i="11" s="1"/>
  <c r="H383" i="11" l="1"/>
  <c r="J383" i="11" s="1"/>
  <c r="E383" i="11"/>
  <c r="I383" i="11" l="1"/>
  <c r="C384" i="11" s="1"/>
  <c r="F383" i="11"/>
  <c r="G383" i="11" s="1"/>
  <c r="H384" i="11" l="1"/>
  <c r="J384" i="11" s="1"/>
  <c r="E384" i="11"/>
  <c r="I384" i="11" l="1"/>
  <c r="C385" i="11" s="1"/>
  <c r="F384" i="11"/>
  <c r="G384" i="11" s="1"/>
  <c r="E385" i="11" l="1"/>
  <c r="H385" i="11"/>
  <c r="J385" i="11" s="1"/>
  <c r="I385" i="11" l="1"/>
  <c r="C386" i="11" s="1"/>
  <c r="F385" i="11"/>
  <c r="G385" i="11" s="1"/>
  <c r="E386" i="11" l="1"/>
  <c r="H386" i="11"/>
  <c r="J386" i="11" s="1"/>
  <c r="F386" i="11" l="1"/>
  <c r="G386" i="11" s="1"/>
  <c r="I386" i="11"/>
  <c r="C387" i="11" s="1"/>
  <c r="E387" i="11" l="1"/>
  <c r="H387" i="11"/>
  <c r="J387" i="11" s="1"/>
  <c r="F387" i="11" l="1"/>
  <c r="G387" i="11" s="1"/>
  <c r="I387" i="11"/>
  <c r="C388" i="11" s="1"/>
  <c r="H388" i="11" l="1"/>
  <c r="J388" i="11" s="1"/>
  <c r="E388" i="11"/>
  <c r="I388" i="11" l="1"/>
  <c r="C389" i="11" s="1"/>
  <c r="F388" i="11"/>
  <c r="G388" i="11" s="1"/>
  <c r="H389" i="11" l="1"/>
  <c r="J389" i="11" s="1"/>
  <c r="E389" i="11"/>
  <c r="I389" i="11" l="1"/>
  <c r="C390" i="11" s="1"/>
  <c r="F389" i="11"/>
  <c r="G389" i="11" s="1"/>
  <c r="H390" i="11" l="1"/>
  <c r="J390" i="11" s="1"/>
  <c r="E390" i="11"/>
  <c r="I390" i="11" l="1"/>
  <c r="C391" i="11" s="1"/>
  <c r="F390" i="11"/>
  <c r="G390" i="11" s="1"/>
  <c r="H391" i="11" l="1"/>
  <c r="J391" i="11" s="1"/>
  <c r="E391" i="11"/>
  <c r="F391" i="11" l="1"/>
  <c r="G391" i="11" s="1"/>
  <c r="I391" i="11"/>
  <c r="C392" i="11" s="1"/>
  <c r="H392" i="11" l="1"/>
  <c r="J392" i="11" s="1"/>
  <c r="E392" i="11"/>
  <c r="I392" i="11" l="1"/>
  <c r="C393" i="11" s="1"/>
  <c r="F392" i="11"/>
  <c r="G392" i="11" s="1"/>
  <c r="H393" i="11" l="1"/>
  <c r="J393" i="11" s="1"/>
  <c r="E393" i="11"/>
  <c r="I393" i="11" l="1"/>
  <c r="C394" i="11" s="1"/>
  <c r="F393" i="11"/>
  <c r="G393" i="11" s="1"/>
  <c r="H394" i="11" l="1"/>
  <c r="J394" i="11" s="1"/>
  <c r="E394" i="11"/>
  <c r="I394" i="11" l="1"/>
  <c r="C395" i="11" s="1"/>
  <c r="F394" i="11"/>
  <c r="G394" i="11" s="1"/>
  <c r="E395" i="11" l="1"/>
  <c r="H395" i="11"/>
  <c r="J395" i="11" s="1"/>
  <c r="F395" i="11" l="1"/>
  <c r="G395" i="11" s="1"/>
  <c r="I395" i="11"/>
  <c r="C396" i="11" s="1"/>
  <c r="H396" i="11" l="1"/>
  <c r="J396" i="11" s="1"/>
  <c r="E396" i="11"/>
  <c r="I396" i="11" l="1"/>
  <c r="C397" i="11" s="1"/>
  <c r="F396" i="11"/>
  <c r="G396" i="11" s="1"/>
  <c r="E397" i="11" l="1"/>
  <c r="H397" i="11"/>
  <c r="J397" i="11" s="1"/>
  <c r="I397" i="11" l="1"/>
  <c r="C398" i="11" s="1"/>
  <c r="F397" i="11"/>
  <c r="G397" i="11" s="1"/>
  <c r="H398" i="11" l="1"/>
  <c r="J398" i="11" s="1"/>
  <c r="E398" i="11"/>
  <c r="I398" i="11" l="1"/>
  <c r="C399" i="11" s="1"/>
  <c r="F398" i="11"/>
  <c r="G398" i="11" s="1"/>
  <c r="H399" i="11" l="1"/>
  <c r="J399" i="11" s="1"/>
  <c r="E399" i="11"/>
  <c r="F399" i="11" l="1"/>
  <c r="G399" i="11" s="1"/>
  <c r="I399" i="11"/>
  <c r="C400" i="11" s="1"/>
  <c r="H400" i="11" l="1"/>
  <c r="J400" i="11" s="1"/>
  <c r="E400" i="11"/>
  <c r="F400" i="11" l="1"/>
  <c r="G400" i="11" s="1"/>
  <c r="I400" i="11"/>
  <c r="C401" i="11" s="1"/>
  <c r="H401" i="11" l="1"/>
  <c r="J401" i="11" s="1"/>
  <c r="E401" i="11"/>
  <c r="I401" i="11" l="1"/>
  <c r="C402" i="11" s="1"/>
  <c r="F401" i="11"/>
  <c r="G401" i="11" s="1"/>
  <c r="H402" i="11" l="1"/>
  <c r="J402" i="11" s="1"/>
  <c r="E402" i="11"/>
  <c r="F402" i="11" l="1"/>
  <c r="G402" i="11" s="1"/>
  <c r="I402" i="11"/>
  <c r="C403" i="11" s="1"/>
  <c r="H403" i="11" l="1"/>
  <c r="J403" i="11" s="1"/>
  <c r="E403" i="11"/>
  <c r="I403" i="11" l="1"/>
  <c r="C404" i="11" s="1"/>
  <c r="F403" i="11"/>
  <c r="G403" i="11" s="1"/>
  <c r="H404" i="11" l="1"/>
  <c r="J404" i="11" s="1"/>
  <c r="E404" i="11"/>
  <c r="I404" i="11" l="1"/>
  <c r="C405" i="11" s="1"/>
  <c r="F404" i="11"/>
  <c r="G404" i="11" s="1"/>
  <c r="H405" i="11" l="1"/>
  <c r="J405" i="11" s="1"/>
  <c r="E405" i="11"/>
  <c r="F405" i="11" l="1"/>
  <c r="G405" i="11" s="1"/>
  <c r="I405" i="11"/>
  <c r="C406" i="11" s="1"/>
  <c r="H406" i="11" l="1"/>
  <c r="J406" i="11" s="1"/>
  <c r="E406" i="11"/>
  <c r="I406" i="11" l="1"/>
  <c r="C407" i="11" s="1"/>
  <c r="F406" i="11"/>
  <c r="G406" i="11" s="1"/>
  <c r="H407" i="11" l="1"/>
  <c r="J407" i="11" s="1"/>
  <c r="E407" i="11"/>
  <c r="F407" i="11" l="1"/>
  <c r="G407" i="11" s="1"/>
  <c r="I407" i="11"/>
  <c r="C408" i="11" s="1"/>
  <c r="H408" i="11" l="1"/>
  <c r="J408" i="11" s="1"/>
  <c r="E408" i="11"/>
  <c r="F408" i="11" l="1"/>
  <c r="G408" i="11" s="1"/>
  <c r="I408" i="11"/>
  <c r="C409" i="11" s="1"/>
  <c r="H409" i="11" l="1"/>
  <c r="J409" i="11" s="1"/>
  <c r="E409" i="11"/>
  <c r="I409" i="11" l="1"/>
  <c r="C410" i="11" s="1"/>
  <c r="F409" i="11"/>
  <c r="G409" i="11" s="1"/>
  <c r="H410" i="11" l="1"/>
  <c r="J410" i="11" s="1"/>
  <c r="E410" i="11"/>
  <c r="I410" i="11" l="1"/>
  <c r="C411" i="11" s="1"/>
  <c r="F410" i="11"/>
  <c r="G410" i="11" s="1"/>
  <c r="H411" i="11" l="1"/>
  <c r="J411" i="11" s="1"/>
  <c r="E411" i="11"/>
  <c r="F411" i="11" l="1"/>
  <c r="G411" i="11" s="1"/>
  <c r="I411" i="11"/>
  <c r="C412" i="11" s="1"/>
  <c r="H412" i="11" l="1"/>
  <c r="J412" i="11" s="1"/>
  <c r="E412" i="11"/>
  <c r="F412" i="11" l="1"/>
  <c r="G412" i="11" s="1"/>
  <c r="I412" i="11"/>
  <c r="C413" i="11" s="1"/>
  <c r="H413" i="11" l="1"/>
  <c r="J413" i="11" s="1"/>
  <c r="E413" i="11"/>
  <c r="I413" i="11" l="1"/>
  <c r="C414" i="11" s="1"/>
  <c r="F413" i="11"/>
  <c r="G413" i="11" s="1"/>
  <c r="H414" i="11" l="1"/>
  <c r="J414" i="11" s="1"/>
  <c r="E414" i="11"/>
  <c r="I414" i="11" l="1"/>
  <c r="C415" i="11" s="1"/>
  <c r="F414" i="11"/>
  <c r="G414" i="11" s="1"/>
  <c r="H415" i="11" l="1"/>
  <c r="J415" i="11" s="1"/>
  <c r="E415" i="11"/>
  <c r="I415" i="11" l="1"/>
  <c r="C416" i="11" s="1"/>
  <c r="F415" i="11"/>
  <c r="G415" i="11" s="1"/>
  <c r="H416" i="11" l="1"/>
  <c r="J416" i="11" s="1"/>
  <c r="E416" i="11"/>
  <c r="F416" i="11" l="1"/>
  <c r="G416" i="11" s="1"/>
  <c r="I416" i="11"/>
  <c r="C417" i="11" s="1"/>
  <c r="E417" i="11" l="1"/>
  <c r="H417" i="11"/>
  <c r="J417" i="11" s="1"/>
  <c r="I417" i="11" l="1"/>
  <c r="C418" i="11" s="1"/>
  <c r="F417" i="11"/>
  <c r="G417" i="11" s="1"/>
  <c r="H418" i="11" l="1"/>
  <c r="J418" i="11" s="1"/>
  <c r="E418" i="11"/>
  <c r="F418" i="11" l="1"/>
  <c r="G418" i="11" s="1"/>
  <c r="I418" i="11"/>
  <c r="C419" i="11" s="1"/>
  <c r="E419" i="11" l="1"/>
  <c r="H419" i="11"/>
  <c r="J419" i="11" s="1"/>
  <c r="I419" i="11" l="1"/>
  <c r="C420" i="11" s="1"/>
  <c r="F419" i="11"/>
  <c r="G419" i="11" s="1"/>
  <c r="H420" i="11" l="1"/>
  <c r="J420" i="11" s="1"/>
  <c r="E420" i="11"/>
  <c r="F420" i="11" l="1"/>
  <c r="G420" i="11" s="1"/>
  <c r="I420" i="11"/>
  <c r="C421" i="11" s="1"/>
  <c r="H421" i="11" l="1"/>
  <c r="J421" i="11" s="1"/>
  <c r="E421" i="11"/>
  <c r="I421" i="11" l="1"/>
  <c r="C422" i="11" s="1"/>
  <c r="F421" i="11"/>
  <c r="G421" i="11" s="1"/>
  <c r="H422" i="11" l="1"/>
  <c r="J422" i="11" s="1"/>
  <c r="E422" i="11"/>
  <c r="I422" i="11" l="1"/>
  <c r="C423" i="11" s="1"/>
  <c r="F422" i="11"/>
  <c r="G422" i="11" s="1"/>
  <c r="H423" i="11" l="1"/>
  <c r="J423" i="11" s="1"/>
  <c r="E423" i="11"/>
  <c r="F423" i="11" l="1"/>
  <c r="G423" i="11" s="1"/>
  <c r="I423" i="11"/>
  <c r="C424" i="11" s="1"/>
  <c r="H424" i="11" l="1"/>
  <c r="J424" i="11" s="1"/>
  <c r="E424" i="11"/>
  <c r="F424" i="11" l="1"/>
  <c r="G424" i="11" s="1"/>
  <c r="I424" i="11"/>
  <c r="C425" i="11" s="1"/>
  <c r="E425" i="11" l="1"/>
  <c r="H425" i="11"/>
  <c r="J425" i="11" s="1"/>
  <c r="F425" i="11" l="1"/>
  <c r="G425" i="11" s="1"/>
  <c r="I425" i="11"/>
  <c r="C426" i="11" s="1"/>
  <c r="H426" i="11" l="1"/>
  <c r="J426" i="11" s="1"/>
  <c r="E426" i="11"/>
  <c r="F426" i="11" l="1"/>
  <c r="G426" i="11" s="1"/>
  <c r="I426" i="11"/>
  <c r="C427" i="11" s="1"/>
  <c r="H427" i="11" l="1"/>
  <c r="J427" i="11" s="1"/>
  <c r="E427" i="11"/>
  <c r="F427" i="11" l="1"/>
  <c r="G427" i="11" s="1"/>
  <c r="I427" i="11"/>
  <c r="C428" i="11" s="1"/>
  <c r="H428" i="11" l="1"/>
  <c r="J428" i="11" s="1"/>
  <c r="E428" i="11"/>
  <c r="F428" i="11" l="1"/>
  <c r="G428" i="11" s="1"/>
  <c r="I428" i="11"/>
  <c r="C429" i="11" s="1"/>
  <c r="E429" i="11" l="1"/>
  <c r="H429" i="11"/>
  <c r="J429" i="11" s="1"/>
  <c r="I429" i="11" l="1"/>
  <c r="C430" i="11" s="1"/>
  <c r="F429" i="11"/>
  <c r="G429" i="11" s="1"/>
  <c r="E430" i="11" l="1"/>
  <c r="H430" i="11"/>
  <c r="J430" i="11" s="1"/>
  <c r="I430" i="11" l="1"/>
  <c r="C431" i="11" s="1"/>
  <c r="F430" i="11"/>
  <c r="G430" i="11" s="1"/>
  <c r="E431" i="11" l="1"/>
  <c r="H431" i="11"/>
  <c r="J431" i="11" s="1"/>
  <c r="F431" i="11" l="1"/>
  <c r="G431" i="11" s="1"/>
  <c r="I431" i="11"/>
  <c r="C432" i="11" s="1"/>
  <c r="H432" i="11" l="1"/>
  <c r="J432" i="11" s="1"/>
  <c r="E432" i="11"/>
  <c r="F432" i="11" l="1"/>
  <c r="G432" i="11" s="1"/>
  <c r="I432" i="11"/>
  <c r="C433" i="11" s="1"/>
  <c r="H433" i="11" l="1"/>
  <c r="J433" i="11" s="1"/>
  <c r="E433" i="11"/>
  <c r="I433" i="11" l="1"/>
  <c r="C434" i="11" s="1"/>
  <c r="F433" i="11"/>
  <c r="G433" i="11" s="1"/>
  <c r="H434" i="11" l="1"/>
  <c r="J434" i="11" s="1"/>
  <c r="E434" i="11"/>
  <c r="I434" i="11" l="1"/>
  <c r="C435" i="11" s="1"/>
  <c r="F434" i="11"/>
  <c r="G434" i="11" s="1"/>
  <c r="H435" i="11" l="1"/>
  <c r="J435" i="11" s="1"/>
  <c r="E435" i="11"/>
  <c r="I435" i="11" l="1"/>
  <c r="C436" i="11" s="1"/>
  <c r="F435" i="11"/>
  <c r="G435" i="11" s="1"/>
  <c r="H436" i="11" l="1"/>
  <c r="J436" i="11" s="1"/>
  <c r="E436" i="11"/>
  <c r="F436" i="11" l="1"/>
  <c r="G436" i="11" s="1"/>
  <c r="I436" i="11"/>
  <c r="C437" i="11" s="1"/>
  <c r="H437" i="11" l="1"/>
  <c r="J437" i="11" s="1"/>
  <c r="E437" i="11"/>
  <c r="I437" i="11" l="1"/>
  <c r="C438" i="11" s="1"/>
  <c r="F437" i="11"/>
  <c r="G437" i="11" s="1"/>
  <c r="E438" i="11" l="1"/>
  <c r="H438" i="11"/>
  <c r="J438" i="11" s="1"/>
  <c r="I438" i="11" l="1"/>
  <c r="C439" i="11" s="1"/>
  <c r="F438" i="11"/>
  <c r="G438" i="11" s="1"/>
  <c r="H439" i="11" l="1"/>
  <c r="J439" i="11" s="1"/>
  <c r="E439" i="11"/>
  <c r="F439" i="11" l="1"/>
  <c r="G439" i="11" s="1"/>
  <c r="I439" i="11"/>
  <c r="C440" i="11" s="1"/>
  <c r="H440" i="11" l="1"/>
  <c r="J440" i="11" s="1"/>
  <c r="E440" i="11"/>
  <c r="F440" i="11" l="1"/>
  <c r="G440" i="11" s="1"/>
  <c r="I440" i="11"/>
  <c r="C441" i="11" s="1"/>
  <c r="E441" i="11" l="1"/>
  <c r="H441" i="11"/>
  <c r="J441" i="11" s="1"/>
  <c r="I441" i="11" l="1"/>
  <c r="C442" i="11" s="1"/>
  <c r="F441" i="11"/>
  <c r="G441" i="11" s="1"/>
  <c r="H442" i="11" l="1"/>
  <c r="J442" i="11" s="1"/>
  <c r="E442" i="11"/>
  <c r="F442" i="11" l="1"/>
  <c r="G442" i="11" s="1"/>
  <c r="I442" i="11"/>
  <c r="C443" i="11" s="1"/>
  <c r="H443" i="11" l="1"/>
  <c r="J443" i="11" s="1"/>
  <c r="E443" i="11"/>
  <c r="F443" i="11" l="1"/>
  <c r="G443" i="11" s="1"/>
  <c r="I443" i="11"/>
  <c r="C444" i="11" s="1"/>
  <c r="H444" i="11" l="1"/>
  <c r="J444" i="11" s="1"/>
  <c r="E444" i="11"/>
  <c r="I444" i="11" l="1"/>
  <c r="C445" i="11" s="1"/>
  <c r="F444" i="11"/>
  <c r="G444" i="11" s="1"/>
  <c r="H445" i="11" l="1"/>
  <c r="J445" i="11" s="1"/>
  <c r="E445" i="11"/>
  <c r="F445" i="11" l="1"/>
  <c r="G445" i="11" s="1"/>
  <c r="I445" i="11"/>
  <c r="C446" i="11" s="1"/>
  <c r="E446" i="11" l="1"/>
  <c r="H446" i="11"/>
  <c r="J446" i="11" s="1"/>
  <c r="F446" i="11" l="1"/>
  <c r="G446" i="11" s="1"/>
  <c r="I446" i="11"/>
  <c r="C447" i="11" s="1"/>
  <c r="H447" i="11" l="1"/>
  <c r="J447" i="11" s="1"/>
  <c r="E447" i="11"/>
  <c r="I447" i="11" l="1"/>
  <c r="C448" i="11" s="1"/>
  <c r="F447" i="11"/>
  <c r="G447" i="11" s="1"/>
  <c r="H448" i="11" l="1"/>
  <c r="J448" i="11" s="1"/>
  <c r="E448" i="11"/>
  <c r="F448" i="11" l="1"/>
  <c r="G448" i="11" s="1"/>
  <c r="I448" i="11"/>
  <c r="C449" i="11" s="1"/>
  <c r="E449" i="11" l="1"/>
  <c r="H449" i="11"/>
  <c r="J449" i="11" s="1"/>
  <c r="I449" i="11" l="1"/>
  <c r="C450" i="11" s="1"/>
  <c r="F449" i="11"/>
  <c r="G449" i="11" s="1"/>
  <c r="H450" i="11" l="1"/>
  <c r="J450" i="11" s="1"/>
  <c r="E450" i="11"/>
  <c r="I450" i="11" l="1"/>
  <c r="C451" i="11" s="1"/>
  <c r="F450" i="11"/>
  <c r="G450" i="11" s="1"/>
  <c r="H451" i="11" l="1"/>
  <c r="J451" i="11" s="1"/>
  <c r="E451" i="11"/>
  <c r="F451" i="11" l="1"/>
  <c r="G451" i="11" s="1"/>
  <c r="I451" i="11"/>
  <c r="C452" i="11" s="1"/>
  <c r="H452" i="11" l="1"/>
  <c r="J452" i="11" s="1"/>
  <c r="E452" i="11"/>
  <c r="I452" i="11" l="1"/>
  <c r="C453" i="11" s="1"/>
  <c r="F452" i="11"/>
  <c r="G452" i="11" s="1"/>
  <c r="H453" i="11" l="1"/>
  <c r="J453" i="11" s="1"/>
  <c r="E453" i="11"/>
  <c r="I453" i="11" l="1"/>
  <c r="C454" i="11" s="1"/>
  <c r="F453" i="11"/>
  <c r="G453" i="11" s="1"/>
  <c r="H454" i="11" l="1"/>
  <c r="J454" i="11" s="1"/>
  <c r="E454" i="11"/>
  <c r="I454" i="11" l="1"/>
  <c r="C455" i="11" s="1"/>
  <c r="F454" i="11"/>
  <c r="G454" i="11" s="1"/>
  <c r="H455" i="11" l="1"/>
  <c r="J455" i="11" s="1"/>
  <c r="E455" i="11"/>
  <c r="I455" i="11" l="1"/>
  <c r="C456" i="11" s="1"/>
  <c r="F455" i="11"/>
  <c r="G455" i="11" s="1"/>
  <c r="H456" i="11" l="1"/>
  <c r="J456" i="11" s="1"/>
  <c r="E456" i="11"/>
  <c r="F456" i="11" l="1"/>
  <c r="G456" i="11" s="1"/>
  <c r="I456" i="11"/>
  <c r="C457" i="11" s="1"/>
  <c r="E457" i="11" l="1"/>
  <c r="H457" i="11"/>
  <c r="J457" i="11" s="1"/>
  <c r="F457" i="11" l="1"/>
  <c r="G457" i="11" s="1"/>
  <c r="I457" i="11"/>
  <c r="C458" i="11" s="1"/>
  <c r="H458" i="11" l="1"/>
  <c r="J458" i="11" s="1"/>
  <c r="E458" i="11"/>
  <c r="I458" i="11" l="1"/>
  <c r="C459" i="11" s="1"/>
  <c r="F458" i="11"/>
  <c r="G458" i="11" s="1"/>
  <c r="H459" i="11" l="1"/>
  <c r="J459" i="11" s="1"/>
  <c r="E459" i="11"/>
  <c r="F459" i="11" l="1"/>
  <c r="G459" i="11" s="1"/>
  <c r="I459" i="11"/>
  <c r="C460" i="11" s="1"/>
  <c r="H460" i="11" l="1"/>
  <c r="J460" i="11" s="1"/>
  <c r="E460" i="11"/>
  <c r="I460" i="11" l="1"/>
  <c r="C461" i="11" s="1"/>
  <c r="F460" i="11"/>
  <c r="G460" i="11" s="1"/>
  <c r="H461" i="11" l="1"/>
  <c r="J461" i="11" s="1"/>
  <c r="E461" i="11"/>
  <c r="F461" i="11" l="1"/>
  <c r="G461" i="11" s="1"/>
  <c r="I461" i="11"/>
  <c r="C462" i="11" s="1"/>
  <c r="E462" i="11" l="1"/>
  <c r="H462" i="11"/>
  <c r="J462" i="11" s="1"/>
  <c r="I462" i="11" l="1"/>
  <c r="C463" i="11" s="1"/>
  <c r="F462" i="11"/>
  <c r="G462" i="11" s="1"/>
  <c r="H463" i="11" l="1"/>
  <c r="J463" i="11" s="1"/>
  <c r="E463" i="11"/>
  <c r="F463" i="11" l="1"/>
  <c r="G463" i="11" s="1"/>
  <c r="I463" i="11"/>
  <c r="C464" i="11" s="1"/>
  <c r="H464" i="11" l="1"/>
  <c r="J464" i="11" s="1"/>
  <c r="E464" i="11"/>
  <c r="F464" i="11" l="1"/>
  <c r="G464" i="11" s="1"/>
  <c r="I464" i="11"/>
  <c r="C465" i="11" s="1"/>
  <c r="H465" i="11" l="1"/>
  <c r="J465" i="11" s="1"/>
  <c r="E465" i="11"/>
  <c r="I465" i="11" l="1"/>
  <c r="C466" i="11" s="1"/>
  <c r="F465" i="11"/>
  <c r="G465" i="11" s="1"/>
  <c r="H466" i="11" l="1"/>
  <c r="J466" i="11" s="1"/>
  <c r="E466" i="11"/>
  <c r="F466" i="11" l="1"/>
  <c r="G466" i="11" s="1"/>
  <c r="I466" i="11"/>
  <c r="C467" i="11" s="1"/>
  <c r="H467" i="11" l="1"/>
  <c r="J467" i="11" s="1"/>
  <c r="E467" i="11"/>
  <c r="F467" i="11" l="1"/>
  <c r="G467" i="11" s="1"/>
  <c r="I467" i="11"/>
  <c r="C468" i="11" s="1"/>
  <c r="H468" i="11" l="1"/>
  <c r="J468" i="11" s="1"/>
  <c r="E468" i="11"/>
  <c r="F468" i="11" l="1"/>
  <c r="G468" i="11" s="1"/>
  <c r="I468" i="11"/>
  <c r="C469" i="11" s="1"/>
  <c r="H469" i="11" l="1"/>
  <c r="J469" i="11" s="1"/>
  <c r="E469" i="11"/>
  <c r="I469" i="11" l="1"/>
  <c r="C470" i="11" s="1"/>
  <c r="F469" i="11"/>
  <c r="G469" i="11" s="1"/>
  <c r="H470" i="11" l="1"/>
  <c r="J470" i="11" s="1"/>
  <c r="E470" i="11"/>
  <c r="I470" i="11" l="1"/>
  <c r="C471" i="11" s="1"/>
  <c r="F470" i="11"/>
  <c r="G470" i="11" s="1"/>
  <c r="H471" i="11" l="1"/>
  <c r="J471" i="11" s="1"/>
  <c r="E471" i="11"/>
  <c r="F471" i="11" l="1"/>
  <c r="G471" i="11" s="1"/>
  <c r="I471" i="11"/>
  <c r="C472" i="11" s="1"/>
  <c r="H472" i="11" l="1"/>
  <c r="J472" i="11" s="1"/>
  <c r="E472" i="11"/>
  <c r="F472" i="11" l="1"/>
  <c r="G472" i="11" s="1"/>
  <c r="I472" i="11"/>
  <c r="C473" i="11" s="1"/>
  <c r="H473" i="11" l="1"/>
  <c r="J473" i="11" s="1"/>
  <c r="E473" i="11"/>
  <c r="F473" i="11" l="1"/>
  <c r="G473" i="11" s="1"/>
  <c r="I473" i="11"/>
  <c r="C474" i="11" s="1"/>
  <c r="H474" i="11" l="1"/>
  <c r="J474" i="11" s="1"/>
  <c r="E474" i="11"/>
  <c r="I474" i="11" l="1"/>
  <c r="C475" i="11" s="1"/>
  <c r="F474" i="11"/>
  <c r="G474" i="11" s="1"/>
  <c r="E475" i="11" l="1"/>
  <c r="H475" i="11"/>
  <c r="J475" i="11" s="1"/>
  <c r="I475" i="11" l="1"/>
  <c r="C476" i="11" s="1"/>
  <c r="F475" i="11"/>
  <c r="G475" i="11" s="1"/>
  <c r="H476" i="11" l="1"/>
  <c r="J476" i="11" s="1"/>
  <c r="E476" i="11"/>
  <c r="I476" i="11" l="1"/>
  <c r="C477" i="11" s="1"/>
  <c r="F476" i="11"/>
  <c r="G476" i="11" s="1"/>
  <c r="E477" i="11" l="1"/>
  <c r="H477" i="11"/>
  <c r="J477" i="11" s="1"/>
  <c r="I477" i="11" l="1"/>
  <c r="C478" i="11" s="1"/>
  <c r="F477" i="11"/>
  <c r="G477" i="11" s="1"/>
  <c r="H478" i="11" l="1"/>
  <c r="J478" i="11" s="1"/>
  <c r="E478" i="11"/>
  <c r="I478" i="11" l="1"/>
  <c r="C479" i="11" s="1"/>
  <c r="F478" i="11"/>
  <c r="G478" i="11" s="1"/>
  <c r="E479" i="11" l="1"/>
  <c r="H479" i="11"/>
  <c r="J479" i="11" s="1"/>
  <c r="F479" i="11" l="1"/>
  <c r="G479" i="11" s="1"/>
  <c r="I479" i="11"/>
  <c r="C480" i="11" s="1"/>
  <c r="E480" i="11" l="1"/>
  <c r="H480" i="11"/>
  <c r="J480" i="11" s="1"/>
  <c r="F480" i="11" l="1"/>
  <c r="G480" i="11" s="1"/>
  <c r="I480" i="11"/>
  <c r="C481" i="11" s="1"/>
  <c r="H481" i="11" l="1"/>
  <c r="J481" i="11" s="1"/>
  <c r="E481" i="11"/>
  <c r="I481" i="11" l="1"/>
  <c r="C482" i="11" s="1"/>
  <c r="F481" i="11"/>
  <c r="G481" i="11" s="1"/>
  <c r="H482" i="11" l="1"/>
  <c r="J482" i="11" s="1"/>
  <c r="E482" i="11"/>
  <c r="F482" i="11" l="1"/>
  <c r="G482" i="11" s="1"/>
  <c r="I482" i="11"/>
  <c r="C483" i="11" s="1"/>
  <c r="H483" i="11" l="1"/>
  <c r="J483" i="11" s="1"/>
  <c r="E483" i="11"/>
  <c r="I483" i="11" l="1"/>
  <c r="C484" i="11" s="1"/>
  <c r="F483" i="11"/>
  <c r="G483" i="11" s="1"/>
  <c r="H484" i="11" l="1"/>
  <c r="J484" i="11" s="1"/>
  <c r="E484" i="11"/>
  <c r="I484" i="11" l="1"/>
  <c r="C485" i="11" s="1"/>
  <c r="F484" i="11"/>
  <c r="G484" i="11" s="1"/>
  <c r="H485" i="11" l="1"/>
  <c r="J485" i="11" s="1"/>
  <c r="E485" i="11"/>
  <c r="I485" i="11" l="1"/>
  <c r="C486" i="11" s="1"/>
  <c r="F485" i="11"/>
  <c r="G485" i="11" s="1"/>
  <c r="H486" i="11" l="1"/>
  <c r="J486" i="11" s="1"/>
  <c r="E486" i="11"/>
  <c r="I486" i="11" l="1"/>
  <c r="C487" i="11" s="1"/>
  <c r="F486" i="11"/>
  <c r="G486" i="11" s="1"/>
  <c r="H487" i="11" l="1"/>
  <c r="J487" i="11" s="1"/>
  <c r="E487" i="11"/>
  <c r="I487" i="11" l="1"/>
  <c r="C488" i="11" s="1"/>
  <c r="F487" i="11"/>
  <c r="G487" i="11" s="1"/>
  <c r="H488" i="11" l="1"/>
  <c r="J488" i="11" s="1"/>
  <c r="E488" i="11"/>
  <c r="I488" i="11" l="1"/>
  <c r="C489" i="11" s="1"/>
  <c r="F488" i="11"/>
  <c r="G488" i="11" s="1"/>
  <c r="H489" i="11" l="1"/>
  <c r="J489" i="11" s="1"/>
  <c r="E489" i="11"/>
  <c r="I489" i="11" l="1"/>
  <c r="C490" i="11" s="1"/>
  <c r="F489" i="11"/>
  <c r="G489" i="11" s="1"/>
  <c r="H490" i="11" l="1"/>
  <c r="J490" i="11" s="1"/>
  <c r="E490" i="11"/>
  <c r="F490" i="11" l="1"/>
  <c r="G490" i="11" s="1"/>
  <c r="I490" i="11"/>
  <c r="C491" i="11" s="1"/>
  <c r="H491" i="11" l="1"/>
  <c r="J491" i="11" s="1"/>
  <c r="E491" i="11"/>
  <c r="I491" i="11" l="1"/>
  <c r="C492" i="11" s="1"/>
  <c r="F491" i="11"/>
  <c r="G491" i="11" s="1"/>
  <c r="H492" i="11" l="1"/>
  <c r="J492" i="11" s="1"/>
  <c r="E492" i="11"/>
  <c r="I492" i="11" l="1"/>
  <c r="C493" i="11" s="1"/>
  <c r="F492" i="11"/>
  <c r="G492" i="11" s="1"/>
  <c r="H493" i="11" l="1"/>
  <c r="J493" i="11" s="1"/>
  <c r="E493" i="11"/>
  <c r="I493" i="11" l="1"/>
  <c r="C494" i="11" s="1"/>
  <c r="F493" i="11"/>
  <c r="G493" i="11" s="1"/>
  <c r="E494" i="11" l="1"/>
  <c r="H494" i="11"/>
  <c r="J494" i="11" s="1"/>
  <c r="I494" i="11" l="1"/>
  <c r="C495" i="11" s="1"/>
  <c r="F494" i="11"/>
  <c r="G494" i="11" s="1"/>
  <c r="E495" i="11" l="1"/>
  <c r="H495" i="11"/>
  <c r="J495" i="11" s="1"/>
  <c r="F495" i="11" l="1"/>
  <c r="G495" i="11" s="1"/>
  <c r="I495" i="11"/>
  <c r="C496" i="11" s="1"/>
  <c r="H496" i="11" l="1"/>
  <c r="J496" i="11" s="1"/>
  <c r="E496" i="11"/>
  <c r="I496" i="11" l="1"/>
  <c r="C497" i="11" s="1"/>
  <c r="F496" i="11"/>
  <c r="G496" i="11" s="1"/>
  <c r="J8" i="11" l="1"/>
  <c r="H497" i="11"/>
  <c r="E497" i="11"/>
  <c r="F497" i="11" l="1"/>
  <c r="G497" i="11" s="1"/>
  <c r="I497" i="11"/>
  <c r="J7" i="11" s="1"/>
  <c r="J9" i="11"/>
  <c r="D8" i="12"/>
  <c r="D6" i="12"/>
  <c r="F6" i="12" s="1"/>
  <c r="F20" i="3" s="1"/>
  <c r="F24" i="3" s="1"/>
  <c r="J497" i="11"/>
  <c r="D9" i="12"/>
  <c r="D7" i="12"/>
  <c r="F7" i="12" s="1"/>
  <c r="G20" i="3" s="1"/>
  <c r="G24" i="3" s="1"/>
  <c r="D10" i="12"/>
  <c r="D11" i="12"/>
  <c r="F9" i="12" l="1"/>
  <c r="I20" i="3" s="1"/>
  <c r="I17" i="16" s="1"/>
  <c r="I18" i="16" s="1"/>
  <c r="F10" i="12"/>
  <c r="G18" i="4"/>
  <c r="G27" i="4" s="1"/>
  <c r="AJ10" i="15"/>
  <c r="AF10" i="15"/>
  <c r="AB10" i="15"/>
  <c r="AI10" i="15"/>
  <c r="AE10" i="15"/>
  <c r="AA10" i="15"/>
  <c r="AH10" i="15"/>
  <c r="AD10" i="15"/>
  <c r="Z10" i="15"/>
  <c r="AK10" i="15"/>
  <c r="AG10" i="15"/>
  <c r="AC10" i="15"/>
  <c r="G17" i="16"/>
  <c r="G18" i="16" s="1"/>
  <c r="G27" i="3"/>
  <c r="G29" i="3" s="1"/>
  <c r="F8" i="12"/>
  <c r="H20" i="3" s="1"/>
  <c r="H24" i="3" s="1"/>
  <c r="F11" i="12"/>
  <c r="F18" i="4"/>
  <c r="F27" i="4" s="1"/>
  <c r="X10" i="15"/>
  <c r="T10" i="15"/>
  <c r="P10" i="15"/>
  <c r="W10" i="15"/>
  <c r="S10" i="15"/>
  <c r="O10" i="15"/>
  <c r="V10" i="15"/>
  <c r="R10" i="15"/>
  <c r="N10" i="15"/>
  <c r="Y10" i="15"/>
  <c r="U10" i="15"/>
  <c r="Q10" i="15"/>
  <c r="F17" i="16"/>
  <c r="F18" i="16" s="1"/>
  <c r="F27" i="3"/>
  <c r="F29" i="3" s="1"/>
  <c r="C8" i="12"/>
  <c r="C9" i="12"/>
  <c r="C6" i="12"/>
  <c r="C10" i="12"/>
  <c r="C7" i="12"/>
  <c r="C11" i="12"/>
  <c r="F25" i="4" l="1"/>
  <c r="Y12" i="15"/>
  <c r="AK12" i="15"/>
  <c r="G25" i="4"/>
  <c r="BH10" i="15"/>
  <c r="AX10" i="15"/>
  <c r="BC10" i="15"/>
  <c r="I18" i="4"/>
  <c r="I27" i="4" s="1"/>
  <c r="I24" i="3"/>
  <c r="BE10" i="15"/>
  <c r="AZ10" i="15"/>
  <c r="BF10" i="15"/>
  <c r="BI10" i="15"/>
  <c r="AY10" i="15"/>
  <c r="BD10" i="15"/>
  <c r="BA10" i="15"/>
  <c r="BB10" i="15"/>
  <c r="BG10" i="15"/>
  <c r="G7" i="12"/>
  <c r="G16" i="2" s="1"/>
  <c r="E7" i="12"/>
  <c r="G8" i="12"/>
  <c r="H16" i="2" s="1"/>
  <c r="E8" i="12"/>
  <c r="H18" i="4"/>
  <c r="H27" i="4" s="1"/>
  <c r="AV10" i="15"/>
  <c r="AR10" i="15"/>
  <c r="AN10" i="15"/>
  <c r="AU10" i="15"/>
  <c r="AQ10" i="15"/>
  <c r="AM10" i="15"/>
  <c r="AT10" i="15"/>
  <c r="AP10" i="15"/>
  <c r="AL10" i="15"/>
  <c r="AW10" i="15"/>
  <c r="AS10" i="15"/>
  <c r="AO10" i="15"/>
  <c r="H17" i="16"/>
  <c r="H18" i="16" s="1"/>
  <c r="H27" i="3"/>
  <c r="H29" i="3" s="1"/>
  <c r="E10" i="12"/>
  <c r="G10" i="12"/>
  <c r="F11" i="4"/>
  <c r="F20" i="4" s="1"/>
  <c r="F32" i="3"/>
  <c r="G32" i="3"/>
  <c r="G11" i="4"/>
  <c r="G20" i="4" s="1"/>
  <c r="E11" i="12"/>
  <c r="G11" i="12"/>
  <c r="G6" i="12"/>
  <c r="F16" i="2" s="1"/>
  <c r="E6" i="12"/>
  <c r="G9" i="12"/>
  <c r="I16" i="2" s="1"/>
  <c r="E9" i="12"/>
  <c r="G29" i="4" l="1"/>
  <c r="F29" i="4"/>
  <c r="H25" i="4"/>
  <c r="AW12" i="15"/>
  <c r="I27" i="3"/>
  <c r="X13" i="15"/>
  <c r="X14" i="15" s="1"/>
  <c r="T13" i="15"/>
  <c r="T14" i="15" s="1"/>
  <c r="P13" i="15"/>
  <c r="P14" i="15" s="1"/>
  <c r="V13" i="15"/>
  <c r="V14" i="15" s="1"/>
  <c r="R13" i="15"/>
  <c r="R14" i="15" s="1"/>
  <c r="N13" i="15"/>
  <c r="N14" i="15" s="1"/>
  <c r="N16" i="15" s="1"/>
  <c r="S13" i="15"/>
  <c r="S14" i="15" s="1"/>
  <c r="Y13" i="15"/>
  <c r="Y14" i="15" s="1"/>
  <c r="Q13" i="15"/>
  <c r="Q14" i="15" s="1"/>
  <c r="W13" i="15"/>
  <c r="W14" i="15" s="1"/>
  <c r="O13" i="15"/>
  <c r="O14" i="15" s="1"/>
  <c r="U13" i="15"/>
  <c r="U14" i="15" s="1"/>
  <c r="E10" i="17"/>
  <c r="E11" i="23"/>
  <c r="E10" i="19"/>
  <c r="E11" i="17"/>
  <c r="H32" i="3"/>
  <c r="H11" i="4"/>
  <c r="H20" i="4" s="1"/>
  <c r="H29" i="4" s="1"/>
  <c r="BI13" i="15"/>
  <c r="BE13" i="15"/>
  <c r="BE14" i="15" s="1"/>
  <c r="BA13" i="15"/>
  <c r="BA14" i="15" s="1"/>
  <c r="BH13" i="15"/>
  <c r="BH14" i="15" s="1"/>
  <c r="BD13" i="15"/>
  <c r="BD14" i="15" s="1"/>
  <c r="AZ13" i="15"/>
  <c r="AZ14" i="15" s="1"/>
  <c r="BG13" i="15"/>
  <c r="BG14" i="15" s="1"/>
  <c r="BC13" i="15"/>
  <c r="BC14" i="15" s="1"/>
  <c r="AY13" i="15"/>
  <c r="AY14" i="15" s="1"/>
  <c r="BF13" i="15"/>
  <c r="BF14" i="15" s="1"/>
  <c r="BB13" i="15"/>
  <c r="BB14" i="15" s="1"/>
  <c r="AX13" i="15"/>
  <c r="AX14" i="15" s="1"/>
  <c r="F41" i="4"/>
  <c r="F44" i="4" s="1"/>
  <c r="F20" i="2"/>
  <c r="D11" i="23"/>
  <c r="D10" i="17"/>
  <c r="F13" i="2"/>
  <c r="D11" i="17"/>
  <c r="D10" i="19"/>
  <c r="AT13" i="15"/>
  <c r="AT14" i="15" s="1"/>
  <c r="AP13" i="15"/>
  <c r="AP14" i="15" s="1"/>
  <c r="AL13" i="15"/>
  <c r="AL14" i="15" s="1"/>
  <c r="AW13" i="15"/>
  <c r="AS13" i="15"/>
  <c r="AS14" i="15" s="1"/>
  <c r="AO13" i="15"/>
  <c r="AO14" i="15" s="1"/>
  <c r="AV13" i="15"/>
  <c r="AV14" i="15" s="1"/>
  <c r="AR13" i="15"/>
  <c r="AR14" i="15" s="1"/>
  <c r="AN13" i="15"/>
  <c r="AN14" i="15" s="1"/>
  <c r="AU13" i="15"/>
  <c r="AU14" i="15" s="1"/>
  <c r="AQ13" i="15"/>
  <c r="AQ14" i="15" s="1"/>
  <c r="AM13" i="15"/>
  <c r="AM14" i="15" s="1"/>
  <c r="H41" i="4"/>
  <c r="H44" i="4" s="1"/>
  <c r="H20" i="2"/>
  <c r="I41" i="4"/>
  <c r="I44" i="4" s="1"/>
  <c r="I20" i="2"/>
  <c r="AI13" i="15"/>
  <c r="AI14" i="15" s="1"/>
  <c r="AE13" i="15"/>
  <c r="AE14" i="15" s="1"/>
  <c r="AA13" i="15"/>
  <c r="AA14" i="15" s="1"/>
  <c r="AK13" i="15"/>
  <c r="AK14" i="15" s="1"/>
  <c r="AG13" i="15"/>
  <c r="AG14" i="15" s="1"/>
  <c r="AC13" i="15"/>
  <c r="AC14" i="15" s="1"/>
  <c r="AH13" i="15"/>
  <c r="AH14" i="15" s="1"/>
  <c r="Z13" i="15"/>
  <c r="Z14" i="15" s="1"/>
  <c r="AF13" i="15"/>
  <c r="AF14" i="15" s="1"/>
  <c r="AD13" i="15"/>
  <c r="AD14" i="15" s="1"/>
  <c r="AJ13" i="15"/>
  <c r="AJ14" i="15" s="1"/>
  <c r="AB13" i="15"/>
  <c r="AB14" i="15" s="1"/>
  <c r="G41" i="4"/>
  <c r="G44" i="4" s="1"/>
  <c r="G46" i="4" s="1"/>
  <c r="G20" i="2"/>
  <c r="AW14" i="15" l="1"/>
  <c r="F46" i="4"/>
  <c r="F50" i="4" s="1"/>
  <c r="D16" i="19" s="1"/>
  <c r="I11" i="4"/>
  <c r="I20" i="4" s="1"/>
  <c r="I29" i="3"/>
  <c r="I32" i="3" s="1"/>
  <c r="G11" i="23" s="1"/>
  <c r="E12" i="23"/>
  <c r="E13" i="23" s="1"/>
  <c r="D12" i="23"/>
  <c r="F11" i="17"/>
  <c r="F11" i="23"/>
  <c r="F10" i="17"/>
  <c r="F10" i="19"/>
  <c r="D35" i="19"/>
  <c r="D11" i="19"/>
  <c r="D14" i="19" s="1"/>
  <c r="O16" i="15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D14" i="23"/>
  <c r="D13" i="17"/>
  <c r="D14" i="17" s="1"/>
  <c r="D13" i="19"/>
  <c r="F14" i="2"/>
  <c r="F12" i="16" s="1"/>
  <c r="H46" i="4"/>
  <c r="E11" i="19"/>
  <c r="E12" i="19" s="1"/>
  <c r="E35" i="19"/>
  <c r="E36" i="19" s="1"/>
  <c r="G13" i="2"/>
  <c r="H13" i="2" s="1"/>
  <c r="F39" i="2" l="1"/>
  <c r="Y17" i="15" s="1"/>
  <c r="Y18" i="15" s="1"/>
  <c r="G48" i="4"/>
  <c r="G50" i="4" s="1"/>
  <c r="Z16" i="15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K16" i="15" s="1"/>
  <c r="AL16" i="15" s="1"/>
  <c r="AM16" i="15" s="1"/>
  <c r="AN16" i="15" s="1"/>
  <c r="AO16" i="15" s="1"/>
  <c r="AP16" i="15" s="1"/>
  <c r="AQ16" i="15" s="1"/>
  <c r="AR16" i="15" s="1"/>
  <c r="AS16" i="15" s="1"/>
  <c r="AT16" i="15" s="1"/>
  <c r="AU16" i="15" s="1"/>
  <c r="AV16" i="15" s="1"/>
  <c r="AW16" i="15" s="1"/>
  <c r="AX16" i="15" s="1"/>
  <c r="AY16" i="15" s="1"/>
  <c r="AZ16" i="15" s="1"/>
  <c r="BA16" i="15" s="1"/>
  <c r="BB16" i="15" s="1"/>
  <c r="BC16" i="15" s="1"/>
  <c r="BD16" i="15" s="1"/>
  <c r="BE16" i="15" s="1"/>
  <c r="BF16" i="15" s="1"/>
  <c r="BG16" i="15" s="1"/>
  <c r="BH16" i="15" s="1"/>
  <c r="G10" i="19"/>
  <c r="G11" i="19" s="1"/>
  <c r="I25" i="4"/>
  <c r="I29" i="4" s="1"/>
  <c r="I46" i="4" s="1"/>
  <c r="BI12" i="15"/>
  <c r="BI14" i="15" s="1"/>
  <c r="G10" i="17"/>
  <c r="G11" i="17"/>
  <c r="D12" i="19"/>
  <c r="D15" i="23"/>
  <c r="D16" i="23" s="1"/>
  <c r="D13" i="23"/>
  <c r="F12" i="23"/>
  <c r="F13" i="23" s="1"/>
  <c r="G12" i="23"/>
  <c r="G13" i="23" s="1"/>
  <c r="D15" i="19"/>
  <c r="D36" i="19"/>
  <c r="D39" i="19" s="1"/>
  <c r="E39" i="19" s="1"/>
  <c r="E14" i="19"/>
  <c r="G39" i="2"/>
  <c r="E16" i="19"/>
  <c r="H48" i="4"/>
  <c r="H50" i="4" s="1"/>
  <c r="H14" i="2"/>
  <c r="F13" i="17"/>
  <c r="F14" i="17" s="1"/>
  <c r="F14" i="23"/>
  <c r="F13" i="19"/>
  <c r="I13" i="2"/>
  <c r="F15" i="16"/>
  <c r="D16" i="17"/>
  <c r="D17" i="17" s="1"/>
  <c r="D17" i="23"/>
  <c r="G14" i="2"/>
  <c r="E13" i="19"/>
  <c r="E14" i="23"/>
  <c r="E13" i="17"/>
  <c r="E14" i="17" s="1"/>
  <c r="D41" i="19"/>
  <c r="D17" i="19"/>
  <c r="D42" i="19" s="1"/>
  <c r="F35" i="19"/>
  <c r="F36" i="19" s="1"/>
  <c r="F11" i="19"/>
  <c r="F12" i="19" s="1"/>
  <c r="F27" i="2"/>
  <c r="F43" i="2" l="1"/>
  <c r="G35" i="19"/>
  <c r="G36" i="19" s="1"/>
  <c r="G12" i="19"/>
  <c r="BI16" i="15"/>
  <c r="E15" i="23"/>
  <c r="E16" i="23" s="1"/>
  <c r="D18" i="23"/>
  <c r="D19" i="23" s="1"/>
  <c r="F39" i="19"/>
  <c r="E15" i="19"/>
  <c r="D18" i="19"/>
  <c r="F14" i="19"/>
  <c r="G14" i="19" s="1"/>
  <c r="G15" i="16"/>
  <c r="G27" i="2"/>
  <c r="G12" i="16"/>
  <c r="G14" i="23"/>
  <c r="G13" i="19"/>
  <c r="G13" i="17"/>
  <c r="G14" i="17" s="1"/>
  <c r="I14" i="2"/>
  <c r="H27" i="2"/>
  <c r="H12" i="16"/>
  <c r="H15" i="16"/>
  <c r="E17" i="23"/>
  <c r="G43" i="2"/>
  <c r="E16" i="17"/>
  <c r="E17" i="17" s="1"/>
  <c r="H39" i="2"/>
  <c r="I48" i="4"/>
  <c r="I50" i="4" s="1"/>
  <c r="F16" i="19"/>
  <c r="F8" i="16"/>
  <c r="F44" i="2"/>
  <c r="E41" i="19"/>
  <c r="E17" i="19"/>
  <c r="E42" i="19" s="1"/>
  <c r="G39" i="19" l="1"/>
  <c r="F15" i="23"/>
  <c r="G15" i="23" s="1"/>
  <c r="G16" i="23" s="1"/>
  <c r="E18" i="23"/>
  <c r="E19" i="23" s="1"/>
  <c r="E18" i="19"/>
  <c r="G15" i="19"/>
  <c r="F15" i="19"/>
  <c r="G16" i="19"/>
  <c r="I39" i="2"/>
  <c r="F47" i="2"/>
  <c r="F14" i="16"/>
  <c r="F10" i="16"/>
  <c r="F11" i="16"/>
  <c r="F16" i="17"/>
  <c r="F17" i="17" s="1"/>
  <c r="F17" i="23"/>
  <c r="H43" i="2"/>
  <c r="I15" i="16"/>
  <c r="I27" i="2"/>
  <c r="I12" i="16"/>
  <c r="F17" i="19"/>
  <c r="F42" i="19" s="1"/>
  <c r="F41" i="19"/>
  <c r="G8" i="16"/>
  <c r="G44" i="2"/>
  <c r="F16" i="23" l="1"/>
  <c r="F18" i="23"/>
  <c r="F19" i="23" s="1"/>
  <c r="F18" i="19"/>
  <c r="G47" i="2"/>
  <c r="G14" i="16"/>
  <c r="G10" i="16"/>
  <c r="G11" i="16"/>
  <c r="H8" i="16"/>
  <c r="H44" i="2"/>
  <c r="G17" i="19"/>
  <c r="G42" i="19" s="1"/>
  <c r="G41" i="19"/>
  <c r="G16" i="17"/>
  <c r="G17" i="17" s="1"/>
  <c r="D20" i="17" s="1"/>
  <c r="F34" i="17" s="1"/>
  <c r="I43" i="2"/>
  <c r="G17" i="23"/>
  <c r="G18" i="23" s="1"/>
  <c r="G19" i="23" s="1"/>
  <c r="G18" i="19" l="1"/>
  <c r="I44" i="2"/>
  <c r="I8" i="16"/>
  <c r="H47" i="2"/>
  <c r="H10" i="16"/>
  <c r="H14" i="16"/>
  <c r="H11" i="16"/>
  <c r="I47" i="2" l="1"/>
  <c r="I14" i="16"/>
  <c r="I10" i="16"/>
  <c r="I11" i="16"/>
</calcChain>
</file>

<file path=xl/sharedStrings.xml><?xml version="1.0" encoding="utf-8"?>
<sst xmlns="http://schemas.openxmlformats.org/spreadsheetml/2006/main" count="1057" uniqueCount="520">
  <si>
    <t>Location</t>
  </si>
  <si>
    <t>Particulars</t>
  </si>
  <si>
    <t>Projections</t>
  </si>
  <si>
    <t>Actual</t>
  </si>
  <si>
    <t>EQUITY</t>
  </si>
  <si>
    <t>SHARE CAPITAL</t>
  </si>
  <si>
    <t>RESERVES &amp; SURPLUS</t>
  </si>
  <si>
    <t>TOTAL EQUITY</t>
  </si>
  <si>
    <t>NON CURRENT LIABILITIES</t>
  </si>
  <si>
    <t xml:space="preserve">LONG TERM LOAN </t>
  </si>
  <si>
    <t>EMPLOYEE BENEFIT LIABILITY</t>
  </si>
  <si>
    <t>DEFFERED TAX LIABILITY</t>
  </si>
  <si>
    <t>OTHER NON CURRENT LIABILITIES</t>
  </si>
  <si>
    <t>TOTAL NON CURRENT LIABILITIES</t>
  </si>
  <si>
    <t>CURRENT LIABILITIES</t>
  </si>
  <si>
    <t>SHORT TERM LOAN</t>
  </si>
  <si>
    <t>TRADE &amp; OTHER PAYABLE</t>
  </si>
  <si>
    <t>PROVISION</t>
  </si>
  <si>
    <t>TOTAL CURRENT LIABILITIES</t>
  </si>
  <si>
    <t>TOTAL LIABILITIES</t>
  </si>
  <si>
    <t>ASSETS</t>
  </si>
  <si>
    <t>NON CURRENT ASSETS</t>
  </si>
  <si>
    <t>PROPERTY, PLANT &amp; EQUIPTMENT</t>
  </si>
  <si>
    <t>INTANGIBLE ASSET</t>
  </si>
  <si>
    <t>INVESTMENTS</t>
  </si>
  <si>
    <t>DEFFERED TAX ASSET</t>
  </si>
  <si>
    <t>OTHER NON CURRENT ASSETS</t>
  </si>
  <si>
    <t>TOTAL NON CURRENT ASSETS</t>
  </si>
  <si>
    <t>CURRENT ASSETS</t>
  </si>
  <si>
    <t>CASH AND BANK</t>
  </si>
  <si>
    <t>INVENTORIES</t>
  </si>
  <si>
    <t>TRADE AND OTHER RECEIVABLE</t>
  </si>
  <si>
    <t xml:space="preserve">TOTAL CURRENT ASSETS </t>
  </si>
  <si>
    <t>EQUITY AND LIABILITIES</t>
  </si>
  <si>
    <t>TOTAL ASSETS</t>
  </si>
  <si>
    <t>Check</t>
  </si>
  <si>
    <t>DEPOSITS</t>
  </si>
  <si>
    <t>OTHER LIABILITIES</t>
  </si>
  <si>
    <t>REVENUE</t>
  </si>
  <si>
    <t>COST OF SALES</t>
  </si>
  <si>
    <t>GROSS INCOME</t>
  </si>
  <si>
    <t>OTHER INCOME</t>
  </si>
  <si>
    <t>ADMINISTRATIVE EXPENSES</t>
  </si>
  <si>
    <t xml:space="preserve">OPERATION PROFIT / LOSS </t>
  </si>
  <si>
    <t>INTEREST EXPENSES</t>
  </si>
  <si>
    <t>OTHER FINANCIAL EXPENSES</t>
  </si>
  <si>
    <t>DEPRECIATION</t>
  </si>
  <si>
    <t xml:space="preserve">PROFIT / LOSS BEFORE STAFF BONUS </t>
  </si>
  <si>
    <t>STAFF BONUS</t>
  </si>
  <si>
    <t>PROFIT / LOSS BEFORE TAX</t>
  </si>
  <si>
    <t xml:space="preserve">INCOME TAX FOR CURRENT YEAR </t>
  </si>
  <si>
    <t xml:space="preserve">INCOME TAX FOR PREVIOUS YEARS </t>
  </si>
  <si>
    <t>DEFERRED TAX - INCOME (EXPENSE)</t>
  </si>
  <si>
    <t>PROFIT (LOSS) FOR THE YEAR</t>
  </si>
  <si>
    <t>Total</t>
  </si>
  <si>
    <t>Stock</t>
  </si>
  <si>
    <t>Opening Stock</t>
  </si>
  <si>
    <t>Purchase</t>
  </si>
  <si>
    <t>Sales</t>
  </si>
  <si>
    <t>Closing Stock</t>
  </si>
  <si>
    <t>Wheat</t>
  </si>
  <si>
    <t>Maize</t>
  </si>
  <si>
    <t>Lentil</t>
  </si>
  <si>
    <t>Other Expenses</t>
  </si>
  <si>
    <t>DIRECT (PRODUTION STAFF)</t>
  </si>
  <si>
    <t>ELECTRICITY AND WATER</t>
  </si>
  <si>
    <t>SELLING AND DISTRIBUTION COST</t>
  </si>
  <si>
    <t>FUEL COST (VEHICLE, GENERATOR, ETC.)</t>
  </si>
  <si>
    <t>DAILY LABOUR</t>
  </si>
  <si>
    <t>TOTAL</t>
  </si>
  <si>
    <t>SELLING &amp; DISTRIBUTION EXPENSES</t>
  </si>
  <si>
    <t>Other Details</t>
  </si>
  <si>
    <t>Share Capital</t>
  </si>
  <si>
    <t>Long Term Loan</t>
  </si>
  <si>
    <t>Short Term Loan</t>
  </si>
  <si>
    <t>Non Current Liabilities</t>
  </si>
  <si>
    <t>Other Liabilities</t>
  </si>
  <si>
    <t>Provisions</t>
  </si>
  <si>
    <t>Cash &amp; Bank</t>
  </si>
  <si>
    <t>Deposits</t>
  </si>
  <si>
    <t>Trade &amp; Other Receivable</t>
  </si>
  <si>
    <t>Land</t>
  </si>
  <si>
    <t>Building</t>
  </si>
  <si>
    <t>Furniture &amp; Fixture</t>
  </si>
  <si>
    <t>Office Equipments</t>
  </si>
  <si>
    <t>Vehicles</t>
  </si>
  <si>
    <t>Machinery Tools</t>
  </si>
  <si>
    <t>Grand Total</t>
  </si>
  <si>
    <t>Rate</t>
  </si>
  <si>
    <t>Land including its development</t>
  </si>
  <si>
    <t>Building and shed</t>
  </si>
  <si>
    <t>Machinery and equipment</t>
  </si>
  <si>
    <t>Seed purchase</t>
  </si>
  <si>
    <t>Production staff</t>
  </si>
  <si>
    <t>Selling and distribution cost</t>
  </si>
  <si>
    <t>Loan Utilization</t>
  </si>
  <si>
    <t>Capital Items</t>
  </si>
  <si>
    <t>Qty</t>
  </si>
  <si>
    <t>Seed</t>
  </si>
  <si>
    <t>Fixed Assets</t>
  </si>
  <si>
    <t>Rate of depreciation</t>
  </si>
  <si>
    <t>Furniture &amp; Fixtures</t>
  </si>
  <si>
    <t>Machinery</t>
  </si>
  <si>
    <t>Depreciation</t>
  </si>
  <si>
    <t>Rate of Depreciation</t>
  </si>
  <si>
    <t>WDV</t>
  </si>
  <si>
    <t>Addition during the year</t>
  </si>
  <si>
    <t>Office Equipment</t>
  </si>
  <si>
    <t>Total Assets before Depreciation</t>
  </si>
  <si>
    <t>WDV at the end of 1st year</t>
  </si>
  <si>
    <t>Year</t>
  </si>
  <si>
    <t>WDV at the end of 2nd year</t>
  </si>
  <si>
    <t>WDV at the end of 3rd year</t>
  </si>
  <si>
    <t>WDV at the end of 4th year</t>
  </si>
  <si>
    <t>WDV at the end of 5th year</t>
  </si>
  <si>
    <t>Value</t>
  </si>
  <si>
    <t>Administrative Expenses</t>
  </si>
  <si>
    <t>In Kilo</t>
  </si>
  <si>
    <t>Direct Cost</t>
  </si>
  <si>
    <t>( Closing Stock )</t>
  </si>
  <si>
    <t>Increment</t>
  </si>
  <si>
    <t>As per Quantity Increase</t>
  </si>
  <si>
    <t>Selling &amp; Distribution</t>
  </si>
  <si>
    <t>Name of Company</t>
  </si>
  <si>
    <t>PARTICULARS</t>
  </si>
  <si>
    <t>CASH FLOW FROM OPERATING ACTIVITIES</t>
  </si>
  <si>
    <t/>
  </si>
  <si>
    <t>NET PROFIT BEFORE TAX TAXATION AND EXTRAORDINARY ITEMS</t>
  </si>
  <si>
    <t>ADJUSTMENT FOR:</t>
  </si>
  <si>
    <t>INCOME TAX PAID</t>
  </si>
  <si>
    <t>OPERATING PROFIT BEFORE WORKING CAPITAL CHANGES</t>
  </si>
  <si>
    <t>PAYMENT OF TAX</t>
  </si>
  <si>
    <t>TAX PAID FOR EARLIER YEARS</t>
  </si>
  <si>
    <t>INTEREST PAID</t>
  </si>
  <si>
    <t>NET CASH FLOW FROM OPERATING ACTIVITIES</t>
  </si>
  <si>
    <t>CASH FLOWS FROM INVESTING ACTIVITIES</t>
  </si>
  <si>
    <t>PURCHASE OF PROPERTY, PLANT &amp; EQUIPTMENT</t>
  </si>
  <si>
    <t>SALES OF PROPERTY, PLANT &amp; EQUIPTMENT</t>
  </si>
  <si>
    <t>NET CASH FLOW FROM INVESTING ACTIVITIES</t>
  </si>
  <si>
    <t>CASH FLOWS FROM FINANCING ACTIVITIES</t>
  </si>
  <si>
    <t>PROCEEDS FROM SHARE</t>
  </si>
  <si>
    <t>PROCEEDS FROM BORROWINGS</t>
  </si>
  <si>
    <t>DIVIDEND PAID</t>
  </si>
  <si>
    <t>NET CASH FLOW FROM FINANCING ACTIVITIES</t>
  </si>
  <si>
    <t>NET INCREASE IN CASH AND CASH EQUIVALENTS</t>
  </si>
  <si>
    <t>CASH AND CASH EQUIVALENTS AT BEGINNING OF PERIOD</t>
  </si>
  <si>
    <t>CASH AND CASH EQUIVALENTS AT END OF PERIOD</t>
  </si>
  <si>
    <t>(INCREASE) / DECREASE IN INVENTORIES</t>
  </si>
  <si>
    <t>(INCREASE) / DECREASE IN TRADE AND OTHER RECEIVABLE</t>
  </si>
  <si>
    <t>INCREASE / (DECREASE) IN TRADE PAYABLES</t>
  </si>
  <si>
    <t>Addition</t>
  </si>
  <si>
    <t>Long Term Loan remaining</t>
  </si>
  <si>
    <t>Short Term Loan Interest Rate</t>
  </si>
  <si>
    <t>Long Term Loan Interest Rate</t>
  </si>
  <si>
    <t>Cumulative Interest</t>
  </si>
  <si>
    <t>Ending Balance</t>
  </si>
  <si>
    <t>Interest</t>
  </si>
  <si>
    <t>Principal</t>
  </si>
  <si>
    <t>Total Payment</t>
  </si>
  <si>
    <t>Extra Payment</t>
  </si>
  <si>
    <t>Scheduled Payment</t>
  </si>
  <si>
    <t>Beginning Balance</t>
  </si>
  <si>
    <t>Payment Date</t>
  </si>
  <si>
    <t>Pmt. No.</t>
  </si>
  <si>
    <t>Lender name:</t>
  </si>
  <si>
    <t>Optional extra payments</t>
  </si>
  <si>
    <t>Total interest</t>
  </si>
  <si>
    <t>Start date of loan</t>
  </si>
  <si>
    <t>Total early payments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</si>
  <si>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</si>
  <si>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</si>
  <si>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</si>
  <si>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</si>
  <si>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</si>
  <si>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</si>
  <si>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amount</t>
  </si>
  <si>
    <t>Loan summary</t>
  </si>
  <si>
    <t>Enter values</t>
  </si>
  <si>
    <t>Loan Amortization Schedule</t>
  </si>
  <si>
    <t>No of years</t>
  </si>
  <si>
    <t>No of payments in a year</t>
  </si>
  <si>
    <t>Loan to be taken on</t>
  </si>
  <si>
    <t>Upto</t>
  </si>
  <si>
    <t>Cum Principal</t>
  </si>
  <si>
    <t>Cum Interest</t>
  </si>
  <si>
    <t>Per year Principal</t>
  </si>
  <si>
    <t>Per year Interest</t>
  </si>
  <si>
    <t>Cum Princ</t>
  </si>
  <si>
    <t>Reserve &amp; Surplus</t>
  </si>
  <si>
    <t>Non Current Assets</t>
  </si>
  <si>
    <t>INTEREST EXPENSE</t>
  </si>
  <si>
    <t>INCOME TAX</t>
  </si>
  <si>
    <t>CLOSING STOCK</t>
  </si>
  <si>
    <t>XXXX</t>
  </si>
  <si>
    <t>General Info</t>
  </si>
  <si>
    <t>LEGEND</t>
  </si>
  <si>
    <t>Processing</t>
  </si>
  <si>
    <t>April to May</t>
  </si>
  <si>
    <t>Sell</t>
  </si>
  <si>
    <t>Dec to March</t>
  </si>
  <si>
    <t>Planting</t>
  </si>
  <si>
    <t>June to Sept</t>
  </si>
  <si>
    <t>Farmer's Loan</t>
  </si>
  <si>
    <t>Company Loan</t>
  </si>
  <si>
    <t>Nov to March</t>
  </si>
  <si>
    <t>November to march</t>
  </si>
  <si>
    <t>Month</t>
  </si>
  <si>
    <t>Bifurcation of cost</t>
  </si>
  <si>
    <t>Fixed</t>
  </si>
  <si>
    <t>Variable</t>
  </si>
  <si>
    <t>Direct</t>
  </si>
  <si>
    <t>Admin</t>
  </si>
  <si>
    <t>Inflow</t>
  </si>
  <si>
    <t>Outflow</t>
  </si>
  <si>
    <t>Net Position</t>
  </si>
  <si>
    <t>Fixed Cost</t>
  </si>
  <si>
    <t>Cumulative</t>
  </si>
  <si>
    <t>Opening</t>
  </si>
  <si>
    <t>Interest Expenses</t>
  </si>
  <si>
    <t>Installment</t>
  </si>
  <si>
    <t>Borrowing</t>
  </si>
  <si>
    <t>Loan Taken</t>
  </si>
  <si>
    <t>Income Tax</t>
  </si>
  <si>
    <t>Period</t>
  </si>
  <si>
    <t>Current Ratio</t>
  </si>
  <si>
    <t>Debt/Assets Ratio</t>
  </si>
  <si>
    <t>Solvency Ratio</t>
  </si>
  <si>
    <t>Liquidity Ratio</t>
  </si>
  <si>
    <t>Equity/Assets Ratio</t>
  </si>
  <si>
    <t>Debt/Equity Ratio</t>
  </si>
  <si>
    <t>Profitablity Analysis</t>
  </si>
  <si>
    <t>Return on Farm Assets</t>
  </si>
  <si>
    <t>Return on Equity</t>
  </si>
  <si>
    <t>Breakeven Analysis</t>
  </si>
  <si>
    <t>Breakeven in RS</t>
  </si>
  <si>
    <t>Paddy</t>
  </si>
  <si>
    <t>Radha-4</t>
  </si>
  <si>
    <t>Ramdhan</t>
  </si>
  <si>
    <t>Hardinath 1</t>
  </si>
  <si>
    <t>Sawa Sab-1</t>
  </si>
  <si>
    <t>Sabitri</t>
  </si>
  <si>
    <t>Sukkha-3</t>
  </si>
  <si>
    <t>Seharang Sab-1</t>
  </si>
  <si>
    <t>Sukkha-5</t>
  </si>
  <si>
    <t>Sukkaha-6</t>
  </si>
  <si>
    <t>DRR-44(Hardinath-3)</t>
  </si>
  <si>
    <t>Sarju-52</t>
  </si>
  <si>
    <t>Vijaya</t>
  </si>
  <si>
    <t>Gautam</t>
  </si>
  <si>
    <t>Nl-971</t>
  </si>
  <si>
    <t>Nl-297</t>
  </si>
  <si>
    <t>WK 1204</t>
  </si>
  <si>
    <t>Nl-1073 (Tilotama)</t>
  </si>
  <si>
    <t>Aaditya</t>
  </si>
  <si>
    <t>Rampur Composit</t>
  </si>
  <si>
    <t>Mana-3</t>
  </si>
  <si>
    <t>Deuti</t>
  </si>
  <si>
    <t>Khajura-2</t>
  </si>
  <si>
    <t>Simal</t>
  </si>
  <si>
    <t>2073-2074</t>
  </si>
  <si>
    <t>Financial Year of audited</t>
  </si>
  <si>
    <t>Per month</t>
  </si>
  <si>
    <t>Number of month</t>
  </si>
  <si>
    <t>No of person</t>
  </si>
  <si>
    <t>MACHINE OPERATOR</t>
  </si>
  <si>
    <t>BAGS PURCHASE</t>
  </si>
  <si>
    <t>TRANSPORTATION COST</t>
  </si>
  <si>
    <t>ACCOUNTANT</t>
  </si>
  <si>
    <t>ADMIN ASSISTANT</t>
  </si>
  <si>
    <t>DRIVER</t>
  </si>
  <si>
    <t>GUEST HANDLING</t>
  </si>
  <si>
    <t>PLANT BREEDER</t>
  </si>
  <si>
    <t>SEED TECHNOLOGIST</t>
  </si>
  <si>
    <t>AGRICULTURE TECHNICIAN</t>
  </si>
  <si>
    <t xml:space="preserve">Stock Increase </t>
  </si>
  <si>
    <t>MARKETING SUPERVISOR</t>
  </si>
  <si>
    <t>f</t>
  </si>
  <si>
    <t>v</t>
  </si>
  <si>
    <t>Risk Analysis</t>
  </si>
  <si>
    <t>Due to sale to Khadayana Sanstha</t>
  </si>
  <si>
    <t>Due to damage of stock</t>
  </si>
  <si>
    <t>Breakeven KG</t>
  </si>
  <si>
    <t>P</t>
  </si>
  <si>
    <t>w</t>
  </si>
  <si>
    <t>m</t>
  </si>
  <si>
    <t>l</t>
  </si>
  <si>
    <t>Current Liabilities &amp; Provisions</t>
  </si>
  <si>
    <t>Indirect Income and Donation</t>
  </si>
  <si>
    <t>PRINTING &amp; STATIONARY</t>
  </si>
  <si>
    <t>TRAVELLING EXPESNES</t>
  </si>
  <si>
    <t>AUDIT FEE</t>
  </si>
  <si>
    <t>SKILL DEVELOPMENT TRAINING</t>
  </si>
  <si>
    <t>TELEPONE AND INTERNET EXPENSES</t>
  </si>
  <si>
    <t>REPAIR &amp; MAINTENANCE</t>
  </si>
  <si>
    <t>PROGRAM EXPENSES</t>
  </si>
  <si>
    <t>PROJECT EXPENSES</t>
  </si>
  <si>
    <t>PROFIT/(LOSS) ON SALE OF ASSETS</t>
  </si>
  <si>
    <t>PROFIT/(LOSS ON SALE OF ASSETS)</t>
  </si>
  <si>
    <t>LOSS ON SALE OF ASSETS</t>
  </si>
  <si>
    <t>For NEW Loan</t>
  </si>
  <si>
    <t>Amount</t>
  </si>
  <si>
    <t>(Only change if it is considered to be changed)</t>
  </si>
  <si>
    <t>(Only for existing loan which will be continued)</t>
  </si>
  <si>
    <t>(Entry to be made if Term Loan taken for purchase of Fixed Assets)</t>
  </si>
  <si>
    <t>(This shows remaining Term Loan)</t>
  </si>
  <si>
    <t>(Interest expense on existing loans to be kept here)</t>
  </si>
  <si>
    <t>Project Income/Exp</t>
  </si>
  <si>
    <t>Receivable/Payable</t>
  </si>
  <si>
    <t>As per projection</t>
  </si>
  <si>
    <t>Risk impact</t>
  </si>
  <si>
    <t>Sales (Risk)</t>
  </si>
  <si>
    <t>Sales(Risk)</t>
  </si>
  <si>
    <t>Reserve and Surplus</t>
  </si>
  <si>
    <t>Sales Amount</t>
  </si>
  <si>
    <t>Profit</t>
  </si>
  <si>
    <t>Sale at discount</t>
  </si>
  <si>
    <t>Cash Balance</t>
  </si>
  <si>
    <t>Stock Detail (In KG)</t>
  </si>
  <si>
    <t>Total(KG)</t>
  </si>
  <si>
    <t>Total(Value)</t>
  </si>
  <si>
    <t>* Tentative quantity of stock at month end</t>
  </si>
  <si>
    <t>Enter Month</t>
  </si>
  <si>
    <t>Enter Year</t>
  </si>
  <si>
    <t>Estimated quantity of stock (KG)</t>
  </si>
  <si>
    <t>Impact of Low Interest Rate</t>
  </si>
  <si>
    <t>Deprived Sector Lending Interest Rate</t>
  </si>
  <si>
    <t>Old Interest rate</t>
  </si>
  <si>
    <t>Implication</t>
  </si>
  <si>
    <t>(Average interest rate charged by banks during previous years)</t>
  </si>
  <si>
    <t>Total  Direct Saving due to Cimmyt Initiation over 5 years</t>
  </si>
  <si>
    <t>amount of loan can be taken which can help further to hold large quantity of stock and on capital expenditure</t>
  </si>
  <si>
    <t>By paying the same interest NRs</t>
  </si>
  <si>
    <t>For short term</t>
  </si>
  <si>
    <t>Stock Purchased</t>
  </si>
  <si>
    <t>* Applying a profit margin fo 10%</t>
  </si>
  <si>
    <t>Additional Profit over 5 years</t>
  </si>
  <si>
    <t>over the next 5 years</t>
  </si>
  <si>
    <t>Even while considering the minimum changes the initiation of CIMMYT will likey benefit the company by NRs.</t>
  </si>
  <si>
    <t>Without subsized interest</t>
  </si>
  <si>
    <t xml:space="preserve">The amount of loan taken at the end of F.Y. </t>
  </si>
  <si>
    <t>Due to lower interest rate</t>
  </si>
  <si>
    <t>Estimated value at cost</t>
  </si>
  <si>
    <t>Total(Selling Value)</t>
  </si>
  <si>
    <t>Estimated Sales vale</t>
  </si>
  <si>
    <t>Loss due to Fire/ Other disasters of stock incase Insurance not done</t>
  </si>
  <si>
    <t>Increase in Buying Price</t>
  </si>
  <si>
    <t>Decrease in Buying Price</t>
  </si>
  <si>
    <t>Increase in Selling Price</t>
  </si>
  <si>
    <t>Decrease in Selling Price</t>
  </si>
  <si>
    <t>Per unit price (ADJ)</t>
  </si>
  <si>
    <t>Sales Price (Adj)</t>
  </si>
  <si>
    <t>Sales (Adj)</t>
  </si>
  <si>
    <t>Puchase (Adj)</t>
  </si>
  <si>
    <t>Change in Price</t>
  </si>
  <si>
    <t>COST OF SALE WORKING</t>
  </si>
  <si>
    <t>INVENTORIES WORKING</t>
  </si>
  <si>
    <t>FUND POSITION WORKING</t>
  </si>
  <si>
    <t>FIXED ASSETS WORKING</t>
  </si>
  <si>
    <t>LOAN WORKING</t>
  </si>
  <si>
    <t>Weighted average variable cost per KG</t>
  </si>
  <si>
    <t>Weighted average selling price per KG</t>
  </si>
  <si>
    <r>
      <rPr>
        <b/>
        <sz val="11"/>
        <rFont val="Calibri"/>
        <family val="2"/>
      </rPr>
      <t>Strong</t>
    </r>
  </si>
  <si>
    <r>
      <rPr>
        <b/>
        <sz val="11"/>
        <rFont val="Calibri"/>
        <family val="2"/>
      </rPr>
      <t>Stable</t>
    </r>
  </si>
  <si>
    <r>
      <rPr>
        <b/>
        <sz val="11"/>
        <color rgb="FFFFFFFF"/>
        <rFont val="Calibri"/>
        <family val="2"/>
      </rPr>
      <t>Weak</t>
    </r>
  </si>
  <si>
    <t>As per market trend</t>
  </si>
  <si>
    <t>&gt; 1.50</t>
  </si>
  <si>
    <r>
      <rPr>
        <sz val="10"/>
        <rFont val="Verdana"/>
        <family val="2"/>
      </rPr>
      <t>1.00 ‐ 1.50</t>
    </r>
  </si>
  <si>
    <t>&lt; 1.00</t>
  </si>
  <si>
    <t>&lt; 30%</t>
  </si>
  <si>
    <r>
      <rPr>
        <sz val="10"/>
        <rFont val="Verdana"/>
        <family val="2"/>
      </rPr>
      <t>30 ‐ 70%</t>
    </r>
  </si>
  <si>
    <t>&gt; 70%</t>
  </si>
  <si>
    <t>&lt; 42%</t>
  </si>
  <si>
    <r>
      <rPr>
        <sz val="10"/>
        <rFont val="Verdana"/>
        <family val="2"/>
      </rPr>
      <t>42 ‐ 230%</t>
    </r>
  </si>
  <si>
    <t>&gt; 230%</t>
  </si>
  <si>
    <t>&gt; 5%</t>
  </si>
  <si>
    <r>
      <rPr>
        <sz val="10"/>
        <rFont val="Verdana"/>
        <family val="2"/>
      </rPr>
      <t>1 ‐ 5%</t>
    </r>
  </si>
  <si>
    <t>&lt; 1%</t>
  </si>
  <si>
    <t>Balance Sheet</t>
  </si>
  <si>
    <t>Profit or Loss Account</t>
  </si>
  <si>
    <t>Statement of Cash Flow</t>
  </si>
  <si>
    <t>Unique Seed Company Pvt. Ltd.</t>
  </si>
  <si>
    <t>Dhangadhi, Kailali</t>
  </si>
  <si>
    <t>Purchase volume (Projection)</t>
  </si>
  <si>
    <t>Increase (%)</t>
  </si>
  <si>
    <t>Loss (%)</t>
  </si>
  <si>
    <t>Buying Price Increase (%)</t>
  </si>
  <si>
    <t>Selling Price Increase (%)</t>
  </si>
  <si>
    <t>Purchase qty (kg)</t>
  </si>
  <si>
    <t>Unit price (Rs/kg)</t>
  </si>
  <si>
    <t>Opening Stock (kg)</t>
  </si>
  <si>
    <t>Sales qty  (kg)</t>
  </si>
  <si>
    <t>Sales Price (Rs/kg)</t>
  </si>
  <si>
    <t>Lost qty (kg)</t>
  </si>
  <si>
    <t>Cost of sale</t>
  </si>
  <si>
    <t>Crops</t>
  </si>
  <si>
    <t xml:space="preserve">Rice </t>
  </si>
  <si>
    <t>Seed categories</t>
  </si>
  <si>
    <t>Cereael</t>
  </si>
  <si>
    <t>Cereeal</t>
  </si>
  <si>
    <t>Cereal</t>
  </si>
  <si>
    <t>RESEARCH AND DEVELOPMENT</t>
  </si>
  <si>
    <t>Gross profit</t>
  </si>
  <si>
    <t>Gross margin (%)</t>
  </si>
  <si>
    <t>Rice</t>
  </si>
  <si>
    <t>% Turn over</t>
  </si>
  <si>
    <t>% Gross profit</t>
  </si>
  <si>
    <t>Sold volume (t)</t>
  </si>
  <si>
    <t>Cost of sale/ton</t>
  </si>
  <si>
    <t>Sales (Rs)</t>
  </si>
  <si>
    <t>Lost qty(Rs)</t>
  </si>
  <si>
    <t>Sworna sub 1</t>
  </si>
  <si>
    <t>Dhawalagiri</t>
  </si>
  <si>
    <t>Banganga</t>
  </si>
  <si>
    <t>BL 4341</t>
  </si>
  <si>
    <t>BL 4407</t>
  </si>
  <si>
    <t>HD 2967</t>
  </si>
  <si>
    <t>Sairarm 172</t>
  </si>
  <si>
    <t>Arun series</t>
  </si>
  <si>
    <t>Khajura-1</t>
  </si>
  <si>
    <t>Sindur</t>
  </si>
  <si>
    <t>Maheshwor Bharati</t>
  </si>
  <si>
    <t>ILL 7723 and 7716</t>
  </si>
  <si>
    <t xml:space="preserve">Shikhar </t>
  </si>
  <si>
    <t>Sagun</t>
  </si>
  <si>
    <t>Rice Total</t>
  </si>
  <si>
    <t>Rice (improved)</t>
  </si>
  <si>
    <t>Wheat (improved)</t>
  </si>
  <si>
    <t>Maize (Open-pollinated)</t>
  </si>
  <si>
    <t>May to June (60%, 40)</t>
  </si>
  <si>
    <t>April 1 5to May 15 (60%, 40%)</t>
  </si>
  <si>
    <t>November to December 15 (70, 30)</t>
  </si>
  <si>
    <t>November to December (50%, 50%)</t>
  </si>
  <si>
    <t>Jan to May (Feb-50)</t>
  </si>
  <si>
    <t xml:space="preserve">April </t>
  </si>
  <si>
    <t>Oct to Nov15 (40%, 60%)</t>
  </si>
  <si>
    <t>Year0</t>
  </si>
  <si>
    <t>Year1</t>
  </si>
  <si>
    <t>Year2</t>
  </si>
  <si>
    <t>Year3</t>
  </si>
  <si>
    <t>Year4</t>
  </si>
  <si>
    <t>Year5</t>
  </si>
  <si>
    <t xml:space="preserve"> SEED TREATMENT AND FUMIGATION</t>
  </si>
  <si>
    <t>DEALER MEETING</t>
  </si>
  <si>
    <t>Purchase price (Rs)</t>
  </si>
  <si>
    <t>Closing stock (value)</t>
  </si>
  <si>
    <t>Closing stock (volume)</t>
  </si>
  <si>
    <t>OFFICE   AND OTHER EXPENSES</t>
  </si>
  <si>
    <t>Byproduct value</t>
  </si>
  <si>
    <t>Other income</t>
  </si>
  <si>
    <t>Base year</t>
  </si>
  <si>
    <t>Maize Total</t>
  </si>
  <si>
    <t>others</t>
  </si>
  <si>
    <t>Lentil total</t>
  </si>
  <si>
    <t>New/research varieties</t>
  </si>
  <si>
    <t>Improved Seed Production Targets (kg)</t>
  </si>
  <si>
    <t>Source Seed requirement (kg)</t>
  </si>
  <si>
    <t>Varieties</t>
  </si>
  <si>
    <t>OE</t>
  </si>
  <si>
    <t>Operating profit</t>
  </si>
  <si>
    <t>OP %</t>
  </si>
  <si>
    <t>Price/t</t>
  </si>
  <si>
    <t>10% profit margin to the investor</t>
  </si>
  <si>
    <t>OE/t</t>
  </si>
  <si>
    <t>OP/t</t>
  </si>
  <si>
    <t>Price/t (Rs)</t>
  </si>
  <si>
    <t>Turn Over (Rs)</t>
  </si>
  <si>
    <t>Cost of sale/t</t>
  </si>
  <si>
    <t>Profit/t</t>
  </si>
  <si>
    <t>Direct cost</t>
  </si>
  <si>
    <t>Administration</t>
  </si>
  <si>
    <t>Selling and distribution</t>
  </si>
  <si>
    <t>Purchase land for research and development</t>
  </si>
  <si>
    <t>Currently 1000t capacity, addition 1000t required; compound and rest room will be developed</t>
  </si>
  <si>
    <t>Puchase wodden/plastic crates, office accessories</t>
  </si>
  <si>
    <t>computer, CC camera</t>
  </si>
  <si>
    <t>Mini-truck</t>
  </si>
  <si>
    <t>Complete  machine (grader, gravity seperator, cylinder, treater); addition required dryer and packaging machine</t>
  </si>
  <si>
    <t>20% profit</t>
  </si>
  <si>
    <t>30% profit</t>
  </si>
  <si>
    <t>Sep-Nov (Sep 20%, Kartik 70 and Mansir 10)</t>
  </si>
  <si>
    <t>Source seed</t>
  </si>
  <si>
    <t>Improved seed</t>
  </si>
  <si>
    <t>Infrastructure</t>
  </si>
  <si>
    <t>Management Strategies</t>
  </si>
  <si>
    <t>Labor</t>
  </si>
  <si>
    <t>Volume</t>
  </si>
  <si>
    <t>People employed</t>
  </si>
  <si>
    <t>VolumeT</t>
  </si>
  <si>
    <t>Salary job</t>
  </si>
  <si>
    <t>Added</t>
  </si>
  <si>
    <t>Farmers' engaged</t>
  </si>
  <si>
    <t>Seed buyer</t>
  </si>
  <si>
    <t>Agrovet</t>
  </si>
  <si>
    <t>Cooperatives</t>
  </si>
  <si>
    <t>Development partners</t>
  </si>
  <si>
    <t>Purchase qty</t>
  </si>
  <si>
    <t>Per unit Price</t>
  </si>
  <si>
    <t>Sales qty</t>
  </si>
  <si>
    <t>Sales Price</t>
  </si>
  <si>
    <t>Lost qty</t>
  </si>
  <si>
    <t>Damaged</t>
  </si>
  <si>
    <t>Sukkha-1</t>
  </si>
  <si>
    <t>Sukkha-2</t>
  </si>
  <si>
    <t>Makawanpur</t>
  </si>
  <si>
    <t>Bhurkuti</t>
  </si>
  <si>
    <t>Borloug 100</t>
  </si>
  <si>
    <t>Arun-2</t>
  </si>
  <si>
    <t>Khajura-3</t>
  </si>
  <si>
    <t>Sital</t>
  </si>
  <si>
    <t>Kalo Masuro</t>
  </si>
  <si>
    <t>Vegetables</t>
  </si>
  <si>
    <t>SIMI</t>
  </si>
  <si>
    <t>PESTICIDE</t>
  </si>
  <si>
    <t>SEED EXPERIMENT EXPENSES</t>
  </si>
  <si>
    <t>SEED TREATMENT</t>
  </si>
  <si>
    <t>OFFICE EXPENSES</t>
  </si>
  <si>
    <t>OTHER EXPENSES</t>
  </si>
  <si>
    <t>Repair &amp; Maintenance</t>
  </si>
  <si>
    <t>Data Entry Sheet (AUDITED FIGURES)</t>
  </si>
  <si>
    <t>Data Entry Sheet (ACTUAL FIGURE)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</si>
</sst>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_(* #,##0_);_(* \(#,##0\);_(* &quot;-&quot;??_);_(@_)"/>
    <numFmt numFmtId="166" formatCode="0_)"/>
    <numFmt numFmtId="167" formatCode="0.00?%_)"/>
    <numFmt numFmtId="168" formatCode="0.0"/>
    <numFmt numFmtId="169" formatCode="_(* #,##0.0_);_(* \(#,##0.0\);_(* &quot;-&quot;??_);_(@_)"/>
    <numFmt numFmtId="170" formatCode="_(* #,##0.000_);_(* \(#,##0.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Calibri"/>
      <family val="1"/>
      <scheme val="minor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libri Light"/>
      <family val="2"/>
      <scheme val="major"/>
    </font>
    <font>
      <b/>
      <sz val="14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rgb="FFC0000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0" fontId="17" fillId="0" borderId="0"/>
    <xf numFmtId="44" fontId="7" fillId="0" borderId="0" applyFont="0" applyFill="0" applyBorder="0" applyAlignment="0" applyProtection="0"/>
    <xf numFmtId="0" fontId="19" fillId="17" borderId="0" applyNumberFormat="0" applyBorder="0" applyAlignment="0" applyProtection="0"/>
    <xf numFmtId="0" fontId="23" fillId="14" borderId="17" applyNumberFormat="0" applyAlignment="0" applyProtection="0"/>
    <xf numFmtId="0" fontId="25" fillId="15" borderId="17" applyNumberFormat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12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Fill="1"/>
    <xf numFmtId="164" fontId="7" fillId="0" borderId="0" xfId="0" applyNumberFormat="1" applyFont="1" applyFill="1" applyAlignment="1" applyProtection="1">
      <alignment horizontal="left"/>
    </xf>
    <xf numFmtId="0" fontId="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3" fontId="0" fillId="0" borderId="0" xfId="1" applyFont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center" wrapText="1"/>
    </xf>
    <xf numFmtId="43" fontId="0" fillId="0" borderId="0" xfId="0" applyNumberFormat="1"/>
    <xf numFmtId="0" fontId="6" fillId="2" borderId="0" xfId="0" applyFont="1" applyFill="1" applyAlignment="1">
      <alignment vertical="center"/>
    </xf>
    <xf numFmtId="0" fontId="6" fillId="2" borderId="0" xfId="0" applyFont="1" applyFill="1"/>
    <xf numFmtId="165" fontId="0" fillId="0" borderId="0" xfId="1" applyNumberFormat="1" applyFont="1"/>
    <xf numFmtId="165" fontId="0" fillId="0" borderId="0" xfId="0" applyNumberFormat="1"/>
    <xf numFmtId="165" fontId="3" fillId="0" borderId="0" xfId="1" applyNumberFormat="1" applyFont="1"/>
    <xf numFmtId="165" fontId="3" fillId="2" borderId="0" xfId="1" applyNumberFormat="1" applyFont="1" applyFill="1"/>
    <xf numFmtId="165" fontId="3" fillId="0" borderId="0" xfId="1" applyNumberFormat="1" applyFont="1" applyFill="1"/>
    <xf numFmtId="165" fontId="0" fillId="0" borderId="0" xfId="1" applyNumberFormat="1" applyFont="1" applyFill="1"/>
    <xf numFmtId="165" fontId="0" fillId="0" borderId="0" xfId="0" applyNumberFormat="1" applyFill="1"/>
    <xf numFmtId="0" fontId="0" fillId="0" borderId="0" xfId="0" applyFill="1"/>
    <xf numFmtId="164" fontId="7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Border="1" applyAlignment="1">
      <alignment vertical="center"/>
    </xf>
    <xf numFmtId="164" fontId="6" fillId="0" borderId="0" xfId="0" applyNumberFormat="1" applyFont="1" applyFill="1" applyAlignment="1" applyProtection="1">
      <alignment horizontal="left" vertical="center"/>
    </xf>
    <xf numFmtId="165" fontId="3" fillId="0" borderId="0" xfId="0" applyNumberFormat="1" applyFont="1" applyFill="1"/>
    <xf numFmtId="0" fontId="5" fillId="0" borderId="0" xfId="0" applyFont="1" applyFill="1" applyAlignment="1"/>
    <xf numFmtId="43" fontId="3" fillId="2" borderId="0" xfId="1" applyNumberFormat="1" applyFont="1" applyFill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1" fillId="2" borderId="0" xfId="0" applyFont="1" applyFill="1" applyBorder="1" applyAlignment="1"/>
    <xf numFmtId="0" fontId="0" fillId="0" borderId="0" xfId="0" applyBorder="1"/>
    <xf numFmtId="0" fontId="0" fillId="7" borderId="0" xfId="0" applyFill="1" applyBorder="1" applyAlignment="1"/>
    <xf numFmtId="0" fontId="0" fillId="7" borderId="0" xfId="0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/>
    <xf numFmtId="164" fontId="7" fillId="0" borderId="0" xfId="0" applyNumberFormat="1" applyFont="1" applyFill="1" applyBorder="1"/>
    <xf numFmtId="43" fontId="0" fillId="0" borderId="0" xfId="1" applyNumberFormat="1" applyFont="1" applyBorder="1"/>
    <xf numFmtId="0" fontId="6" fillId="2" borderId="0" xfId="0" applyFont="1" applyFill="1" applyBorder="1" applyAlignment="1">
      <alignment vertical="center"/>
    </xf>
    <xf numFmtId="0" fontId="0" fillId="2" borderId="0" xfId="0" applyFill="1" applyBorder="1"/>
    <xf numFmtId="43" fontId="0" fillId="2" borderId="0" xfId="1" applyNumberFormat="1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8" fillId="0" borderId="0" xfId="1" applyFont="1" applyBorder="1"/>
    <xf numFmtId="164" fontId="7" fillId="2" borderId="0" xfId="0" applyNumberFormat="1" applyFont="1" applyFill="1" applyBorder="1"/>
    <xf numFmtId="43" fontId="0" fillId="2" borderId="0" xfId="1" applyFont="1" applyFill="1" applyBorder="1"/>
    <xf numFmtId="0" fontId="3" fillId="0" borderId="0" xfId="0" applyFont="1" applyFill="1" applyBorder="1" applyAlignment="1">
      <alignment horizontal="left"/>
    </xf>
    <xf numFmtId="9" fontId="8" fillId="0" borderId="0" xfId="2" applyFont="1" applyBorder="1"/>
    <xf numFmtId="0" fontId="5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43" fontId="0" fillId="0" borderId="1" xfId="1" applyNumberFormat="1" applyFont="1" applyBorder="1"/>
    <xf numFmtId="0" fontId="0" fillId="0" borderId="1" xfId="0" applyBorder="1"/>
    <xf numFmtId="43" fontId="8" fillId="0" borderId="1" xfId="1" applyFont="1" applyBorder="1"/>
    <xf numFmtId="0" fontId="0" fillId="0" borderId="1" xfId="0" applyFill="1" applyBorder="1"/>
    <xf numFmtId="9" fontId="0" fillId="0" borderId="0" xfId="2" applyFont="1" applyBorder="1"/>
    <xf numFmtId="43" fontId="0" fillId="0" borderId="0" xfId="1" applyFont="1" applyBorder="1"/>
    <xf numFmtId="165" fontId="0" fillId="0" borderId="0" xfId="1" applyNumberFormat="1" applyFont="1" applyBorder="1"/>
    <xf numFmtId="0" fontId="6" fillId="9" borderId="2" xfId="3" applyFont="1" applyFill="1" applyBorder="1" applyAlignment="1">
      <alignment vertical="center"/>
    </xf>
    <xf numFmtId="0" fontId="6" fillId="9" borderId="2" xfId="3" applyFont="1" applyFill="1" applyBorder="1"/>
    <xf numFmtId="0" fontId="6" fillId="9" borderId="2" xfId="3" applyFont="1" applyFill="1" applyBorder="1" applyAlignment="1">
      <alignment horizontal="center"/>
    </xf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43" fontId="0" fillId="0" borderId="7" xfId="1" applyFont="1" applyBorder="1"/>
    <xf numFmtId="43" fontId="0" fillId="0" borderId="0" xfId="0" applyNumberFormat="1" applyBorder="1"/>
    <xf numFmtId="43" fontId="0" fillId="0" borderId="7" xfId="0" applyNumberFormat="1" applyBorder="1"/>
    <xf numFmtId="0" fontId="0" fillId="0" borderId="9" xfId="0" applyBorder="1"/>
    <xf numFmtId="43" fontId="0" fillId="0" borderId="4" xfId="1" applyFont="1" applyBorder="1"/>
    <xf numFmtId="43" fontId="0" fillId="0" borderId="5" xfId="1" applyFont="1" applyBorder="1"/>
    <xf numFmtId="165" fontId="0" fillId="0" borderId="0" xfId="0" applyNumberFormat="1" applyBorder="1"/>
    <xf numFmtId="43" fontId="0" fillId="0" borderId="9" xfId="1" applyFont="1" applyBorder="1"/>
    <xf numFmtId="43" fontId="0" fillId="0" borderId="10" xfId="1" applyFont="1" applyBorder="1"/>
    <xf numFmtId="43" fontId="0" fillId="0" borderId="6" xfId="0" applyNumberFormat="1" applyBorder="1"/>
    <xf numFmtId="0" fontId="0" fillId="10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43" fontId="0" fillId="10" borderId="0" xfId="0" applyNumberFormat="1" applyFill="1" applyBorder="1"/>
    <xf numFmtId="0" fontId="0" fillId="10" borderId="0" xfId="0" applyFill="1" applyBorder="1"/>
    <xf numFmtId="0" fontId="0" fillId="8" borderId="0" xfId="0" applyFill="1" applyBorder="1"/>
    <xf numFmtId="43" fontId="0" fillId="8" borderId="0" xfId="0" applyNumberFormat="1" applyFill="1" applyBorder="1"/>
    <xf numFmtId="0" fontId="0" fillId="12" borderId="0" xfId="0" applyFill="1" applyBorder="1"/>
    <xf numFmtId="43" fontId="0" fillId="12" borderId="0" xfId="0" applyNumberFormat="1" applyFill="1" applyBorder="1"/>
    <xf numFmtId="0" fontId="0" fillId="11" borderId="0" xfId="0" applyFill="1" applyBorder="1"/>
    <xf numFmtId="43" fontId="0" fillId="11" borderId="0" xfId="0" applyNumberFormat="1" applyFill="1" applyBorder="1"/>
    <xf numFmtId="0" fontId="0" fillId="13" borderId="0" xfId="0" applyFill="1" applyBorder="1"/>
    <xf numFmtId="43" fontId="0" fillId="13" borderId="0" xfId="0" applyNumberFormat="1" applyFill="1" applyBorder="1"/>
    <xf numFmtId="0" fontId="0" fillId="0" borderId="8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5" borderId="0" xfId="0" applyFill="1"/>
    <xf numFmtId="9" fontId="3" fillId="0" borderId="0" xfId="2" applyFont="1" applyFill="1"/>
    <xf numFmtId="43" fontId="0" fillId="5" borderId="0" xfId="1" applyFont="1" applyFill="1"/>
    <xf numFmtId="10" fontId="0" fillId="0" borderId="0" xfId="2" applyNumberFormat="1" applyFont="1" applyFill="1"/>
    <xf numFmtId="43" fontId="0" fillId="5" borderId="0" xfId="0" applyNumberFormat="1" applyFill="1"/>
    <xf numFmtId="0" fontId="0" fillId="0" borderId="0" xfId="0" applyBorder="1" applyAlignment="1"/>
    <xf numFmtId="0" fontId="0" fillId="0" borderId="1" xfId="0" applyBorder="1" applyAlignment="1"/>
    <xf numFmtId="0" fontId="3" fillId="0" borderId="0" xfId="0" applyFont="1" applyBorder="1" applyAlignment="1"/>
    <xf numFmtId="0" fontId="3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165" fontId="5" fillId="0" borderId="0" xfId="1" applyNumberFormat="1" applyFont="1" applyFill="1"/>
    <xf numFmtId="0" fontId="14" fillId="0" borderId="0" xfId="0" applyFont="1"/>
    <xf numFmtId="165" fontId="14" fillId="0" borderId="0" xfId="1" applyNumberFormat="1" applyFont="1" applyFill="1"/>
    <xf numFmtId="0" fontId="6" fillId="0" borderId="0" xfId="6" applyFont="1" applyFill="1" applyAlignment="1">
      <alignment horizontal="center"/>
    </xf>
    <xf numFmtId="0" fontId="6" fillId="0" borderId="0" xfId="6" applyFont="1" applyFill="1" applyAlignment="1">
      <alignment horizontal="left"/>
    </xf>
    <xf numFmtId="43" fontId="6" fillId="0" borderId="0" xfId="1" applyFont="1" applyFill="1" applyAlignment="1">
      <alignment horizontal="center"/>
    </xf>
    <xf numFmtId="0" fontId="6" fillId="0" borderId="0" xfId="6" applyFont="1" applyFill="1"/>
    <xf numFmtId="0" fontId="7" fillId="0" borderId="0" xfId="6" applyFont="1" applyFill="1"/>
    <xf numFmtId="43" fontId="16" fillId="0" borderId="0" xfId="1" applyFont="1" applyFill="1" applyAlignment="1">
      <alignment horizontal="right"/>
    </xf>
    <xf numFmtId="43" fontId="6" fillId="0" borderId="0" xfId="1" applyFont="1" applyFill="1" applyAlignment="1">
      <alignment horizontal="right"/>
    </xf>
    <xf numFmtId="0" fontId="15" fillId="0" borderId="0" xfId="6" applyFont="1" applyFill="1"/>
    <xf numFmtId="43" fontId="7" fillId="0" borderId="0" xfId="1" applyFont="1" applyFill="1"/>
    <xf numFmtId="0" fontId="16" fillId="0" borderId="0" xfId="6" applyFont="1" applyFill="1"/>
    <xf numFmtId="43" fontId="7" fillId="0" borderId="0" xfId="1" applyFont="1" applyFill="1" applyAlignment="1">
      <alignment horizontal="right"/>
    </xf>
    <xf numFmtId="43" fontId="6" fillId="0" borderId="14" xfId="1" applyFont="1" applyFill="1" applyBorder="1"/>
    <xf numFmtId="43" fontId="6" fillId="0" borderId="15" xfId="1" applyFont="1" applyFill="1" applyBorder="1"/>
    <xf numFmtId="43" fontId="6" fillId="0" borderId="0" xfId="1" applyFont="1" applyFill="1" applyBorder="1"/>
    <xf numFmtId="43" fontId="7" fillId="0" borderId="0" xfId="1" applyFont="1" applyFill="1" applyBorder="1"/>
    <xf numFmtId="43" fontId="7" fillId="0" borderId="15" xfId="1" applyFont="1" applyFill="1" applyBorder="1"/>
    <xf numFmtId="0" fontId="6" fillId="0" borderId="0" xfId="6" quotePrefix="1" applyFont="1" applyFill="1"/>
    <xf numFmtId="43" fontId="6" fillId="0" borderId="16" xfId="1" applyFont="1" applyFill="1" applyBorder="1"/>
    <xf numFmtId="43" fontId="7" fillId="0" borderId="0" xfId="6" applyNumberFormat="1" applyFont="1" applyFill="1"/>
    <xf numFmtId="43" fontId="0" fillId="0" borderId="0" xfId="1" applyNumberFormat="1" applyFont="1"/>
    <xf numFmtId="165" fontId="0" fillId="0" borderId="1" xfId="0" applyNumberFormat="1" applyBorder="1"/>
    <xf numFmtId="0" fontId="3" fillId="4" borderId="0" xfId="0" applyFont="1" applyFill="1" applyBorder="1" applyAlignment="1">
      <alignment horizontal="center"/>
    </xf>
    <xf numFmtId="165" fontId="5" fillId="0" borderId="0" xfId="1" applyNumberFormat="1" applyFont="1"/>
    <xf numFmtId="165" fontId="14" fillId="0" borderId="0" xfId="1" applyNumberFormat="1" applyFont="1"/>
    <xf numFmtId="165" fontId="5" fillId="2" borderId="0" xfId="1" applyNumberFormat="1" applyFont="1" applyFill="1"/>
    <xf numFmtId="165" fontId="14" fillId="0" borderId="0" xfId="0" applyNumberFormat="1" applyFont="1"/>
    <xf numFmtId="165" fontId="14" fillId="0" borderId="0" xfId="0" applyNumberFormat="1" applyFont="1" applyFill="1"/>
    <xf numFmtId="165" fontId="5" fillId="0" borderId="0" xfId="0" applyNumberFormat="1" applyFont="1" applyFill="1"/>
    <xf numFmtId="10" fontId="5" fillId="0" borderId="0" xfId="2" applyNumberFormat="1" applyFont="1" applyFill="1"/>
    <xf numFmtId="10" fontId="14" fillId="0" borderId="0" xfId="2" applyNumberFormat="1" applyFont="1" applyFill="1"/>
    <xf numFmtId="0" fontId="14" fillId="0" borderId="0" xfId="0" applyFont="1" applyFill="1"/>
    <xf numFmtId="43" fontId="14" fillId="0" borderId="0" xfId="0" applyNumberFormat="1" applyFont="1" applyFill="1"/>
    <xf numFmtId="0" fontId="17" fillId="0" borderId="0" xfId="7" applyFont="1" applyBorder="1"/>
    <xf numFmtId="0" fontId="17" fillId="0" borderId="0" xfId="7" applyFont="1" applyBorder="1" applyAlignment="1">
      <alignment horizontal="center"/>
    </xf>
    <xf numFmtId="0" fontId="17" fillId="0" borderId="0" xfId="7" applyFont="1" applyBorder="1" applyAlignment="1">
      <alignment horizontal="left"/>
    </xf>
    <xf numFmtId="44" fontId="18" fillId="16" borderId="0" xfId="8" applyNumberFormat="1" applyFont="1" applyFill="1" applyBorder="1" applyAlignment="1">
      <alignment horizontal="right"/>
    </xf>
    <xf numFmtId="44" fontId="18" fillId="16" borderId="0" xfId="8" applyNumberFormat="1" applyFont="1" applyFill="1" applyBorder="1" applyAlignment="1" applyProtection="1">
      <alignment horizontal="right"/>
      <protection locked="0"/>
    </xf>
    <xf numFmtId="14" fontId="18" fillId="16" borderId="0" xfId="7" applyNumberFormat="1" applyFont="1" applyFill="1" applyBorder="1" applyAlignment="1">
      <alignment horizontal="right"/>
    </xf>
    <xf numFmtId="0" fontId="18" fillId="16" borderId="0" xfId="7" applyFont="1" applyFill="1" applyBorder="1" applyAlignment="1">
      <alignment horizontal="left"/>
    </xf>
    <xf numFmtId="0" fontId="17" fillId="0" borderId="0" xfId="7" applyFont="1" applyBorder="1" applyAlignment="1">
      <alignment wrapText="1"/>
    </xf>
    <xf numFmtId="0" fontId="20" fillId="17" borderId="18" xfId="9" applyFont="1" applyBorder="1" applyAlignment="1" applyProtection="1">
      <alignment horizontal="left" wrapText="1" indent="3"/>
    </xf>
    <xf numFmtId="0" fontId="20" fillId="17" borderId="18" xfId="9" applyFont="1" applyBorder="1" applyAlignment="1" applyProtection="1">
      <alignment horizontal="left" wrapText="1" indent="2"/>
    </xf>
    <xf numFmtId="0" fontId="20" fillId="17" borderId="18" xfId="9" applyFont="1" applyBorder="1" applyAlignment="1">
      <alignment horizontal="left"/>
    </xf>
    <xf numFmtId="0" fontId="21" fillId="17" borderId="19" xfId="9" applyFont="1" applyBorder="1" applyAlignment="1" applyProtection="1">
      <alignment horizontal="center" vertical="center" wrapText="1"/>
    </xf>
    <xf numFmtId="0" fontId="21" fillId="17" borderId="20" xfId="9" applyFont="1" applyBorder="1" applyAlignment="1" applyProtection="1">
      <alignment horizontal="center" vertical="center" wrapText="1"/>
    </xf>
    <xf numFmtId="0" fontId="21" fillId="17" borderId="21" xfId="9" applyFont="1" applyBorder="1" applyAlignment="1" applyProtection="1">
      <alignment horizontal="center" vertical="center" wrapText="1"/>
    </xf>
    <xf numFmtId="0" fontId="20" fillId="17" borderId="0" xfId="9" applyFont="1" applyBorder="1"/>
    <xf numFmtId="0" fontId="20" fillId="17" borderId="0" xfId="9" applyFont="1" applyBorder="1" applyAlignment="1">
      <alignment horizontal="left"/>
    </xf>
    <xf numFmtId="0" fontId="17" fillId="16" borderId="18" xfId="7" applyFont="1" applyFill="1" applyBorder="1"/>
    <xf numFmtId="0" fontId="17" fillId="16" borderId="18" xfId="7" applyFont="1" applyFill="1" applyBorder="1" applyAlignment="1">
      <alignment horizontal="left"/>
    </xf>
    <xf numFmtId="0" fontId="17" fillId="16" borderId="0" xfId="7" applyFont="1" applyFill="1" applyBorder="1"/>
    <xf numFmtId="0" fontId="17" fillId="16" borderId="22" xfId="7" applyFont="1" applyFill="1" applyBorder="1" applyAlignment="1" applyProtection="1">
      <alignment horizontal="left"/>
    </xf>
    <xf numFmtId="0" fontId="22" fillId="16" borderId="0" xfId="7" applyFont="1" applyFill="1" applyBorder="1" applyAlignment="1">
      <alignment horizontal="right"/>
    </xf>
    <xf numFmtId="0" fontId="17" fillId="16" borderId="0" xfId="7" applyFont="1" applyFill="1" applyBorder="1" applyAlignment="1">
      <alignment horizontal="left"/>
    </xf>
    <xf numFmtId="0" fontId="17" fillId="16" borderId="0" xfId="7" applyFont="1" applyFill="1"/>
    <xf numFmtId="0" fontId="17" fillId="16" borderId="0" xfId="7" applyNumberFormat="1" applyFont="1" applyFill="1" applyBorder="1" applyAlignment="1">
      <alignment horizontal="left"/>
    </xf>
    <xf numFmtId="44" fontId="24" fillId="14" borderId="17" xfId="10" applyNumberFormat="1" applyFont="1" applyAlignment="1" applyProtection="1">
      <alignment horizontal="right"/>
      <protection locked="0"/>
    </xf>
    <xf numFmtId="0" fontId="17" fillId="16" borderId="18" xfId="7" applyFont="1" applyFill="1" applyBorder="1" applyAlignment="1">
      <alignment horizontal="right"/>
    </xf>
    <xf numFmtId="0" fontId="17" fillId="16" borderId="25" xfId="7" applyFont="1" applyFill="1" applyBorder="1" applyAlignment="1">
      <alignment horizontal="left"/>
    </xf>
    <xf numFmtId="44" fontId="26" fillId="15" borderId="17" xfId="11" applyNumberFormat="1" applyFont="1" applyAlignment="1">
      <alignment horizontal="right"/>
    </xf>
    <xf numFmtId="14" fontId="24" fillId="14" borderId="17" xfId="10" applyNumberFormat="1" applyFont="1" applyAlignment="1" applyProtection="1">
      <alignment horizontal="right"/>
      <protection locked="0"/>
    </xf>
    <xf numFmtId="0" fontId="17" fillId="16" borderId="0" xfId="7" applyFont="1" applyFill="1" applyBorder="1" applyAlignment="1">
      <alignment horizontal="right"/>
    </xf>
    <xf numFmtId="0" fontId="17" fillId="16" borderId="26" xfId="7" applyFont="1" applyFill="1" applyBorder="1" applyAlignment="1">
      <alignment horizontal="left"/>
    </xf>
    <xf numFmtId="166" fontId="24" fillId="14" borderId="17" xfId="10" applyNumberFormat="1" applyFont="1" applyAlignment="1" applyProtection="1">
      <alignment horizontal="right"/>
      <protection locked="0"/>
    </xf>
    <xf numFmtId="166" fontId="26" fillId="15" borderId="17" xfId="11" applyNumberFormat="1" applyFont="1" applyAlignment="1">
      <alignment horizontal="right"/>
    </xf>
    <xf numFmtId="167" fontId="24" fillId="14" borderId="17" xfId="10" applyNumberFormat="1" applyFont="1" applyAlignment="1" applyProtection="1">
      <alignment horizontal="right"/>
      <protection locked="0"/>
    </xf>
    <xf numFmtId="0" fontId="17" fillId="0" borderId="0" xfId="7" applyFont="1" applyAlignment="1"/>
    <xf numFmtId="0" fontId="27" fillId="16" borderId="0" xfId="7" applyFont="1" applyFill="1" applyBorder="1" applyAlignment="1"/>
    <xf numFmtId="14" fontId="0" fillId="0" borderId="0" xfId="0" applyNumberFormat="1"/>
    <xf numFmtId="43" fontId="0" fillId="0" borderId="0" xfId="0" applyNumberFormat="1" applyFill="1"/>
    <xf numFmtId="0" fontId="8" fillId="19" borderId="0" xfId="0" applyFont="1" applyFill="1" applyBorder="1" applyAlignment="1"/>
    <xf numFmtId="0" fontId="28" fillId="19" borderId="0" xfId="0" applyFont="1" applyFill="1" applyBorder="1" applyAlignment="1"/>
    <xf numFmtId="9" fontId="0" fillId="0" borderId="0" xfId="2" applyFont="1"/>
    <xf numFmtId="0" fontId="3" fillId="0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1" xfId="0" applyFont="1" applyFill="1" applyBorder="1" applyAlignment="1"/>
    <xf numFmtId="165" fontId="3" fillId="0" borderId="0" xfId="1" applyNumberFormat="1" applyFont="1" applyBorder="1"/>
    <xf numFmtId="0" fontId="3" fillId="1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20" borderId="0" xfId="0" applyFill="1"/>
    <xf numFmtId="0" fontId="0" fillId="11" borderId="0" xfId="0" applyFill="1"/>
    <xf numFmtId="43" fontId="0" fillId="11" borderId="0" xfId="0" applyNumberFormat="1" applyFill="1"/>
    <xf numFmtId="0" fontId="0" fillId="0" borderId="3" xfId="0" applyBorder="1"/>
    <xf numFmtId="43" fontId="0" fillId="23" borderId="0" xfId="1" applyFont="1" applyFill="1" applyBorder="1"/>
    <xf numFmtId="43" fontId="0" fillId="5" borderId="0" xfId="1" applyFont="1" applyFill="1" applyBorder="1"/>
    <xf numFmtId="43" fontId="0" fillId="21" borderId="0" xfId="1" applyFont="1" applyFill="1" applyBorder="1"/>
    <xf numFmtId="43" fontId="0" fillId="22" borderId="0" xfId="1" applyFont="1" applyFill="1" applyBorder="1"/>
    <xf numFmtId="43" fontId="0" fillId="22" borderId="7" xfId="1" applyFont="1" applyFill="1" applyBorder="1"/>
    <xf numFmtId="43" fontId="0" fillId="5" borderId="7" xfId="1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3" fontId="0" fillId="0" borderId="0" xfId="1" applyFont="1" applyFill="1" applyBorder="1"/>
    <xf numFmtId="43" fontId="0" fillId="0" borderId="30" xfId="1" applyFont="1" applyFill="1" applyBorder="1"/>
    <xf numFmtId="43" fontId="0" fillId="0" borderId="6" xfId="1" applyFont="1" applyBorder="1"/>
    <xf numFmtId="0" fontId="3" fillId="19" borderId="30" xfId="0" applyFont="1" applyFill="1" applyBorder="1" applyAlignment="1">
      <alignment horizontal="center"/>
    </xf>
    <xf numFmtId="0" fontId="3" fillId="19" borderId="31" xfId="0" applyFont="1" applyFill="1" applyBorder="1" applyAlignment="1">
      <alignment horizontal="center"/>
    </xf>
    <xf numFmtId="0" fontId="3" fillId="19" borderId="32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24" borderId="30" xfId="0" applyFont="1" applyFill="1" applyBorder="1" applyAlignment="1">
      <alignment horizontal="center"/>
    </xf>
    <xf numFmtId="0" fontId="3" fillId="24" borderId="31" xfId="0" applyFont="1" applyFill="1" applyBorder="1" applyAlignment="1">
      <alignment horizontal="center"/>
    </xf>
    <xf numFmtId="0" fontId="3" fillId="24" borderId="32" xfId="0" applyFont="1" applyFill="1" applyBorder="1" applyAlignment="1">
      <alignment horizontal="center"/>
    </xf>
    <xf numFmtId="0" fontId="3" fillId="25" borderId="30" xfId="0" applyFont="1" applyFill="1" applyBorder="1" applyAlignment="1">
      <alignment horizontal="center"/>
    </xf>
    <xf numFmtId="0" fontId="3" fillId="25" borderId="31" xfId="0" applyFont="1" applyFill="1" applyBorder="1" applyAlignment="1">
      <alignment horizontal="center"/>
    </xf>
    <xf numFmtId="0" fontId="3" fillId="25" borderId="32" xfId="0" applyFont="1" applyFill="1" applyBorder="1" applyAlignment="1">
      <alignment horizontal="center"/>
    </xf>
    <xf numFmtId="0" fontId="3" fillId="26" borderId="30" xfId="0" applyFont="1" applyFill="1" applyBorder="1" applyAlignment="1">
      <alignment horizontal="center"/>
    </xf>
    <xf numFmtId="0" fontId="3" fillId="26" borderId="31" xfId="0" applyFont="1" applyFill="1" applyBorder="1" applyAlignment="1">
      <alignment horizontal="center"/>
    </xf>
    <xf numFmtId="0" fontId="3" fillId="26" borderId="3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Border="1"/>
    <xf numFmtId="43" fontId="0" fillId="5" borderId="6" xfId="1" applyFont="1" applyFill="1" applyBorder="1"/>
    <xf numFmtId="43" fontId="0" fillId="22" borderId="6" xfId="1" applyFont="1" applyFill="1" applyBorder="1"/>
    <xf numFmtId="10" fontId="0" fillId="0" borderId="0" xfId="2" applyNumberFormat="1" applyFont="1"/>
    <xf numFmtId="0" fontId="0" fillId="27" borderId="0" xfId="0" applyFill="1"/>
    <xf numFmtId="0" fontId="3" fillId="27" borderId="0" xfId="0" applyFont="1" applyFill="1" applyAlignment="1">
      <alignment horizontal="center"/>
    </xf>
    <xf numFmtId="0" fontId="3" fillId="27" borderId="0" xfId="0" applyFont="1" applyFill="1"/>
    <xf numFmtId="2" fontId="0" fillId="0" borderId="0" xfId="0" applyNumberFormat="1"/>
    <xf numFmtId="0" fontId="6" fillId="0" borderId="11" xfId="3" applyFont="1" applyFill="1" applyBorder="1" applyAlignment="1">
      <alignment vertical="center"/>
    </xf>
    <xf numFmtId="0" fontId="14" fillId="18" borderId="0" xfId="0" applyFont="1" applyFill="1" applyProtection="1">
      <protection locked="0"/>
    </xf>
    <xf numFmtId="0" fontId="0" fillId="4" borderId="0" xfId="0" applyFont="1" applyFill="1" applyBorder="1" applyProtection="1">
      <protection locked="0"/>
    </xf>
    <xf numFmtId="43" fontId="0" fillId="4" borderId="0" xfId="1" applyNumberFormat="1" applyFont="1" applyFill="1" applyBorder="1" applyProtection="1">
      <protection locked="0"/>
    </xf>
    <xf numFmtId="43" fontId="0" fillId="4" borderId="1" xfId="1" applyNumberFormat="1" applyFont="1" applyFill="1" applyBorder="1" applyProtection="1">
      <protection locked="0"/>
    </xf>
    <xf numFmtId="9" fontId="14" fillId="18" borderId="0" xfId="0" applyNumberFormat="1" applyFont="1" applyFill="1" applyBorder="1" applyProtection="1">
      <protection locked="0"/>
    </xf>
    <xf numFmtId="43" fontId="8" fillId="4" borderId="0" xfId="1" applyFont="1" applyFill="1" applyBorder="1" applyProtection="1">
      <protection locked="0"/>
    </xf>
    <xf numFmtId="165" fontId="8" fillId="19" borderId="0" xfId="1" applyNumberFormat="1" applyFont="1" applyFill="1" applyBorder="1" applyProtection="1">
      <protection locked="0"/>
    </xf>
    <xf numFmtId="165" fontId="8" fillId="4" borderId="0" xfId="1" applyNumberFormat="1" applyFont="1" applyFill="1" applyBorder="1" applyProtection="1">
      <protection locked="0"/>
    </xf>
    <xf numFmtId="165" fontId="14" fillId="18" borderId="0" xfId="0" applyNumberFormat="1" applyFont="1" applyFill="1" applyBorder="1" applyProtection="1">
      <protection locked="0"/>
    </xf>
    <xf numFmtId="9" fontId="14" fillId="18" borderId="0" xfId="2" applyFont="1" applyFill="1" applyBorder="1" applyProtection="1">
      <protection locked="0"/>
    </xf>
    <xf numFmtId="165" fontId="14" fillId="18" borderId="0" xfId="1" applyNumberFormat="1" applyFont="1" applyFill="1" applyBorder="1" applyProtection="1">
      <protection locked="0"/>
    </xf>
    <xf numFmtId="14" fontId="14" fillId="18" borderId="0" xfId="1" applyNumberFormat="1" applyFont="1" applyFill="1" applyBorder="1" applyProtection="1">
      <protection locked="0"/>
    </xf>
    <xf numFmtId="165" fontId="8" fillId="19" borderId="0" xfId="1" applyNumberFormat="1" applyFont="1" applyFill="1" applyProtection="1">
      <protection locked="0"/>
    </xf>
    <xf numFmtId="43" fontId="8" fillId="19" borderId="0" xfId="1" applyFont="1" applyFill="1" applyBorder="1" applyProtection="1">
      <protection locked="0"/>
    </xf>
    <xf numFmtId="9" fontId="14" fillId="18" borderId="0" xfId="2" applyFont="1" applyFill="1" applyBorder="1" applyAlignment="1" applyProtection="1">
      <alignment horizontal="center"/>
      <protection locked="0"/>
    </xf>
    <xf numFmtId="165" fontId="8" fillId="4" borderId="0" xfId="1" applyNumberFormat="1" applyFont="1" applyFill="1" applyProtection="1">
      <protection locked="0"/>
    </xf>
    <xf numFmtId="43" fontId="8" fillId="19" borderId="0" xfId="0" applyNumberFormat="1" applyFont="1" applyFill="1" applyProtection="1">
      <protection locked="0"/>
    </xf>
    <xf numFmtId="43" fontId="8" fillId="4" borderId="0" xfId="0" applyNumberFormat="1" applyFont="1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5" borderId="0" xfId="0" applyFont="1" applyFill="1" applyBorder="1" applyAlignment="1"/>
    <xf numFmtId="0" fontId="3" fillId="5" borderId="1" xfId="0" applyFont="1" applyFill="1" applyBorder="1" applyAlignment="1"/>
    <xf numFmtId="9" fontId="14" fillId="18" borderId="0" xfId="2" applyNumberFormat="1" applyFont="1" applyFill="1" applyBorder="1" applyAlignment="1" applyProtection="1">
      <alignment horizontal="center"/>
      <protection locked="0"/>
    </xf>
    <xf numFmtId="10" fontId="14" fillId="0" borderId="0" xfId="2" applyNumberFormat="1" applyFont="1" applyFill="1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Fill="1" applyProtection="1">
      <protection locked="0"/>
    </xf>
    <xf numFmtId="0" fontId="7" fillId="0" borderId="0" xfId="0" applyFont="1" applyFill="1" applyBorder="1" applyAlignment="1">
      <alignment horizontal="center"/>
    </xf>
    <xf numFmtId="9" fontId="0" fillId="28" borderId="0" xfId="2" applyFont="1" applyFill="1" applyBorder="1"/>
    <xf numFmtId="0" fontId="29" fillId="0" borderId="0" xfId="0" applyFont="1"/>
    <xf numFmtId="43" fontId="0" fillId="0" borderId="0" xfId="0" applyNumberFormat="1" applyFill="1" applyBorder="1"/>
    <xf numFmtId="43" fontId="0" fillId="0" borderId="7" xfId="0" applyNumberFormat="1" applyFill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11" fillId="5" borderId="0" xfId="0" applyFont="1" applyFill="1" applyBorder="1" applyAlignment="1"/>
    <xf numFmtId="0" fontId="0" fillId="28" borderId="0" xfId="0" applyFill="1" applyBorder="1"/>
    <xf numFmtId="43" fontId="8" fillId="4" borderId="0" xfId="1" applyFont="1" applyFill="1" applyBorder="1"/>
    <xf numFmtId="165" fontId="0" fillId="18" borderId="0" xfId="1" applyNumberFormat="1" applyFont="1" applyFill="1" applyBorder="1"/>
    <xf numFmtId="43" fontId="8" fillId="0" borderId="0" xfId="1" applyFont="1" applyFill="1" applyProtection="1">
      <protection locked="0"/>
    </xf>
    <xf numFmtId="165" fontId="8" fillId="0" borderId="0" xfId="1" applyNumberFormat="1" applyFont="1" applyFill="1" applyProtection="1">
      <protection locked="0"/>
    </xf>
    <xf numFmtId="43" fontId="8" fillId="13" borderId="0" xfId="1" applyFont="1" applyFill="1" applyBorder="1"/>
    <xf numFmtId="0" fontId="0" fillId="0" borderId="0" xfId="1" applyNumberFormat="1" applyFont="1" applyBorder="1" applyAlignment="1">
      <alignment horizontal="left"/>
    </xf>
    <xf numFmtId="0" fontId="3" fillId="5" borderId="0" xfId="0" applyFont="1" applyFill="1" applyBorder="1"/>
    <xf numFmtId="43" fontId="3" fillId="5" borderId="0" xfId="0" applyNumberFormat="1" applyFont="1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0" fontId="0" fillId="0" borderId="0" xfId="0" applyFont="1" applyAlignment="1">
      <alignment horizontal="left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7" fillId="28" borderId="0" xfId="0" applyFont="1" applyFill="1" applyBorder="1"/>
    <xf numFmtId="9" fontId="14" fillId="28" borderId="0" xfId="0" applyNumberFormat="1" applyFont="1" applyFill="1" applyBorder="1" applyProtection="1">
      <protection locked="0"/>
    </xf>
    <xf numFmtId="164" fontId="7" fillId="28" borderId="0" xfId="0" applyNumberFormat="1" applyFont="1" applyFill="1" applyBorder="1"/>
    <xf numFmtId="0" fontId="30" fillId="0" borderId="0" xfId="0" applyFont="1"/>
    <xf numFmtId="43" fontId="30" fillId="0" borderId="0" xfId="0" applyNumberFormat="1" applyFont="1"/>
    <xf numFmtId="9" fontId="0" fillId="29" borderId="10" xfId="2" applyFont="1" applyFill="1" applyBorder="1" applyAlignment="1">
      <alignment horizontal="center"/>
    </xf>
    <xf numFmtId="0" fontId="3" fillId="21" borderId="0" xfId="0" applyFont="1" applyFill="1" applyBorder="1" applyAlignment="1">
      <alignment horizontal="center"/>
    </xf>
    <xf numFmtId="0" fontId="3" fillId="22" borderId="0" xfId="0" applyFont="1" applyFill="1" applyBorder="1" applyAlignment="1">
      <alignment horizontal="center"/>
    </xf>
    <xf numFmtId="0" fontId="3" fillId="23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16" xfId="0" applyFont="1" applyBorder="1"/>
    <xf numFmtId="43" fontId="3" fillId="0" borderId="16" xfId="1" applyFont="1" applyBorder="1"/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31" fillId="0" borderId="0" xfId="0" applyFont="1"/>
    <xf numFmtId="0" fontId="0" fillId="13" borderId="0" xfId="0" applyFill="1"/>
    <xf numFmtId="43" fontId="30" fillId="0" borderId="0" xfId="1" applyFont="1"/>
    <xf numFmtId="0" fontId="8" fillId="0" borderId="0" xfId="0" applyFont="1"/>
    <xf numFmtId="0" fontId="32" fillId="0" borderId="0" xfId="0" applyFont="1"/>
    <xf numFmtId="9" fontId="0" fillId="29" borderId="5" xfId="2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43" fontId="8" fillId="0" borderId="0" xfId="1" applyFont="1"/>
    <xf numFmtId="43" fontId="8" fillId="0" borderId="0" xfId="0" applyNumberFormat="1" applyFont="1"/>
    <xf numFmtId="43" fontId="14" fillId="18" borderId="0" xfId="1" applyFont="1" applyFill="1" applyBorder="1" applyProtection="1">
      <protection locked="0"/>
    </xf>
    <xf numFmtId="43" fontId="0" fillId="18" borderId="0" xfId="1" applyFont="1" applyFill="1"/>
    <xf numFmtId="43" fontId="32" fillId="0" borderId="0" xfId="0" applyNumberFormat="1" applyFont="1"/>
    <xf numFmtId="43" fontId="33" fillId="0" borderId="0" xfId="1" applyFont="1"/>
    <xf numFmtId="0" fontId="34" fillId="0" borderId="0" xfId="0" applyFont="1"/>
    <xf numFmtId="43" fontId="34" fillId="0" borderId="0" xfId="1" applyFont="1"/>
    <xf numFmtId="43" fontId="32" fillId="0" borderId="0" xfId="1" applyFont="1"/>
    <xf numFmtId="43" fontId="35" fillId="0" borderId="0" xfId="0" applyNumberFormat="1" applyFont="1"/>
    <xf numFmtId="0" fontId="36" fillId="0" borderId="0" xfId="0" applyFont="1"/>
    <xf numFmtId="0" fontId="29" fillId="0" borderId="0" xfId="0" applyFont="1" applyBorder="1"/>
    <xf numFmtId="0" fontId="0" fillId="0" borderId="4" xfId="0" applyFont="1" applyBorder="1" applyAlignment="1">
      <alignment horizontal="left"/>
    </xf>
    <xf numFmtId="43" fontId="0" fillId="0" borderId="4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0" fontId="30" fillId="0" borderId="9" xfId="0" applyFont="1" applyBorder="1"/>
    <xf numFmtId="43" fontId="30" fillId="0" borderId="9" xfId="1" applyFont="1" applyBorder="1" applyAlignment="1">
      <alignment horizontal="right"/>
    </xf>
    <xf numFmtId="43" fontId="30" fillId="0" borderId="10" xfId="1" applyFont="1" applyBorder="1" applyAlignment="1">
      <alignment horizontal="right"/>
    </xf>
    <xf numFmtId="43" fontId="1" fillId="0" borderId="4" xfId="1" applyFont="1" applyBorder="1"/>
    <xf numFmtId="43" fontId="1" fillId="0" borderId="5" xfId="1" applyFont="1" applyBorder="1"/>
    <xf numFmtId="43" fontId="30" fillId="0" borderId="9" xfId="1" applyFont="1" applyBorder="1"/>
    <xf numFmtId="43" fontId="30" fillId="0" borderId="10" xfId="1" applyFont="1" applyBorder="1"/>
    <xf numFmtId="0" fontId="3" fillId="0" borderId="0" xfId="0" applyFont="1" applyFill="1"/>
    <xf numFmtId="2" fontId="0" fillId="0" borderId="0" xfId="0" applyNumberFormat="1" applyFill="1"/>
    <xf numFmtId="0" fontId="3" fillId="0" borderId="0" xfId="0" applyFont="1" applyAlignment="1">
      <alignment horizontal="center"/>
    </xf>
    <xf numFmtId="43" fontId="0" fillId="28" borderId="0" xfId="1" applyNumberFormat="1" applyFont="1" applyFill="1" applyBorder="1" applyProtection="1">
      <protection locked="0"/>
    </xf>
    <xf numFmtId="0" fontId="3" fillId="28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top" wrapText="1"/>
    </xf>
    <xf numFmtId="0" fontId="40" fillId="0" borderId="0" xfId="0" applyFont="1" applyFill="1" applyBorder="1" applyAlignment="1">
      <alignment horizontal="center" vertical="top" wrapText="1"/>
    </xf>
    <xf numFmtId="0" fontId="41" fillId="0" borderId="0" xfId="0" applyFont="1" applyFill="1" applyBorder="1" applyAlignment="1">
      <alignment horizontal="center" vertical="top" wrapText="1"/>
    </xf>
    <xf numFmtId="0" fontId="40" fillId="0" borderId="0" xfId="0" applyFont="1" applyAlignment="1">
      <alignment horizontal="center"/>
    </xf>
    <xf numFmtId="0" fontId="37" fillId="30" borderId="0" xfId="0" applyFont="1" applyFill="1" applyBorder="1" applyAlignment="1">
      <alignment horizontal="center" vertical="top" wrapText="1"/>
    </xf>
    <xf numFmtId="0" fontId="37" fillId="31" borderId="0" xfId="0" applyFont="1" applyFill="1" applyBorder="1" applyAlignment="1">
      <alignment horizontal="center" vertical="top" wrapText="1"/>
    </xf>
    <xf numFmtId="0" fontId="37" fillId="32" borderId="0" xfId="0" applyFont="1" applyFill="1" applyBorder="1" applyAlignment="1">
      <alignment horizontal="center" vertical="top" wrapText="1"/>
    </xf>
    <xf numFmtId="0" fontId="3" fillId="0" borderId="0" xfId="0" applyFont="1" applyAlignment="1"/>
    <xf numFmtId="0" fontId="30" fillId="0" borderId="0" xfId="0" applyFont="1" applyFill="1"/>
    <xf numFmtId="0" fontId="3" fillId="0" borderId="34" xfId="0" applyFont="1" applyBorder="1"/>
    <xf numFmtId="0" fontId="3" fillId="28" borderId="34" xfId="0" applyFont="1" applyFill="1" applyBorder="1"/>
    <xf numFmtId="0" fontId="3" fillId="8" borderId="34" xfId="0" applyFont="1" applyFill="1" applyBorder="1"/>
    <xf numFmtId="0" fontId="0" fillId="0" borderId="34" xfId="0" applyBorder="1"/>
    <xf numFmtId="0" fontId="0" fillId="28" borderId="34" xfId="0" applyFill="1" applyBorder="1"/>
    <xf numFmtId="0" fontId="0" fillId="28" borderId="34" xfId="0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43" fontId="30" fillId="28" borderId="0" xfId="1" applyFont="1" applyFill="1" applyBorder="1"/>
    <xf numFmtId="0" fontId="3" fillId="25" borderId="0" xfId="0" applyFont="1" applyFill="1" applyAlignment="1">
      <alignment horizontal="center"/>
    </xf>
    <xf numFmtId="0" fontId="30" fillId="4" borderId="0" xfId="0" applyFont="1" applyFill="1" applyBorder="1" applyProtection="1">
      <protection locked="0"/>
    </xf>
    <xf numFmtId="43" fontId="0" fillId="28" borderId="0" xfId="0" applyNumberFormat="1" applyFill="1"/>
    <xf numFmtId="0" fontId="0" fillId="28" borderId="0" xfId="0" applyFill="1"/>
    <xf numFmtId="0" fontId="3" fillId="28" borderId="0" xfId="0" applyFont="1" applyFill="1" applyAlignment="1">
      <alignment horizontal="center"/>
    </xf>
    <xf numFmtId="165" fontId="14" fillId="28" borderId="0" xfId="1" applyNumberFormat="1" applyFont="1" applyFill="1"/>
    <xf numFmtId="165" fontId="0" fillId="28" borderId="0" xfId="1" applyNumberFormat="1" applyFont="1" applyFill="1"/>
    <xf numFmtId="43" fontId="3" fillId="28" borderId="0" xfId="1" applyNumberFormat="1" applyFont="1" applyFill="1"/>
    <xf numFmtId="0" fontId="0" fillId="25" borderId="0" xfId="0" applyFill="1"/>
    <xf numFmtId="43" fontId="0" fillId="25" borderId="0" xfId="0" applyNumberFormat="1" applyFill="1"/>
    <xf numFmtId="43" fontId="14" fillId="25" borderId="0" xfId="0" applyNumberFormat="1" applyFont="1" applyFill="1"/>
    <xf numFmtId="43" fontId="8" fillId="25" borderId="0" xfId="1" applyFont="1" applyFill="1" applyBorder="1" applyProtection="1">
      <protection locked="0"/>
    </xf>
    <xf numFmtId="43" fontId="0" fillId="33" borderId="0" xfId="0" applyNumberFormat="1" applyFill="1"/>
    <xf numFmtId="43" fontId="0" fillId="34" borderId="0" xfId="1" applyNumberFormat="1" applyFont="1" applyFill="1" applyBorder="1" applyProtection="1">
      <protection locked="0"/>
    </xf>
    <xf numFmtId="43" fontId="0" fillId="34" borderId="0" xfId="1" applyFont="1" applyFill="1" applyBorder="1" applyProtection="1">
      <protection locked="0"/>
    </xf>
    <xf numFmtId="0" fontId="0" fillId="34" borderId="0" xfId="0" applyFill="1"/>
    <xf numFmtId="0" fontId="0" fillId="5" borderId="0" xfId="0" applyFont="1" applyFill="1" applyBorder="1" applyProtection="1">
      <protection locked="0"/>
    </xf>
    <xf numFmtId="9" fontId="14" fillId="5" borderId="0" xfId="2" applyNumberFormat="1" applyFont="1" applyFill="1" applyBorder="1" applyAlignment="1" applyProtection="1">
      <alignment horizontal="center"/>
      <protection locked="0"/>
    </xf>
    <xf numFmtId="43" fontId="0" fillId="5" borderId="0" xfId="1" applyNumberFormat="1" applyFont="1" applyFill="1" applyBorder="1" applyProtection="1">
      <protection locked="0"/>
    </xf>
    <xf numFmtId="0" fontId="3" fillId="5" borderId="0" xfId="0" applyFont="1" applyFill="1" applyBorder="1" applyProtection="1">
      <protection locked="0"/>
    </xf>
    <xf numFmtId="9" fontId="5" fillId="5" borderId="0" xfId="2" applyNumberFormat="1" applyFont="1" applyFill="1" applyBorder="1" applyAlignment="1" applyProtection="1">
      <alignment horizontal="center"/>
      <protection locked="0"/>
    </xf>
    <xf numFmtId="43" fontId="3" fillId="5" borderId="0" xfId="1" applyNumberFormat="1" applyFont="1" applyFill="1" applyBorder="1" applyProtection="1">
      <protection locked="0"/>
    </xf>
    <xf numFmtId="0" fontId="3" fillId="5" borderId="0" xfId="0" applyFont="1" applyFill="1"/>
    <xf numFmtId="0" fontId="3" fillId="5" borderId="0" xfId="0" applyFont="1" applyFill="1" applyBorder="1" applyAlignment="1">
      <alignment horizontal="center" wrapText="1"/>
    </xf>
    <xf numFmtId="0" fontId="5" fillId="8" borderId="0" xfId="0" applyFont="1" applyFill="1" applyBorder="1" applyProtection="1">
      <protection locked="0"/>
    </xf>
    <xf numFmtId="9" fontId="5" fillId="8" borderId="0" xfId="2" applyNumberFormat="1" applyFont="1" applyFill="1" applyBorder="1" applyAlignment="1" applyProtection="1">
      <alignment horizontal="center"/>
      <protection locked="0"/>
    </xf>
    <xf numFmtId="43" fontId="5" fillId="8" borderId="0" xfId="1" applyNumberFormat="1" applyFont="1" applyFill="1" applyBorder="1" applyProtection="1">
      <protection locked="0"/>
    </xf>
    <xf numFmtId="43" fontId="5" fillId="8" borderId="0" xfId="1" applyFont="1" applyFill="1" applyBorder="1" applyProtection="1">
      <protection locked="0"/>
    </xf>
    <xf numFmtId="0" fontId="5" fillId="8" borderId="0" xfId="0" applyFont="1" applyFill="1"/>
    <xf numFmtId="0" fontId="0" fillId="5" borderId="34" xfId="0" applyFill="1" applyBorder="1"/>
    <xf numFmtId="1" fontId="0" fillId="0" borderId="34" xfId="0" applyNumberFormat="1" applyBorder="1"/>
    <xf numFmtId="1" fontId="5" fillId="8" borderId="34" xfId="1" applyNumberFormat="1" applyFont="1" applyFill="1" applyBorder="1" applyProtection="1">
      <protection locked="0"/>
    </xf>
    <xf numFmtId="1" fontId="0" fillId="5" borderId="34" xfId="1" applyNumberFormat="1" applyFont="1" applyFill="1" applyBorder="1" applyProtection="1">
      <protection locked="0"/>
    </xf>
    <xf numFmtId="1" fontId="0" fillId="5" borderId="34" xfId="0" applyNumberFormat="1" applyFill="1" applyBorder="1"/>
    <xf numFmtId="1" fontId="3" fillId="5" borderId="34" xfId="0" applyNumberFormat="1" applyFont="1" applyFill="1" applyBorder="1"/>
    <xf numFmtId="165" fontId="0" fillId="0" borderId="34" xfId="0" applyNumberFormat="1" applyBorder="1"/>
    <xf numFmtId="165" fontId="5" fillId="8" borderId="34" xfId="1" applyNumberFormat="1" applyFont="1" applyFill="1" applyBorder="1" applyProtection="1">
      <protection locked="0"/>
    </xf>
    <xf numFmtId="165" fontId="0" fillId="5" borderId="34" xfId="1" applyNumberFormat="1" applyFont="1" applyFill="1" applyBorder="1" applyProtection="1">
      <protection locked="0"/>
    </xf>
    <xf numFmtId="165" fontId="0" fillId="5" borderId="34" xfId="0" applyNumberFormat="1" applyFill="1" applyBorder="1"/>
    <xf numFmtId="165" fontId="3" fillId="5" borderId="34" xfId="0" applyNumberFormat="1" applyFont="1" applyFill="1" applyBorder="1"/>
    <xf numFmtId="0" fontId="0" fillId="5" borderId="0" xfId="0" applyFont="1" applyFill="1"/>
    <xf numFmtId="43" fontId="0" fillId="0" borderId="34" xfId="0" applyNumberFormat="1" applyBorder="1"/>
    <xf numFmtId="1" fontId="0" fillId="28" borderId="34" xfId="0" applyNumberFormat="1" applyFill="1" applyBorder="1"/>
    <xf numFmtId="165" fontId="0" fillId="28" borderId="0" xfId="0" applyNumberFormat="1" applyFill="1"/>
    <xf numFmtId="165" fontId="0" fillId="28" borderId="34" xfId="0" applyNumberFormat="1" applyFill="1" applyBorder="1"/>
    <xf numFmtId="43" fontId="0" fillId="28" borderId="34" xfId="0" applyNumberFormat="1" applyFill="1" applyBorder="1"/>
    <xf numFmtId="1" fontId="0" fillId="0" borderId="0" xfId="0" applyNumberFormat="1"/>
    <xf numFmtId="43" fontId="0" fillId="13" borderId="0" xfId="0" applyNumberFormat="1" applyFill="1"/>
    <xf numFmtId="43" fontId="8" fillId="13" borderId="0" xfId="1" applyFont="1" applyFill="1" applyBorder="1" applyProtection="1">
      <protection locked="0"/>
    </xf>
    <xf numFmtId="165" fontId="30" fillId="0" borderId="0" xfId="0" applyNumberFormat="1" applyFont="1"/>
    <xf numFmtId="165" fontId="30" fillId="0" borderId="0" xfId="1" applyNumberFormat="1" applyFont="1"/>
    <xf numFmtId="10" fontId="30" fillId="0" borderId="0" xfId="2" applyNumberFormat="1" applyFont="1"/>
    <xf numFmtId="0" fontId="0" fillId="18" borderId="34" xfId="0" applyFill="1" applyBorder="1"/>
    <xf numFmtId="0" fontId="0" fillId="18" borderId="0" xfId="0" applyFill="1"/>
    <xf numFmtId="0" fontId="3" fillId="0" borderId="20" xfId="0" applyFont="1" applyFill="1" applyBorder="1"/>
    <xf numFmtId="1" fontId="0" fillId="28" borderId="0" xfId="0" applyNumberFormat="1" applyFill="1"/>
    <xf numFmtId="0" fontId="0" fillId="20" borderId="34" xfId="0" applyFill="1" applyBorder="1"/>
    <xf numFmtId="165" fontId="0" fillId="20" borderId="0" xfId="0" applyNumberFormat="1" applyFill="1"/>
    <xf numFmtId="43" fontId="0" fillId="20" borderId="0" xfId="0" applyNumberFormat="1" applyFill="1"/>
    <xf numFmtId="165" fontId="0" fillId="20" borderId="34" xfId="0" applyNumberFormat="1" applyFill="1" applyBorder="1"/>
    <xf numFmtId="43" fontId="0" fillId="20" borderId="34" xfId="0" applyNumberFormat="1" applyFill="1" applyBorder="1"/>
    <xf numFmtId="1" fontId="0" fillId="20" borderId="34" xfId="0" applyNumberFormat="1" applyFill="1" applyBorder="1"/>
    <xf numFmtId="1" fontId="0" fillId="20" borderId="0" xfId="0" applyNumberFormat="1" applyFill="1"/>
    <xf numFmtId="165" fontId="0" fillId="18" borderId="0" xfId="0" applyNumberFormat="1" applyFill="1"/>
    <xf numFmtId="43" fontId="0" fillId="18" borderId="0" xfId="0" applyNumberFormat="1" applyFill="1"/>
    <xf numFmtId="165" fontId="0" fillId="18" borderId="34" xfId="0" applyNumberFormat="1" applyFill="1" applyBorder="1"/>
    <xf numFmtId="43" fontId="0" fillId="18" borderId="34" xfId="0" applyNumberFormat="1" applyFill="1" applyBorder="1"/>
    <xf numFmtId="1" fontId="0" fillId="18" borderId="34" xfId="0" applyNumberFormat="1" applyFill="1" applyBorder="1"/>
    <xf numFmtId="1" fontId="0" fillId="18" borderId="0" xfId="0" applyNumberFormat="1" applyFill="1"/>
    <xf numFmtId="0" fontId="0" fillId="8" borderId="0" xfId="0" applyFill="1"/>
    <xf numFmtId="0" fontId="0" fillId="8" borderId="34" xfId="0" applyFill="1" applyBorder="1"/>
    <xf numFmtId="165" fontId="0" fillId="8" borderId="0" xfId="0" applyNumberFormat="1" applyFill="1"/>
    <xf numFmtId="43" fontId="0" fillId="8" borderId="0" xfId="0" applyNumberFormat="1" applyFill="1"/>
    <xf numFmtId="165" fontId="0" fillId="8" borderId="34" xfId="0" applyNumberFormat="1" applyFill="1" applyBorder="1"/>
    <xf numFmtId="43" fontId="0" fillId="8" borderId="34" xfId="0" applyNumberFormat="1" applyFill="1" applyBorder="1"/>
    <xf numFmtId="1" fontId="0" fillId="8" borderId="34" xfId="0" applyNumberFormat="1" applyFill="1" applyBorder="1"/>
    <xf numFmtId="1" fontId="0" fillId="8" borderId="0" xfId="0" applyNumberFormat="1" applyFill="1"/>
    <xf numFmtId="0" fontId="0" fillId="24" borderId="0" xfId="0" applyFill="1"/>
    <xf numFmtId="0" fontId="0" fillId="24" borderId="34" xfId="0" applyFill="1" applyBorder="1"/>
    <xf numFmtId="165" fontId="0" fillId="24" borderId="0" xfId="0" applyNumberFormat="1" applyFill="1"/>
    <xf numFmtId="43" fontId="0" fillId="24" borderId="0" xfId="0" applyNumberFormat="1" applyFill="1"/>
    <xf numFmtId="165" fontId="0" fillId="24" borderId="34" xfId="0" applyNumberFormat="1" applyFill="1" applyBorder="1"/>
    <xf numFmtId="43" fontId="0" fillId="24" borderId="34" xfId="0" applyNumberFormat="1" applyFill="1" applyBorder="1"/>
    <xf numFmtId="1" fontId="0" fillId="24" borderId="34" xfId="0" applyNumberFormat="1" applyFill="1" applyBorder="1"/>
    <xf numFmtId="1" fontId="0" fillId="24" borderId="0" xfId="0" applyNumberFormat="1" applyFill="1"/>
    <xf numFmtId="168" fontId="0" fillId="0" borderId="0" xfId="0" applyNumberFormat="1"/>
    <xf numFmtId="169" fontId="0" fillId="0" borderId="0" xfId="0" applyNumberFormat="1"/>
    <xf numFmtId="1" fontId="0" fillId="34" borderId="34" xfId="0" applyNumberFormat="1" applyFill="1" applyBorder="1"/>
    <xf numFmtId="170" fontId="0" fillId="0" borderId="0" xfId="0" applyNumberFormat="1"/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35" borderId="0" xfId="0" applyFill="1"/>
    <xf numFmtId="0" fontId="0" fillId="35" borderId="0" xfId="0" applyFill="1" applyAlignment="1">
      <alignment horizontal="center"/>
    </xf>
    <xf numFmtId="43" fontId="0" fillId="35" borderId="0" xfId="1" applyFont="1" applyFill="1"/>
    <xf numFmtId="43" fontId="0" fillId="35" borderId="0" xfId="0" applyNumberFormat="1" applyFill="1"/>
    <xf numFmtId="43" fontId="8" fillId="0" borderId="0" xfId="1" applyFont="1" applyFill="1" applyBorder="1"/>
    <xf numFmtId="0" fontId="13" fillId="6" borderId="0" xfId="0" applyFont="1" applyFill="1" applyBorder="1" applyAlignment="1"/>
    <xf numFmtId="0" fontId="13" fillId="0" borderId="0" xfId="0" applyFont="1" applyFill="1" applyBorder="1" applyAlignment="1"/>
    <xf numFmtId="0" fontId="3" fillId="0" borderId="0" xfId="0" applyFont="1" applyFill="1" applyBorder="1" applyAlignment="1"/>
    <xf numFmtId="43" fontId="8" fillId="0" borderId="0" xfId="1" applyFont="1" applyFill="1" applyBorder="1" applyProtection="1">
      <protection locked="0"/>
    </xf>
    <xf numFmtId="14" fontId="14" fillId="0" borderId="0" xfId="1" applyNumberFormat="1" applyFont="1" applyFill="1" applyBorder="1" applyProtection="1">
      <protection locked="0"/>
    </xf>
    <xf numFmtId="43" fontId="14" fillId="21" borderId="0" xfId="1" applyFont="1" applyFill="1" applyBorder="1"/>
    <xf numFmtId="9" fontId="0" fillId="29" borderId="11" xfId="2" applyFont="1" applyFill="1" applyBorder="1" applyAlignment="1">
      <alignment horizontal="center"/>
    </xf>
    <xf numFmtId="9" fontId="0" fillId="29" borderId="12" xfId="2" applyFont="1" applyFill="1" applyBorder="1" applyAlignment="1">
      <alignment horizontal="center"/>
    </xf>
    <xf numFmtId="9" fontId="0" fillId="29" borderId="13" xfId="2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2" xfId="3" applyFont="1" applyFill="1" applyBorder="1" applyAlignment="1">
      <alignment horizontal="center" vertical="center"/>
    </xf>
    <xf numFmtId="0" fontId="6" fillId="0" borderId="13" xfId="3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35" xfId="0" applyFont="1" applyBorder="1" applyAlignment="1"/>
    <xf numFmtId="0" fontId="0" fillId="0" borderId="14" xfId="0" applyBorder="1" applyAlignment="1"/>
    <xf numFmtId="0" fontId="0" fillId="0" borderId="36" xfId="0" applyBorder="1" applyAlignment="1"/>
    <xf numFmtId="0" fontId="3" fillId="0" borderId="0" xfId="0" applyFont="1" applyAlignment="1"/>
    <xf numFmtId="0" fontId="3" fillId="0" borderId="21" xfId="0" applyFont="1" applyBorder="1" applyAlignme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3" fillId="28" borderId="34" xfId="0" applyFont="1" applyFill="1" applyBorder="1" applyAlignment="1">
      <alignment horizontal="center"/>
    </xf>
    <xf numFmtId="0" fontId="17" fillId="16" borderId="24" xfId="7" applyFont="1" applyFill="1" applyBorder="1" applyAlignment="1" applyProtection="1">
      <alignment horizontal="left"/>
      <protection locked="0"/>
    </xf>
    <xf numFmtId="0" fontId="17" fillId="16" borderId="23" xfId="7" applyFont="1" applyFill="1" applyBorder="1" applyAlignment="1" applyProtection="1">
      <alignment horizontal="left"/>
      <protection locked="0"/>
    </xf>
    <xf numFmtId="0" fontId="21" fillId="17" borderId="29" xfId="9" applyFont="1" applyBorder="1" applyAlignment="1">
      <alignment horizontal="right"/>
    </xf>
    <xf numFmtId="0" fontId="21" fillId="17" borderId="28" xfId="9" applyFont="1" applyBorder="1" applyAlignment="1">
      <alignment horizontal="right"/>
    </xf>
    <xf numFmtId="0" fontId="21" fillId="17" borderId="27" xfId="9" applyFont="1" applyBorder="1" applyAlignment="1">
      <alignment horizontal="right"/>
    </xf>
  </cellXfs>
  <cellStyles count="14">
    <cellStyle name="20% - Accent3 2" xfId="9"/>
    <cellStyle name="Calculation 2" xfId="11"/>
    <cellStyle name="Comma" xfId="1" builtinId="3"/>
    <cellStyle name="Comma 2" xfId="4"/>
    <cellStyle name="Comma 3" xfId="13"/>
    <cellStyle name="Currency 2" xfId="8"/>
    <cellStyle name="Input 2" xfId="10"/>
    <cellStyle name="Normal" xfId="0" builtinId="0"/>
    <cellStyle name="Normal 2" xfId="3"/>
    <cellStyle name="Normal 3" xfId="7"/>
    <cellStyle name="Normal 4" xfId="12"/>
    <cellStyle name="Normal_Balance sheet061" xfId="6"/>
    <cellStyle name="Percent" xfId="2" builtinId="5"/>
    <cellStyle name="Percent 2" xfId="5"/>
  </cellStyles>
  <dxfs count="13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Seed</a:t>
            </a:r>
            <a:r>
              <a:rPr lang="en-US" b="1" baseline="0"/>
              <a:t> buyer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AB-4F04-9B98-E002460B06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AB-4F04-9B98-E002460B06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AB-4F04-9B98-E002460B06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'Social impacts'!$K$6:$K$8</c:f>
              <c:strCache>
                <c:ptCount val="3"/>
                <c:pt idx="0">
                  <c:v>Agrovet</c:v>
                </c:pt>
                <c:pt idx="1">
                  <c:v>Cooperatives</c:v>
                </c:pt>
                <c:pt idx="2">
                  <c:v>Development partners</c:v>
                </c:pt>
              </c:strCache>
            </c:strRef>
          </c:cat>
          <c:val>
            <c:numRef>
              <c:f>'Social impacts'!$L$6:$L$8</c:f>
              <c:numCache>
                <c:formatCode>General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B85-887D-983A5545B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171450</xdr:rowOff>
    </xdr:from>
    <xdr:to>
      <xdr:col>13</xdr:col>
      <xdr:colOff>514350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cimmyt/Business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ted"/>
      <sheetName val="Sheet1"/>
      <sheetName val="Balance Sheet"/>
      <sheetName val="Profit or Loss"/>
      <sheetName val="Cash Flow"/>
      <sheetName val="Impact of Price"/>
      <sheetName val="Cost of Sale"/>
      <sheetName val="Inventories"/>
      <sheetName val="Fund Position"/>
      <sheetName val="Impact of purchasing less"/>
      <sheetName val="Impact khadyasansthan"/>
      <sheetName val="Impact of low interest rate"/>
      <sheetName val="Ratio Analysis"/>
      <sheetName val="Cash Management"/>
      <sheetName val="FA"/>
      <sheetName val="Loan Amortization Schedule"/>
      <sheetName val="Loan working"/>
    </sheetNames>
    <sheetDataSet>
      <sheetData sheetId="0"/>
      <sheetData sheetId="1"/>
      <sheetData sheetId="2">
        <row r="7">
          <cell r="D7" t="str">
            <v>2074  (2017)</v>
          </cell>
        </row>
      </sheetData>
      <sheetData sheetId="3"/>
      <sheetData sheetId="4"/>
      <sheetData sheetId="5"/>
      <sheetData sheetId="6"/>
      <sheetData sheetId="7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1</v>
          </cell>
        </row>
        <row r="33">
          <cell r="B33">
            <v>1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Loan Amortization Schedule</v>
          </cell>
        </row>
        <row r="4">
          <cell r="B4" t="str">
            <v>Enter values</v>
          </cell>
          <cell r="H4" t="str">
            <v>Loan summary</v>
          </cell>
        </row>
        <row r="5">
          <cell r="C5" t="str">
            <v>Loan amount</v>
          </cell>
          <cell r="D5">
            <v>10000000</v>
          </cell>
          <cell r="I5" t="str">
            <v>Scheduled payment</v>
          </cell>
          <cell r="J5">
            <v>568203.89631804393</v>
          </cell>
        </row>
        <row r="6">
          <cell r="C6" t="str">
            <v>Annual interest rate</v>
          </cell>
          <cell r="D6">
            <v>0.05</v>
          </cell>
          <cell r="I6" t="str">
            <v>Scheduled number of payments</v>
          </cell>
          <cell r="J6">
            <v>20</v>
          </cell>
        </row>
        <row r="7">
          <cell r="C7" t="str">
            <v>Loan period in years</v>
          </cell>
          <cell r="D7">
            <v>5</v>
          </cell>
          <cell r="I7" t="str">
            <v>Actual number of payments</v>
          </cell>
          <cell r="J7">
            <v>20</v>
          </cell>
        </row>
        <row r="8">
          <cell r="C8" t="str">
            <v>Number of payments per year</v>
          </cell>
          <cell r="D8">
            <v>4</v>
          </cell>
          <cell r="I8" t="str">
            <v>Total early payments</v>
          </cell>
          <cell r="J8">
            <v>0</v>
          </cell>
        </row>
        <row r="9">
          <cell r="C9" t="str">
            <v>Start date of loan</v>
          </cell>
          <cell r="D9">
            <v>43032</v>
          </cell>
          <cell r="I9" t="str">
            <v>Total interest</v>
          </cell>
          <cell r="J9">
            <v>1364077.9263608761</v>
          </cell>
        </row>
        <row r="10">
          <cell r="C10" t="str">
            <v>Optional extra payments</v>
          </cell>
        </row>
        <row r="12">
          <cell r="B12" t="str">
            <v>Lender name:</v>
          </cell>
        </row>
        <row r="16">
          <cell r="A16" t="str">
            <v>Pmt. No.</v>
          </cell>
          <cell r="B16" t="str">
            <v>Payment Date</v>
          </cell>
          <cell r="C16" t="str">
            <v>Beginning Balance</v>
          </cell>
          <cell r="D16" t="str">
            <v>Scheduled Payment</v>
          </cell>
          <cell r="E16" t="str">
            <v>Extra Payment</v>
          </cell>
          <cell r="F16" t="str">
            <v>Total Payment</v>
          </cell>
          <cell r="G16" t="str">
            <v>Principal</v>
          </cell>
          <cell r="H16" t="str">
            <v>Interest</v>
          </cell>
          <cell r="I16" t="str">
            <v>Ending Balance</v>
          </cell>
          <cell r="J16" t="str">
            <v>Cumulative Interest</v>
          </cell>
        </row>
        <row r="18">
          <cell r="A18">
            <v>1</v>
          </cell>
          <cell r="B18">
            <v>43124</v>
          </cell>
          <cell r="C18">
            <v>10000000</v>
          </cell>
          <cell r="D18">
            <v>568203.89631804393</v>
          </cell>
          <cell r="E18">
            <v>0</v>
          </cell>
          <cell r="F18">
            <v>568203.89631804393</v>
          </cell>
          <cell r="G18">
            <v>443203.89631804393</v>
          </cell>
          <cell r="H18">
            <v>125000</v>
          </cell>
          <cell r="I18">
            <v>9556796.1036819555</v>
          </cell>
          <cell r="J18">
            <v>125000</v>
          </cell>
        </row>
        <row r="19">
          <cell r="A19">
            <v>2</v>
          </cell>
          <cell r="B19">
            <v>43214</v>
          </cell>
          <cell r="C19">
            <v>9556796.1036819555</v>
          </cell>
          <cell r="D19">
            <v>568203.89631804393</v>
          </cell>
          <cell r="E19">
            <v>0</v>
          </cell>
          <cell r="F19">
            <v>568203.89631804393</v>
          </cell>
          <cell r="G19">
            <v>448743.9450220195</v>
          </cell>
          <cell r="H19">
            <v>119459.95129602445</v>
          </cell>
          <cell r="I19">
            <v>9108052.1586599369</v>
          </cell>
          <cell r="J19">
            <v>244459.95129602443</v>
          </cell>
        </row>
        <row r="20">
          <cell r="A20">
            <v>3</v>
          </cell>
          <cell r="B20">
            <v>43305</v>
          </cell>
          <cell r="C20">
            <v>9108052.1586599369</v>
          </cell>
          <cell r="D20">
            <v>568203.89631804393</v>
          </cell>
          <cell r="E20">
            <v>0</v>
          </cell>
          <cell r="F20">
            <v>568203.89631804393</v>
          </cell>
          <cell r="G20">
            <v>454353.2443347947</v>
          </cell>
          <cell r="H20">
            <v>113850.65198324922</v>
          </cell>
          <cell r="I20">
            <v>8653698.9143251423</v>
          </cell>
          <cell r="J20">
            <v>358310.60327927367</v>
          </cell>
        </row>
        <row r="21">
          <cell r="A21">
            <v>4</v>
          </cell>
          <cell r="B21">
            <v>43397</v>
          </cell>
          <cell r="C21">
            <v>8653698.9143251423</v>
          </cell>
          <cell r="D21">
            <v>568203.89631804393</v>
          </cell>
          <cell r="E21">
            <v>0</v>
          </cell>
          <cell r="F21">
            <v>568203.89631804393</v>
          </cell>
          <cell r="G21">
            <v>460032.65988897963</v>
          </cell>
          <cell r="H21">
            <v>108171.23642906429</v>
          </cell>
          <cell r="I21">
            <v>8193666.2544361623</v>
          </cell>
          <cell r="J21">
            <v>466481.83970833797</v>
          </cell>
        </row>
        <row r="22">
          <cell r="A22">
            <v>5</v>
          </cell>
          <cell r="B22">
            <v>43489</v>
          </cell>
          <cell r="C22">
            <v>8193666.2544361623</v>
          </cell>
          <cell r="D22">
            <v>568203.89631804393</v>
          </cell>
          <cell r="E22">
            <v>0</v>
          </cell>
          <cell r="F22">
            <v>568203.89631804393</v>
          </cell>
          <cell r="G22">
            <v>465783.06813759188</v>
          </cell>
          <cell r="H22">
            <v>102420.82818045204</v>
          </cell>
          <cell r="I22">
            <v>7727883.1862985706</v>
          </cell>
          <cell r="J22">
            <v>568902.66788879002</v>
          </cell>
        </row>
        <row r="23">
          <cell r="A23">
            <v>6</v>
          </cell>
          <cell r="B23">
            <v>43579</v>
          </cell>
          <cell r="C23">
            <v>7727883.1862985706</v>
          </cell>
          <cell r="D23">
            <v>568203.89631804393</v>
          </cell>
          <cell r="E23">
            <v>0</v>
          </cell>
          <cell r="F23">
            <v>568203.89631804393</v>
          </cell>
          <cell r="G23">
            <v>471605.35648931179</v>
          </cell>
          <cell r="H23">
            <v>96598.539828732144</v>
          </cell>
          <cell r="I23">
            <v>7256277.8298092587</v>
          </cell>
          <cell r="J23">
            <v>665501.20771752216</v>
          </cell>
        </row>
        <row r="24">
          <cell r="A24">
            <v>7</v>
          </cell>
          <cell r="B24">
            <v>43670</v>
          </cell>
          <cell r="C24">
            <v>7256277.8298092587</v>
          </cell>
          <cell r="D24">
            <v>568203.89631804393</v>
          </cell>
          <cell r="E24">
            <v>0</v>
          </cell>
          <cell r="F24">
            <v>568203.89631804393</v>
          </cell>
          <cell r="G24">
            <v>477500.4234454282</v>
          </cell>
          <cell r="H24">
            <v>90703.472872615734</v>
          </cell>
          <cell r="I24">
            <v>6778777.4063638309</v>
          </cell>
          <cell r="J24">
            <v>756204.68059013784</v>
          </cell>
        </row>
        <row r="25">
          <cell r="A25">
            <v>8</v>
          </cell>
          <cell r="B25">
            <v>43762</v>
          </cell>
          <cell r="C25">
            <v>6778777.4063638309</v>
          </cell>
          <cell r="D25">
            <v>568203.89631804393</v>
          </cell>
          <cell r="E25">
            <v>0</v>
          </cell>
          <cell r="F25">
            <v>568203.89631804393</v>
          </cell>
          <cell r="G25">
            <v>483469.17873849603</v>
          </cell>
          <cell r="H25">
            <v>84734.717579547898</v>
          </cell>
          <cell r="I25">
            <v>6295308.2276253346</v>
          </cell>
          <cell r="J25">
            <v>840939.39816968574</v>
          </cell>
        </row>
        <row r="26">
          <cell r="A26">
            <v>9</v>
          </cell>
          <cell r="B26">
            <v>43854</v>
          </cell>
          <cell r="C26">
            <v>6295308.2276253346</v>
          </cell>
          <cell r="D26">
            <v>568203.89631804393</v>
          </cell>
          <cell r="E26">
            <v>0</v>
          </cell>
          <cell r="F26">
            <v>568203.89631804393</v>
          </cell>
          <cell r="G26">
            <v>489512.54347272724</v>
          </cell>
          <cell r="H26">
            <v>78691.352845316695</v>
          </cell>
          <cell r="I26">
            <v>5805795.6841526078</v>
          </cell>
          <cell r="J26">
            <v>919630.75101500237</v>
          </cell>
        </row>
        <row r="27">
          <cell r="A27">
            <v>10</v>
          </cell>
          <cell r="B27">
            <v>43945</v>
          </cell>
          <cell r="C27">
            <v>5805795.6841526078</v>
          </cell>
          <cell r="D27">
            <v>568203.89631804393</v>
          </cell>
          <cell r="E27">
            <v>0</v>
          </cell>
          <cell r="F27">
            <v>568203.89631804393</v>
          </cell>
          <cell r="G27">
            <v>495631.45026613632</v>
          </cell>
          <cell r="H27">
            <v>72572.446051907595</v>
          </cell>
          <cell r="I27">
            <v>5310164.233886471</v>
          </cell>
          <cell r="J27">
            <v>992203.19706690998</v>
          </cell>
        </row>
        <row r="28">
          <cell r="A28">
            <v>11</v>
          </cell>
          <cell r="B28">
            <v>44036</v>
          </cell>
          <cell r="C28">
            <v>5310164.233886471</v>
          </cell>
          <cell r="D28">
            <v>568203.89631804393</v>
          </cell>
          <cell r="E28">
            <v>0</v>
          </cell>
          <cell r="F28">
            <v>568203.89631804393</v>
          </cell>
          <cell r="G28">
            <v>501826.84339446307</v>
          </cell>
          <cell r="H28">
            <v>66377.052923580894</v>
          </cell>
          <cell r="I28">
            <v>4808337.3904920081</v>
          </cell>
          <cell r="J28">
            <v>1058580.249990491</v>
          </cell>
        </row>
        <row r="29">
          <cell r="A29">
            <v>12</v>
          </cell>
          <cell r="B29">
            <v>44128</v>
          </cell>
          <cell r="C29">
            <v>4808337.3904920081</v>
          </cell>
          <cell r="D29">
            <v>568203.89631804393</v>
          </cell>
          <cell r="E29">
            <v>0</v>
          </cell>
          <cell r="F29">
            <v>568203.89631804393</v>
          </cell>
          <cell r="G29">
            <v>508099.67893689382</v>
          </cell>
          <cell r="H29">
            <v>60104.217381150105</v>
          </cell>
          <cell r="I29">
            <v>4300237.711555114</v>
          </cell>
          <cell r="J29">
            <v>1118684.467371641</v>
          </cell>
        </row>
        <row r="30">
          <cell r="A30">
            <v>13</v>
          </cell>
          <cell r="B30">
            <v>44220</v>
          </cell>
          <cell r="C30">
            <v>4300237.711555114</v>
          </cell>
          <cell r="D30">
            <v>568203.89631804393</v>
          </cell>
          <cell r="E30">
            <v>0</v>
          </cell>
          <cell r="F30">
            <v>568203.89631804393</v>
          </cell>
          <cell r="G30">
            <v>514450.92492360499</v>
          </cell>
          <cell r="H30">
            <v>53752.97139443893</v>
          </cell>
          <cell r="I30">
            <v>3785786.7866315092</v>
          </cell>
          <cell r="J30">
            <v>1172437.43876608</v>
          </cell>
        </row>
        <row r="31">
          <cell r="A31">
            <v>14</v>
          </cell>
          <cell r="B31">
            <v>44310</v>
          </cell>
          <cell r="C31">
            <v>3785786.7866315092</v>
          </cell>
          <cell r="D31">
            <v>568203.89631804393</v>
          </cell>
          <cell r="E31">
            <v>0</v>
          </cell>
          <cell r="F31">
            <v>568203.89631804393</v>
          </cell>
          <cell r="G31">
            <v>520881.56148515007</v>
          </cell>
          <cell r="H31">
            <v>47322.334832893866</v>
          </cell>
          <cell r="I31">
            <v>3264905.2251463593</v>
          </cell>
          <cell r="J31">
            <v>1219759.7735989739</v>
          </cell>
        </row>
        <row r="32">
          <cell r="A32">
            <v>15</v>
          </cell>
          <cell r="B32">
            <v>44401</v>
          </cell>
          <cell r="C32">
            <v>3264905.2251463593</v>
          </cell>
          <cell r="D32">
            <v>568203.89631804393</v>
          </cell>
          <cell r="E32">
            <v>0</v>
          </cell>
          <cell r="F32">
            <v>568203.89631804393</v>
          </cell>
          <cell r="G32">
            <v>527392.58100371447</v>
          </cell>
          <cell r="H32">
            <v>40811.315314329491</v>
          </cell>
          <cell r="I32">
            <v>2737512.6441426449</v>
          </cell>
          <cell r="J32">
            <v>1260571.0889133033</v>
          </cell>
        </row>
        <row r="33">
          <cell r="A33">
            <v>16</v>
          </cell>
          <cell r="B33">
            <v>44493</v>
          </cell>
          <cell r="C33">
            <v>2737512.6441426449</v>
          </cell>
          <cell r="D33">
            <v>568203.89631804393</v>
          </cell>
          <cell r="E33">
            <v>0</v>
          </cell>
          <cell r="F33">
            <v>568203.89631804393</v>
          </cell>
          <cell r="G33">
            <v>533984.98826626083</v>
          </cell>
          <cell r="H33">
            <v>34218.908051783066</v>
          </cell>
          <cell r="I33">
            <v>2203527.6558763841</v>
          </cell>
          <cell r="J33">
            <v>1294789.9969650863</v>
          </cell>
        </row>
        <row r="34">
          <cell r="A34">
            <v>17</v>
          </cell>
          <cell r="B34">
            <v>44585</v>
          </cell>
          <cell r="C34">
            <v>2203527.6558763841</v>
          </cell>
          <cell r="D34">
            <v>568203.89631804393</v>
          </cell>
          <cell r="E34">
            <v>0</v>
          </cell>
          <cell r="F34">
            <v>568203.89631804393</v>
          </cell>
          <cell r="G34">
            <v>540659.80061958916</v>
          </cell>
          <cell r="H34">
            <v>27544.095698454803</v>
          </cell>
          <cell r="I34">
            <v>1662867.855256795</v>
          </cell>
          <cell r="J34">
            <v>1322334.0926635412</v>
          </cell>
        </row>
        <row r="35">
          <cell r="A35">
            <v>18</v>
          </cell>
          <cell r="B35">
            <v>44675</v>
          </cell>
          <cell r="C35">
            <v>1662867.855256795</v>
          </cell>
          <cell r="D35">
            <v>568203.89631804393</v>
          </cell>
          <cell r="E35">
            <v>0</v>
          </cell>
          <cell r="F35">
            <v>568203.89631804393</v>
          </cell>
          <cell r="G35">
            <v>547418.04812733398</v>
          </cell>
          <cell r="H35">
            <v>20785.848190709938</v>
          </cell>
          <cell r="I35">
            <v>1115449.8071294609</v>
          </cell>
          <cell r="J35">
            <v>1343119.9408542512</v>
          </cell>
        </row>
        <row r="36">
          <cell r="A36">
            <v>19</v>
          </cell>
          <cell r="B36">
            <v>44766</v>
          </cell>
          <cell r="C36">
            <v>1115449.8071294609</v>
          </cell>
          <cell r="D36">
            <v>568203.89631804393</v>
          </cell>
          <cell r="E36">
            <v>0</v>
          </cell>
          <cell r="F36">
            <v>568203.89631804393</v>
          </cell>
          <cell r="G36">
            <v>554260.77372892562</v>
          </cell>
          <cell r="H36">
            <v>13943.122589118262</v>
          </cell>
          <cell r="I36">
            <v>561189.03340053523</v>
          </cell>
          <cell r="J36">
            <v>1357063.0634433695</v>
          </cell>
        </row>
        <row r="37">
          <cell r="A37">
            <v>20</v>
          </cell>
          <cell r="B37">
            <v>44858</v>
          </cell>
          <cell r="C37">
            <v>561189.03340053523</v>
          </cell>
          <cell r="D37">
            <v>568203.89631804393</v>
          </cell>
          <cell r="E37">
            <v>0</v>
          </cell>
          <cell r="F37">
            <v>561189.03340053523</v>
          </cell>
          <cell r="G37">
            <v>554174.17048302852</v>
          </cell>
          <cell r="H37">
            <v>7014.8629175066908</v>
          </cell>
          <cell r="I37">
            <v>0</v>
          </cell>
          <cell r="J37">
            <v>1364077.9263608761</v>
          </cell>
        </row>
        <row r="38">
          <cell r="A38">
            <v>21</v>
          </cell>
          <cell r="B38">
            <v>44950</v>
          </cell>
          <cell r="C38">
            <v>0</v>
          </cell>
          <cell r="D38">
            <v>568203.89631804393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1364077.9263608761</v>
          </cell>
        </row>
        <row r="39">
          <cell r="A39">
            <v>22</v>
          </cell>
          <cell r="B39">
            <v>45040</v>
          </cell>
          <cell r="C39">
            <v>0</v>
          </cell>
          <cell r="D39">
            <v>568203.89631804393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1364077.9263608761</v>
          </cell>
        </row>
        <row r="40">
          <cell r="A40">
            <v>23</v>
          </cell>
          <cell r="B40">
            <v>45131</v>
          </cell>
          <cell r="C40">
            <v>0</v>
          </cell>
          <cell r="D40">
            <v>568203.89631804393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1364077.9263608761</v>
          </cell>
        </row>
        <row r="41">
          <cell r="A41">
            <v>24</v>
          </cell>
          <cell r="B41">
            <v>45223</v>
          </cell>
          <cell r="C41">
            <v>0</v>
          </cell>
          <cell r="D41">
            <v>568203.89631804393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1364077.9263608761</v>
          </cell>
        </row>
        <row r="42">
          <cell r="A42">
            <v>25</v>
          </cell>
          <cell r="B42">
            <v>45315</v>
          </cell>
          <cell r="C42">
            <v>0</v>
          </cell>
          <cell r="D42">
            <v>568203.89631804393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1364077.9263608761</v>
          </cell>
        </row>
        <row r="43">
          <cell r="A43">
            <v>26</v>
          </cell>
          <cell r="B43">
            <v>45406</v>
          </cell>
          <cell r="C43">
            <v>0</v>
          </cell>
          <cell r="D43">
            <v>568203.89631804393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1364077.9263608761</v>
          </cell>
        </row>
        <row r="44">
          <cell r="A44">
            <v>27</v>
          </cell>
          <cell r="B44">
            <v>45497</v>
          </cell>
          <cell r="C44">
            <v>0</v>
          </cell>
          <cell r="D44">
            <v>568203.89631804393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1364077.9263608761</v>
          </cell>
        </row>
        <row r="45">
          <cell r="A45">
            <v>28</v>
          </cell>
          <cell r="B45">
            <v>45589</v>
          </cell>
          <cell r="C45">
            <v>0</v>
          </cell>
          <cell r="D45">
            <v>568203.89631804393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1364077.9263608761</v>
          </cell>
        </row>
        <row r="46">
          <cell r="A46">
            <v>29</v>
          </cell>
          <cell r="B46">
            <v>45681</v>
          </cell>
          <cell r="C46">
            <v>0</v>
          </cell>
          <cell r="D46">
            <v>568203.89631804393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1364077.9263608761</v>
          </cell>
        </row>
        <row r="47">
          <cell r="A47">
            <v>30</v>
          </cell>
          <cell r="B47">
            <v>45771</v>
          </cell>
          <cell r="C47">
            <v>0</v>
          </cell>
          <cell r="D47">
            <v>568203.89631804393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1364077.9263608761</v>
          </cell>
        </row>
        <row r="48">
          <cell r="A48">
            <v>31</v>
          </cell>
          <cell r="B48">
            <v>45862</v>
          </cell>
          <cell r="C48">
            <v>0</v>
          </cell>
          <cell r="D48">
            <v>568203.89631804393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1364077.9263608761</v>
          </cell>
        </row>
        <row r="49">
          <cell r="A49">
            <v>32</v>
          </cell>
          <cell r="B49">
            <v>45954</v>
          </cell>
          <cell r="C49">
            <v>0</v>
          </cell>
          <cell r="D49">
            <v>568203.89631804393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1364077.9263608761</v>
          </cell>
        </row>
        <row r="50">
          <cell r="A50">
            <v>33</v>
          </cell>
          <cell r="B50">
            <v>46046</v>
          </cell>
          <cell r="C50">
            <v>0</v>
          </cell>
          <cell r="D50">
            <v>568203.89631804393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1364077.9263608761</v>
          </cell>
        </row>
        <row r="51">
          <cell r="A51">
            <v>34</v>
          </cell>
          <cell r="B51">
            <v>46136</v>
          </cell>
          <cell r="C51">
            <v>0</v>
          </cell>
          <cell r="D51">
            <v>568203.89631804393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1364077.9263608761</v>
          </cell>
        </row>
        <row r="52">
          <cell r="A52">
            <v>35</v>
          </cell>
          <cell r="B52">
            <v>46227</v>
          </cell>
          <cell r="C52">
            <v>0</v>
          </cell>
          <cell r="D52">
            <v>568203.89631804393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1364077.9263608761</v>
          </cell>
        </row>
        <row r="53">
          <cell r="A53">
            <v>36</v>
          </cell>
          <cell r="B53">
            <v>46319</v>
          </cell>
          <cell r="C53">
            <v>0</v>
          </cell>
          <cell r="D53">
            <v>568203.89631804393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1364077.9263608761</v>
          </cell>
        </row>
        <row r="54">
          <cell r="A54">
            <v>37</v>
          </cell>
          <cell r="B54">
            <v>46411</v>
          </cell>
          <cell r="C54">
            <v>0</v>
          </cell>
          <cell r="D54">
            <v>568203.89631804393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1364077.9263608761</v>
          </cell>
        </row>
        <row r="55">
          <cell r="A55">
            <v>38</v>
          </cell>
          <cell r="B55">
            <v>46501</v>
          </cell>
          <cell r="C55">
            <v>0</v>
          </cell>
          <cell r="D55">
            <v>568203.89631804393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1364077.9263608761</v>
          </cell>
        </row>
        <row r="56">
          <cell r="A56">
            <v>39</v>
          </cell>
          <cell r="B56">
            <v>46592</v>
          </cell>
          <cell r="C56">
            <v>0</v>
          </cell>
          <cell r="D56">
            <v>568203.89631804393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1364077.9263608761</v>
          </cell>
        </row>
        <row r="57">
          <cell r="A57">
            <v>40</v>
          </cell>
          <cell r="B57">
            <v>46684</v>
          </cell>
          <cell r="C57">
            <v>0</v>
          </cell>
          <cell r="D57">
            <v>568203.89631804393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1364077.9263608761</v>
          </cell>
        </row>
        <row r="58">
          <cell r="A58">
            <v>41</v>
          </cell>
          <cell r="B58">
            <v>46776</v>
          </cell>
          <cell r="C58">
            <v>0</v>
          </cell>
          <cell r="D58">
            <v>568203.89631804393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1364077.9263608761</v>
          </cell>
        </row>
        <row r="59">
          <cell r="A59">
            <v>42</v>
          </cell>
          <cell r="B59">
            <v>46867</v>
          </cell>
          <cell r="C59">
            <v>0</v>
          </cell>
          <cell r="D59">
            <v>568203.89631804393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1364077.9263608761</v>
          </cell>
        </row>
        <row r="60">
          <cell r="A60">
            <v>43</v>
          </cell>
          <cell r="B60">
            <v>46958</v>
          </cell>
          <cell r="C60">
            <v>0</v>
          </cell>
          <cell r="D60">
            <v>568203.89631804393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1364077.9263608761</v>
          </cell>
        </row>
        <row r="61">
          <cell r="A61">
            <v>44</v>
          </cell>
          <cell r="B61">
            <v>47050</v>
          </cell>
          <cell r="C61">
            <v>0</v>
          </cell>
          <cell r="D61">
            <v>568203.89631804393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1364077.9263608761</v>
          </cell>
        </row>
        <row r="62">
          <cell r="A62">
            <v>45</v>
          </cell>
          <cell r="B62">
            <v>47142</v>
          </cell>
          <cell r="C62">
            <v>0</v>
          </cell>
          <cell r="D62">
            <v>568203.89631804393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1364077.9263608761</v>
          </cell>
        </row>
        <row r="63">
          <cell r="A63">
            <v>46</v>
          </cell>
          <cell r="B63">
            <v>47232</v>
          </cell>
          <cell r="C63">
            <v>0</v>
          </cell>
          <cell r="D63">
            <v>568203.89631804393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1364077.9263608761</v>
          </cell>
        </row>
        <row r="64">
          <cell r="A64">
            <v>47</v>
          </cell>
          <cell r="B64">
            <v>47323</v>
          </cell>
          <cell r="C64">
            <v>0</v>
          </cell>
          <cell r="D64">
            <v>568203.89631804393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1364077.9263608761</v>
          </cell>
        </row>
        <row r="65">
          <cell r="A65">
            <v>48</v>
          </cell>
          <cell r="B65">
            <v>47415</v>
          </cell>
          <cell r="C65">
            <v>0</v>
          </cell>
          <cell r="D65">
            <v>568203.89631804393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1364077.9263608761</v>
          </cell>
        </row>
        <row r="66">
          <cell r="A66">
            <v>49</v>
          </cell>
          <cell r="B66">
            <v>47507</v>
          </cell>
          <cell r="C66">
            <v>0</v>
          </cell>
          <cell r="D66">
            <v>568203.89631804393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1364077.9263608761</v>
          </cell>
        </row>
        <row r="67">
          <cell r="A67">
            <v>50</v>
          </cell>
          <cell r="B67">
            <v>47597</v>
          </cell>
          <cell r="C67">
            <v>0</v>
          </cell>
          <cell r="D67">
            <v>568203.89631804393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1364077.9263608761</v>
          </cell>
        </row>
        <row r="68">
          <cell r="A68">
            <v>51</v>
          </cell>
          <cell r="B68">
            <v>47688</v>
          </cell>
          <cell r="C68">
            <v>0</v>
          </cell>
          <cell r="D68">
            <v>568203.89631804393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1364077.9263608761</v>
          </cell>
        </row>
        <row r="69">
          <cell r="A69">
            <v>52</v>
          </cell>
          <cell r="B69">
            <v>47780</v>
          </cell>
          <cell r="C69">
            <v>0</v>
          </cell>
          <cell r="D69">
            <v>568203.89631804393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1364077.9263608761</v>
          </cell>
        </row>
        <row r="70">
          <cell r="A70">
            <v>53</v>
          </cell>
          <cell r="B70">
            <v>47872</v>
          </cell>
          <cell r="C70">
            <v>0</v>
          </cell>
          <cell r="D70">
            <v>568203.89631804393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1364077.9263608761</v>
          </cell>
        </row>
        <row r="71">
          <cell r="A71">
            <v>54</v>
          </cell>
          <cell r="B71">
            <v>47962</v>
          </cell>
          <cell r="C71">
            <v>0</v>
          </cell>
          <cell r="D71">
            <v>568203.89631804393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1364077.9263608761</v>
          </cell>
        </row>
        <row r="72">
          <cell r="A72">
            <v>55</v>
          </cell>
          <cell r="B72">
            <v>48053</v>
          </cell>
          <cell r="C72">
            <v>0</v>
          </cell>
          <cell r="D72">
            <v>568203.89631804393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1364077.9263608761</v>
          </cell>
        </row>
        <row r="73">
          <cell r="A73">
            <v>56</v>
          </cell>
          <cell r="B73">
            <v>48145</v>
          </cell>
          <cell r="C73">
            <v>0</v>
          </cell>
          <cell r="D73">
            <v>568203.89631804393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1364077.9263608761</v>
          </cell>
        </row>
        <row r="74">
          <cell r="A74">
            <v>57</v>
          </cell>
          <cell r="B74">
            <v>48237</v>
          </cell>
          <cell r="C74">
            <v>0</v>
          </cell>
          <cell r="D74">
            <v>568203.89631804393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1364077.9263608761</v>
          </cell>
        </row>
        <row r="75">
          <cell r="A75">
            <v>58</v>
          </cell>
          <cell r="B75">
            <v>48328</v>
          </cell>
          <cell r="C75">
            <v>0</v>
          </cell>
          <cell r="D75">
            <v>568203.89631804393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1364077.9263608761</v>
          </cell>
        </row>
        <row r="76">
          <cell r="A76">
            <v>59</v>
          </cell>
          <cell r="B76">
            <v>48419</v>
          </cell>
          <cell r="C76">
            <v>0</v>
          </cell>
          <cell r="D76">
            <v>568203.89631804393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1364077.9263608761</v>
          </cell>
        </row>
        <row r="77">
          <cell r="A77">
            <v>60</v>
          </cell>
          <cell r="B77">
            <v>48511</v>
          </cell>
          <cell r="C77">
            <v>0</v>
          </cell>
          <cell r="D77">
            <v>568203.89631804393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1364077.9263608761</v>
          </cell>
        </row>
        <row r="78">
          <cell r="A78">
            <v>61</v>
          </cell>
          <cell r="B78">
            <v>48603</v>
          </cell>
          <cell r="C78">
            <v>0</v>
          </cell>
          <cell r="D78">
            <v>568203.89631804393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1364077.9263608761</v>
          </cell>
        </row>
        <row r="79">
          <cell r="A79">
            <v>62</v>
          </cell>
          <cell r="B79">
            <v>48693</v>
          </cell>
          <cell r="C79">
            <v>0</v>
          </cell>
          <cell r="D79">
            <v>568203.89631804393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1364077.9263608761</v>
          </cell>
        </row>
        <row r="80">
          <cell r="A80">
            <v>63</v>
          </cell>
          <cell r="B80">
            <v>48784</v>
          </cell>
          <cell r="C80">
            <v>0</v>
          </cell>
          <cell r="D80">
            <v>568203.89631804393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1364077.9263608761</v>
          </cell>
        </row>
        <row r="81">
          <cell r="A81">
            <v>64</v>
          </cell>
          <cell r="B81">
            <v>48876</v>
          </cell>
          <cell r="C81">
            <v>0</v>
          </cell>
          <cell r="D81">
            <v>568203.89631804393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1364077.9263608761</v>
          </cell>
        </row>
        <row r="82">
          <cell r="A82">
            <v>65</v>
          </cell>
          <cell r="B82">
            <v>48968</v>
          </cell>
          <cell r="C82">
            <v>0</v>
          </cell>
          <cell r="D82">
            <v>568203.89631804393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1364077.9263608761</v>
          </cell>
        </row>
        <row r="83">
          <cell r="A83">
            <v>66</v>
          </cell>
          <cell r="B83">
            <v>49058</v>
          </cell>
          <cell r="C83">
            <v>0</v>
          </cell>
          <cell r="D83">
            <v>568203.89631804393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1364077.9263608761</v>
          </cell>
        </row>
        <row r="84">
          <cell r="A84">
            <v>67</v>
          </cell>
          <cell r="B84">
            <v>49149</v>
          </cell>
          <cell r="C84">
            <v>0</v>
          </cell>
          <cell r="D84">
            <v>568203.89631804393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1364077.9263608761</v>
          </cell>
        </row>
        <row r="85">
          <cell r="A85">
            <v>68</v>
          </cell>
          <cell r="B85">
            <v>49241</v>
          </cell>
          <cell r="C85">
            <v>0</v>
          </cell>
          <cell r="D85">
            <v>568203.89631804393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1364077.9263608761</v>
          </cell>
        </row>
        <row r="86">
          <cell r="A86">
            <v>69</v>
          </cell>
          <cell r="B86">
            <v>49333</v>
          </cell>
          <cell r="C86">
            <v>0</v>
          </cell>
          <cell r="D86">
            <v>568203.89631804393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1364077.9263608761</v>
          </cell>
        </row>
        <row r="87">
          <cell r="A87">
            <v>70</v>
          </cell>
          <cell r="B87">
            <v>49423</v>
          </cell>
          <cell r="C87">
            <v>0</v>
          </cell>
          <cell r="D87">
            <v>568203.89631804393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1364077.9263608761</v>
          </cell>
        </row>
        <row r="88">
          <cell r="A88">
            <v>71</v>
          </cell>
          <cell r="B88">
            <v>49514</v>
          </cell>
          <cell r="C88">
            <v>0</v>
          </cell>
          <cell r="D88">
            <v>568203.89631804393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1364077.9263608761</v>
          </cell>
        </row>
        <row r="89">
          <cell r="A89">
            <v>72</v>
          </cell>
          <cell r="B89">
            <v>49606</v>
          </cell>
          <cell r="C89">
            <v>0</v>
          </cell>
          <cell r="D89">
            <v>568203.89631804393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1364077.9263608761</v>
          </cell>
        </row>
        <row r="90">
          <cell r="A90">
            <v>73</v>
          </cell>
          <cell r="B90">
            <v>49698</v>
          </cell>
          <cell r="C90">
            <v>0</v>
          </cell>
          <cell r="D90">
            <v>568203.89631804393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1364077.9263608761</v>
          </cell>
        </row>
        <row r="91">
          <cell r="A91">
            <v>74</v>
          </cell>
          <cell r="B91">
            <v>49789</v>
          </cell>
          <cell r="C91">
            <v>0</v>
          </cell>
          <cell r="D91">
            <v>568203.89631804393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1364077.9263608761</v>
          </cell>
        </row>
        <row r="92">
          <cell r="A92">
            <v>75</v>
          </cell>
          <cell r="B92">
            <v>49880</v>
          </cell>
          <cell r="C92">
            <v>0</v>
          </cell>
          <cell r="D92">
            <v>568203.89631804393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1364077.9263608761</v>
          </cell>
        </row>
        <row r="93">
          <cell r="A93">
            <v>76</v>
          </cell>
          <cell r="B93">
            <v>49972</v>
          </cell>
          <cell r="C93">
            <v>0</v>
          </cell>
          <cell r="D93">
            <v>568203.89631804393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1364077.9263608761</v>
          </cell>
        </row>
        <row r="94">
          <cell r="A94">
            <v>77</v>
          </cell>
          <cell r="B94">
            <v>50064</v>
          </cell>
          <cell r="C94">
            <v>0</v>
          </cell>
          <cell r="D94">
            <v>568203.89631804393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1364077.9263608761</v>
          </cell>
        </row>
        <row r="95">
          <cell r="A95">
            <v>78</v>
          </cell>
          <cell r="B95">
            <v>50154</v>
          </cell>
          <cell r="C95">
            <v>0</v>
          </cell>
          <cell r="D95">
            <v>568203.89631804393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1364077.9263608761</v>
          </cell>
        </row>
        <row r="96">
          <cell r="A96">
            <v>79</v>
          </cell>
          <cell r="B96">
            <v>50245</v>
          </cell>
          <cell r="C96">
            <v>0</v>
          </cell>
          <cell r="D96">
            <v>568203.89631804393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1364077.9263608761</v>
          </cell>
        </row>
        <row r="97">
          <cell r="A97">
            <v>80</v>
          </cell>
          <cell r="B97">
            <v>50337</v>
          </cell>
          <cell r="C97">
            <v>0</v>
          </cell>
          <cell r="D97">
            <v>568203.89631804393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1364077.9263608761</v>
          </cell>
        </row>
        <row r="98">
          <cell r="A98">
            <v>81</v>
          </cell>
          <cell r="B98">
            <v>50429</v>
          </cell>
          <cell r="C98">
            <v>0</v>
          </cell>
          <cell r="D98">
            <v>568203.89631804393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1364077.9263608761</v>
          </cell>
        </row>
        <row r="99">
          <cell r="A99">
            <v>82</v>
          </cell>
          <cell r="B99">
            <v>50519</v>
          </cell>
          <cell r="C99">
            <v>0</v>
          </cell>
          <cell r="D99">
            <v>568203.89631804393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1364077.9263608761</v>
          </cell>
        </row>
        <row r="100">
          <cell r="A100">
            <v>83</v>
          </cell>
          <cell r="B100">
            <v>50610</v>
          </cell>
          <cell r="C100">
            <v>0</v>
          </cell>
          <cell r="D100">
            <v>568203.89631804393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1364077.9263608761</v>
          </cell>
        </row>
        <row r="101">
          <cell r="A101">
            <v>84</v>
          </cell>
          <cell r="B101">
            <v>50702</v>
          </cell>
          <cell r="C101">
            <v>0</v>
          </cell>
          <cell r="D101">
            <v>568203.89631804393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1364077.9263608761</v>
          </cell>
        </row>
        <row r="102">
          <cell r="A102">
            <v>85</v>
          </cell>
          <cell r="B102">
            <v>50794</v>
          </cell>
          <cell r="C102">
            <v>0</v>
          </cell>
          <cell r="D102">
            <v>568203.89631804393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1364077.9263608761</v>
          </cell>
        </row>
        <row r="103">
          <cell r="A103">
            <v>86</v>
          </cell>
          <cell r="B103">
            <v>50884</v>
          </cell>
          <cell r="C103">
            <v>0</v>
          </cell>
          <cell r="D103">
            <v>568203.89631804393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1364077.9263608761</v>
          </cell>
        </row>
        <row r="104">
          <cell r="A104">
            <v>87</v>
          </cell>
          <cell r="B104">
            <v>50975</v>
          </cell>
          <cell r="C104">
            <v>0</v>
          </cell>
          <cell r="D104">
            <v>568203.89631804393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1364077.9263608761</v>
          </cell>
        </row>
        <row r="105">
          <cell r="A105">
            <v>88</v>
          </cell>
          <cell r="B105">
            <v>51067</v>
          </cell>
          <cell r="C105">
            <v>0</v>
          </cell>
          <cell r="D105">
            <v>568203.89631804393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1364077.9263608761</v>
          </cell>
        </row>
        <row r="106">
          <cell r="A106">
            <v>89</v>
          </cell>
          <cell r="B106">
            <v>51159</v>
          </cell>
          <cell r="C106">
            <v>0</v>
          </cell>
          <cell r="D106">
            <v>568203.89631804393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1364077.9263608761</v>
          </cell>
        </row>
        <row r="107">
          <cell r="A107">
            <v>90</v>
          </cell>
          <cell r="B107">
            <v>51250</v>
          </cell>
          <cell r="C107">
            <v>0</v>
          </cell>
          <cell r="D107">
            <v>568203.89631804393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1364077.9263608761</v>
          </cell>
        </row>
        <row r="108">
          <cell r="A108">
            <v>91</v>
          </cell>
          <cell r="B108">
            <v>51341</v>
          </cell>
          <cell r="C108">
            <v>0</v>
          </cell>
          <cell r="D108">
            <v>568203.89631804393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1364077.9263608761</v>
          </cell>
        </row>
        <row r="109">
          <cell r="A109">
            <v>92</v>
          </cell>
          <cell r="B109">
            <v>51433</v>
          </cell>
          <cell r="C109">
            <v>0</v>
          </cell>
          <cell r="D109">
            <v>568203.89631804393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1364077.9263608761</v>
          </cell>
        </row>
        <row r="110">
          <cell r="A110">
            <v>93</v>
          </cell>
          <cell r="B110">
            <v>51525</v>
          </cell>
          <cell r="C110">
            <v>0</v>
          </cell>
          <cell r="D110">
            <v>568203.89631804393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1364077.9263608761</v>
          </cell>
        </row>
        <row r="111">
          <cell r="A111">
            <v>94</v>
          </cell>
          <cell r="B111">
            <v>51615</v>
          </cell>
          <cell r="C111">
            <v>0</v>
          </cell>
          <cell r="D111">
            <v>568203.89631804393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1364077.9263608761</v>
          </cell>
        </row>
        <row r="112">
          <cell r="A112">
            <v>95</v>
          </cell>
          <cell r="B112">
            <v>51706</v>
          </cell>
          <cell r="C112">
            <v>0</v>
          </cell>
          <cell r="D112">
            <v>568203.89631804393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1364077.9263608761</v>
          </cell>
        </row>
        <row r="113">
          <cell r="A113">
            <v>96</v>
          </cell>
          <cell r="B113">
            <v>51798</v>
          </cell>
          <cell r="C113">
            <v>0</v>
          </cell>
          <cell r="D113">
            <v>568203.89631804393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1364077.9263608761</v>
          </cell>
        </row>
        <row r="114">
          <cell r="A114">
            <v>97</v>
          </cell>
          <cell r="B114">
            <v>51890</v>
          </cell>
          <cell r="C114">
            <v>0</v>
          </cell>
          <cell r="D114">
            <v>568203.89631804393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1364077.9263608761</v>
          </cell>
        </row>
        <row r="115">
          <cell r="A115">
            <v>98</v>
          </cell>
          <cell r="B115">
            <v>51980</v>
          </cell>
          <cell r="C115">
            <v>0</v>
          </cell>
          <cell r="D115">
            <v>568203.89631804393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1364077.9263608761</v>
          </cell>
        </row>
        <row r="116">
          <cell r="A116">
            <v>99</v>
          </cell>
          <cell r="B116">
            <v>52071</v>
          </cell>
          <cell r="C116">
            <v>0</v>
          </cell>
          <cell r="D116">
            <v>568203.89631804393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1364077.9263608761</v>
          </cell>
        </row>
        <row r="117">
          <cell r="A117">
            <v>100</v>
          </cell>
          <cell r="B117">
            <v>52163</v>
          </cell>
          <cell r="C117">
            <v>0</v>
          </cell>
          <cell r="D117">
            <v>568203.89631804393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1364077.9263608761</v>
          </cell>
        </row>
        <row r="118">
          <cell r="A118">
            <v>101</v>
          </cell>
          <cell r="B118">
            <v>52255</v>
          </cell>
          <cell r="C118">
            <v>0</v>
          </cell>
          <cell r="D118">
            <v>568203.89631804393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1364077.9263608761</v>
          </cell>
        </row>
        <row r="119">
          <cell r="A119">
            <v>102</v>
          </cell>
          <cell r="B119">
            <v>52345</v>
          </cell>
          <cell r="C119">
            <v>0</v>
          </cell>
          <cell r="D119">
            <v>568203.89631804393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1364077.9263608761</v>
          </cell>
        </row>
        <row r="120">
          <cell r="A120">
            <v>103</v>
          </cell>
          <cell r="B120">
            <v>52436</v>
          </cell>
          <cell r="C120">
            <v>0</v>
          </cell>
          <cell r="D120">
            <v>568203.89631804393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1364077.9263608761</v>
          </cell>
        </row>
        <row r="121">
          <cell r="A121">
            <v>104</v>
          </cell>
          <cell r="B121">
            <v>52528</v>
          </cell>
          <cell r="C121">
            <v>0</v>
          </cell>
          <cell r="D121">
            <v>568203.89631804393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1364077.9263608761</v>
          </cell>
        </row>
        <row r="122">
          <cell r="A122">
            <v>105</v>
          </cell>
          <cell r="B122">
            <v>52620</v>
          </cell>
          <cell r="C122">
            <v>0</v>
          </cell>
          <cell r="D122">
            <v>568203.89631804393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1364077.9263608761</v>
          </cell>
        </row>
        <row r="123">
          <cell r="A123">
            <v>106</v>
          </cell>
          <cell r="B123">
            <v>52711</v>
          </cell>
          <cell r="C123">
            <v>0</v>
          </cell>
          <cell r="D123">
            <v>568203.89631804393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1364077.9263608761</v>
          </cell>
        </row>
        <row r="124">
          <cell r="A124">
            <v>107</v>
          </cell>
          <cell r="B124">
            <v>52802</v>
          </cell>
          <cell r="C124">
            <v>0</v>
          </cell>
          <cell r="D124">
            <v>568203.89631804393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1364077.9263608761</v>
          </cell>
        </row>
        <row r="125">
          <cell r="A125">
            <v>108</v>
          </cell>
          <cell r="B125">
            <v>52894</v>
          </cell>
          <cell r="C125">
            <v>0</v>
          </cell>
          <cell r="D125">
            <v>568203.89631804393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1364077.9263608761</v>
          </cell>
        </row>
        <row r="126">
          <cell r="A126">
            <v>109</v>
          </cell>
          <cell r="B126">
            <v>52986</v>
          </cell>
          <cell r="C126">
            <v>0</v>
          </cell>
          <cell r="D126">
            <v>568203.89631804393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1364077.9263608761</v>
          </cell>
        </row>
        <row r="127">
          <cell r="A127">
            <v>110</v>
          </cell>
          <cell r="B127">
            <v>53076</v>
          </cell>
          <cell r="C127">
            <v>0</v>
          </cell>
          <cell r="D127">
            <v>568203.89631804393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1364077.9263608761</v>
          </cell>
        </row>
        <row r="128">
          <cell r="A128">
            <v>111</v>
          </cell>
          <cell r="B128">
            <v>53167</v>
          </cell>
          <cell r="C128">
            <v>0</v>
          </cell>
          <cell r="D128">
            <v>568203.89631804393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1364077.9263608761</v>
          </cell>
        </row>
        <row r="129">
          <cell r="A129">
            <v>112</v>
          </cell>
          <cell r="B129">
            <v>53259</v>
          </cell>
          <cell r="C129">
            <v>0</v>
          </cell>
          <cell r="D129">
            <v>568203.89631804393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1364077.9263608761</v>
          </cell>
        </row>
        <row r="130">
          <cell r="A130">
            <v>113</v>
          </cell>
          <cell r="B130">
            <v>53351</v>
          </cell>
          <cell r="C130">
            <v>0</v>
          </cell>
          <cell r="D130">
            <v>568203.89631804393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1364077.9263608761</v>
          </cell>
        </row>
        <row r="131">
          <cell r="A131">
            <v>114</v>
          </cell>
          <cell r="B131">
            <v>53441</v>
          </cell>
          <cell r="C131">
            <v>0</v>
          </cell>
          <cell r="D131">
            <v>568203.89631804393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1364077.9263608761</v>
          </cell>
        </row>
        <row r="132">
          <cell r="A132">
            <v>115</v>
          </cell>
          <cell r="B132">
            <v>53532</v>
          </cell>
          <cell r="C132">
            <v>0</v>
          </cell>
          <cell r="D132">
            <v>568203.89631804393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1364077.9263608761</v>
          </cell>
        </row>
        <row r="133">
          <cell r="A133">
            <v>116</v>
          </cell>
          <cell r="B133">
            <v>53624</v>
          </cell>
          <cell r="C133">
            <v>0</v>
          </cell>
          <cell r="D133">
            <v>568203.89631804393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1364077.9263608761</v>
          </cell>
        </row>
        <row r="134">
          <cell r="A134">
            <v>117</v>
          </cell>
          <cell r="B134">
            <v>53716</v>
          </cell>
          <cell r="C134">
            <v>0</v>
          </cell>
          <cell r="D134">
            <v>568203.89631804393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1364077.9263608761</v>
          </cell>
        </row>
        <row r="135">
          <cell r="A135">
            <v>118</v>
          </cell>
          <cell r="B135">
            <v>53806</v>
          </cell>
          <cell r="C135">
            <v>0</v>
          </cell>
          <cell r="D135">
            <v>568203.89631804393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1364077.9263608761</v>
          </cell>
        </row>
        <row r="136">
          <cell r="A136">
            <v>119</v>
          </cell>
          <cell r="B136">
            <v>53897</v>
          </cell>
          <cell r="C136">
            <v>0</v>
          </cell>
          <cell r="D136">
            <v>568203.89631804393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1364077.9263608761</v>
          </cell>
        </row>
        <row r="137">
          <cell r="A137">
            <v>120</v>
          </cell>
          <cell r="B137">
            <v>53989</v>
          </cell>
          <cell r="C137">
            <v>0</v>
          </cell>
          <cell r="D137">
            <v>568203.89631804393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1364077.9263608761</v>
          </cell>
        </row>
        <row r="138">
          <cell r="A138">
            <v>121</v>
          </cell>
          <cell r="B138">
            <v>54081</v>
          </cell>
          <cell r="C138">
            <v>0</v>
          </cell>
          <cell r="D138">
            <v>568203.89631804393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1364077.9263608761</v>
          </cell>
        </row>
        <row r="139">
          <cell r="A139">
            <v>122</v>
          </cell>
          <cell r="B139">
            <v>54172</v>
          </cell>
          <cell r="C139">
            <v>0</v>
          </cell>
          <cell r="D139">
            <v>568203.89631804393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1364077.9263608761</v>
          </cell>
        </row>
        <row r="140">
          <cell r="A140">
            <v>123</v>
          </cell>
          <cell r="B140">
            <v>54263</v>
          </cell>
          <cell r="C140">
            <v>0</v>
          </cell>
          <cell r="D140">
            <v>568203.89631804393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1364077.9263608761</v>
          </cell>
        </row>
        <row r="141">
          <cell r="A141">
            <v>124</v>
          </cell>
          <cell r="B141">
            <v>54355</v>
          </cell>
          <cell r="C141">
            <v>0</v>
          </cell>
          <cell r="D141">
            <v>568203.89631804393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1364077.9263608761</v>
          </cell>
        </row>
        <row r="142">
          <cell r="A142">
            <v>125</v>
          </cell>
          <cell r="B142">
            <v>54447</v>
          </cell>
          <cell r="C142">
            <v>0</v>
          </cell>
          <cell r="D142">
            <v>568203.89631804393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1364077.9263608761</v>
          </cell>
        </row>
        <row r="143">
          <cell r="A143">
            <v>126</v>
          </cell>
          <cell r="B143">
            <v>54537</v>
          </cell>
          <cell r="C143">
            <v>0</v>
          </cell>
          <cell r="D143">
            <v>568203.89631804393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1364077.9263608761</v>
          </cell>
        </row>
        <row r="144">
          <cell r="A144">
            <v>127</v>
          </cell>
          <cell r="B144">
            <v>54628</v>
          </cell>
          <cell r="C144">
            <v>0</v>
          </cell>
          <cell r="D144">
            <v>568203.89631804393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1364077.9263608761</v>
          </cell>
        </row>
        <row r="145">
          <cell r="A145">
            <v>128</v>
          </cell>
          <cell r="B145">
            <v>54720</v>
          </cell>
          <cell r="C145">
            <v>0</v>
          </cell>
          <cell r="D145">
            <v>568203.89631804393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1364077.9263608761</v>
          </cell>
        </row>
        <row r="146">
          <cell r="A146">
            <v>129</v>
          </cell>
          <cell r="B146">
            <v>54812</v>
          </cell>
          <cell r="C146">
            <v>0</v>
          </cell>
          <cell r="D146">
            <v>568203.89631804393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1364077.9263608761</v>
          </cell>
        </row>
        <row r="147">
          <cell r="A147">
            <v>130</v>
          </cell>
          <cell r="B147">
            <v>54902</v>
          </cell>
          <cell r="C147">
            <v>0</v>
          </cell>
          <cell r="D147">
            <v>568203.89631804393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1364077.9263608761</v>
          </cell>
        </row>
        <row r="148">
          <cell r="A148">
            <v>131</v>
          </cell>
          <cell r="B148">
            <v>54993</v>
          </cell>
          <cell r="C148">
            <v>0</v>
          </cell>
          <cell r="D148">
            <v>568203.89631804393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1364077.9263608761</v>
          </cell>
        </row>
        <row r="149">
          <cell r="A149">
            <v>132</v>
          </cell>
          <cell r="B149">
            <v>55085</v>
          </cell>
          <cell r="C149">
            <v>0</v>
          </cell>
          <cell r="D149">
            <v>568203.89631804393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1364077.9263608761</v>
          </cell>
        </row>
        <row r="150">
          <cell r="A150">
            <v>133</v>
          </cell>
          <cell r="B150">
            <v>55177</v>
          </cell>
          <cell r="C150">
            <v>0</v>
          </cell>
          <cell r="D150">
            <v>568203.89631804393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1364077.9263608761</v>
          </cell>
        </row>
        <row r="151">
          <cell r="A151">
            <v>134</v>
          </cell>
          <cell r="B151">
            <v>55267</v>
          </cell>
          <cell r="C151">
            <v>0</v>
          </cell>
          <cell r="D151">
            <v>568203.89631804393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1364077.9263608761</v>
          </cell>
        </row>
        <row r="152">
          <cell r="A152">
            <v>135</v>
          </cell>
          <cell r="B152">
            <v>55358</v>
          </cell>
          <cell r="C152">
            <v>0</v>
          </cell>
          <cell r="D152">
            <v>568203.89631804393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1364077.9263608761</v>
          </cell>
        </row>
        <row r="153">
          <cell r="A153">
            <v>136</v>
          </cell>
          <cell r="B153">
            <v>55450</v>
          </cell>
          <cell r="C153">
            <v>0</v>
          </cell>
          <cell r="D153">
            <v>568203.89631804393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1364077.9263608761</v>
          </cell>
        </row>
        <row r="154">
          <cell r="A154">
            <v>137</v>
          </cell>
          <cell r="B154">
            <v>55542</v>
          </cell>
          <cell r="C154">
            <v>0</v>
          </cell>
          <cell r="D154">
            <v>568203.89631804393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1364077.9263608761</v>
          </cell>
        </row>
        <row r="155">
          <cell r="A155">
            <v>138</v>
          </cell>
          <cell r="B155">
            <v>55633</v>
          </cell>
          <cell r="C155">
            <v>0</v>
          </cell>
          <cell r="D155">
            <v>568203.89631804393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1364077.9263608761</v>
          </cell>
        </row>
        <row r="156">
          <cell r="A156">
            <v>139</v>
          </cell>
          <cell r="B156">
            <v>55724</v>
          </cell>
          <cell r="C156">
            <v>0</v>
          </cell>
          <cell r="D156">
            <v>568203.89631804393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1364077.9263608761</v>
          </cell>
        </row>
        <row r="157">
          <cell r="A157">
            <v>140</v>
          </cell>
          <cell r="B157">
            <v>55816</v>
          </cell>
          <cell r="C157">
            <v>0</v>
          </cell>
          <cell r="D157">
            <v>568203.89631804393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1364077.9263608761</v>
          </cell>
        </row>
        <row r="158">
          <cell r="A158">
            <v>141</v>
          </cell>
          <cell r="B158">
            <v>55908</v>
          </cell>
          <cell r="C158">
            <v>0</v>
          </cell>
          <cell r="D158">
            <v>568203.89631804393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1364077.9263608761</v>
          </cell>
        </row>
        <row r="159">
          <cell r="A159">
            <v>142</v>
          </cell>
          <cell r="B159">
            <v>55998</v>
          </cell>
          <cell r="C159">
            <v>0</v>
          </cell>
          <cell r="D159">
            <v>568203.89631804393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1364077.9263608761</v>
          </cell>
        </row>
        <row r="160">
          <cell r="A160">
            <v>143</v>
          </cell>
          <cell r="B160">
            <v>56089</v>
          </cell>
          <cell r="C160">
            <v>0</v>
          </cell>
          <cell r="D160">
            <v>568203.89631804393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1364077.9263608761</v>
          </cell>
        </row>
        <row r="161">
          <cell r="A161">
            <v>144</v>
          </cell>
          <cell r="B161">
            <v>56181</v>
          </cell>
          <cell r="C161">
            <v>0</v>
          </cell>
          <cell r="D161">
            <v>568203.89631804393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1364077.9263608761</v>
          </cell>
        </row>
        <row r="162">
          <cell r="A162">
            <v>145</v>
          </cell>
          <cell r="B162">
            <v>56273</v>
          </cell>
          <cell r="C162">
            <v>0</v>
          </cell>
          <cell r="D162">
            <v>568203.89631804393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1364077.9263608761</v>
          </cell>
        </row>
        <row r="163">
          <cell r="A163">
            <v>146</v>
          </cell>
          <cell r="B163">
            <v>56363</v>
          </cell>
          <cell r="C163">
            <v>0</v>
          </cell>
          <cell r="D163">
            <v>568203.89631804393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1364077.9263608761</v>
          </cell>
        </row>
        <row r="164">
          <cell r="A164">
            <v>147</v>
          </cell>
          <cell r="B164">
            <v>56454</v>
          </cell>
          <cell r="C164">
            <v>0</v>
          </cell>
          <cell r="D164">
            <v>568203.89631804393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1364077.9263608761</v>
          </cell>
        </row>
        <row r="165">
          <cell r="A165">
            <v>148</v>
          </cell>
          <cell r="B165">
            <v>56546</v>
          </cell>
          <cell r="C165">
            <v>0</v>
          </cell>
          <cell r="D165">
            <v>568203.89631804393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1364077.9263608761</v>
          </cell>
        </row>
        <row r="166">
          <cell r="A166">
            <v>149</v>
          </cell>
          <cell r="B166">
            <v>56638</v>
          </cell>
          <cell r="C166">
            <v>0</v>
          </cell>
          <cell r="D166">
            <v>568203.89631804393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1364077.9263608761</v>
          </cell>
        </row>
        <row r="167">
          <cell r="A167">
            <v>150</v>
          </cell>
          <cell r="B167">
            <v>56728</v>
          </cell>
          <cell r="C167">
            <v>0</v>
          </cell>
          <cell r="D167">
            <v>568203.89631804393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1364077.9263608761</v>
          </cell>
        </row>
        <row r="168">
          <cell r="A168">
            <v>151</v>
          </cell>
          <cell r="B168">
            <v>56819</v>
          </cell>
          <cell r="C168">
            <v>0</v>
          </cell>
          <cell r="D168">
            <v>568203.89631804393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1364077.9263608761</v>
          </cell>
        </row>
        <row r="169">
          <cell r="A169">
            <v>152</v>
          </cell>
          <cell r="B169">
            <v>56911</v>
          </cell>
          <cell r="C169">
            <v>0</v>
          </cell>
          <cell r="D169">
            <v>568203.89631804393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1364077.9263608761</v>
          </cell>
        </row>
        <row r="170">
          <cell r="A170">
            <v>153</v>
          </cell>
          <cell r="B170">
            <v>57003</v>
          </cell>
          <cell r="C170">
            <v>0</v>
          </cell>
          <cell r="D170">
            <v>568203.89631804393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1364077.9263608761</v>
          </cell>
        </row>
        <row r="171">
          <cell r="A171">
            <v>154</v>
          </cell>
          <cell r="B171">
            <v>57094</v>
          </cell>
          <cell r="C171">
            <v>0</v>
          </cell>
          <cell r="D171">
            <v>568203.89631804393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1364077.9263608761</v>
          </cell>
        </row>
        <row r="172">
          <cell r="A172">
            <v>155</v>
          </cell>
          <cell r="B172">
            <v>57185</v>
          </cell>
          <cell r="C172">
            <v>0</v>
          </cell>
          <cell r="D172">
            <v>568203.89631804393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1364077.9263608761</v>
          </cell>
        </row>
        <row r="173">
          <cell r="A173">
            <v>156</v>
          </cell>
          <cell r="B173">
            <v>57277</v>
          </cell>
          <cell r="C173">
            <v>0</v>
          </cell>
          <cell r="D173">
            <v>568203.89631804393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1364077.9263608761</v>
          </cell>
        </row>
        <row r="174">
          <cell r="A174">
            <v>157</v>
          </cell>
          <cell r="B174">
            <v>57369</v>
          </cell>
          <cell r="C174">
            <v>0</v>
          </cell>
          <cell r="D174">
            <v>568203.89631804393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1364077.9263608761</v>
          </cell>
        </row>
        <row r="175">
          <cell r="A175">
            <v>158</v>
          </cell>
          <cell r="B175">
            <v>57459</v>
          </cell>
          <cell r="C175">
            <v>0</v>
          </cell>
          <cell r="D175">
            <v>568203.89631804393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1364077.9263608761</v>
          </cell>
        </row>
        <row r="176">
          <cell r="A176">
            <v>159</v>
          </cell>
          <cell r="B176">
            <v>57550</v>
          </cell>
          <cell r="C176">
            <v>0</v>
          </cell>
          <cell r="D176">
            <v>568203.89631804393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1364077.9263608761</v>
          </cell>
        </row>
        <row r="177">
          <cell r="A177">
            <v>160</v>
          </cell>
          <cell r="B177">
            <v>57642</v>
          </cell>
          <cell r="C177">
            <v>0</v>
          </cell>
          <cell r="D177">
            <v>568203.89631804393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1364077.9263608761</v>
          </cell>
        </row>
        <row r="178">
          <cell r="A178">
            <v>161</v>
          </cell>
          <cell r="B178">
            <v>57734</v>
          </cell>
          <cell r="C178">
            <v>0</v>
          </cell>
          <cell r="D178">
            <v>568203.89631804393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1364077.9263608761</v>
          </cell>
        </row>
        <row r="179">
          <cell r="A179">
            <v>162</v>
          </cell>
          <cell r="B179">
            <v>57824</v>
          </cell>
          <cell r="C179">
            <v>0</v>
          </cell>
          <cell r="D179">
            <v>568203.89631804393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1364077.9263608761</v>
          </cell>
        </row>
        <row r="180">
          <cell r="A180">
            <v>163</v>
          </cell>
          <cell r="B180">
            <v>57915</v>
          </cell>
          <cell r="C180">
            <v>0</v>
          </cell>
          <cell r="D180">
            <v>568203.89631804393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1364077.9263608761</v>
          </cell>
        </row>
        <row r="181">
          <cell r="A181">
            <v>164</v>
          </cell>
          <cell r="B181">
            <v>58007</v>
          </cell>
          <cell r="C181">
            <v>0</v>
          </cell>
          <cell r="D181">
            <v>568203.89631804393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1364077.9263608761</v>
          </cell>
        </row>
        <row r="182">
          <cell r="A182">
            <v>165</v>
          </cell>
          <cell r="B182">
            <v>58099</v>
          </cell>
          <cell r="C182">
            <v>0</v>
          </cell>
          <cell r="D182">
            <v>568203.89631804393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1364077.9263608761</v>
          </cell>
        </row>
        <row r="183">
          <cell r="A183">
            <v>166</v>
          </cell>
          <cell r="B183">
            <v>58189</v>
          </cell>
          <cell r="C183">
            <v>0</v>
          </cell>
          <cell r="D183">
            <v>568203.89631804393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1364077.9263608761</v>
          </cell>
        </row>
        <row r="184">
          <cell r="A184">
            <v>167</v>
          </cell>
          <cell r="B184">
            <v>58280</v>
          </cell>
          <cell r="C184">
            <v>0</v>
          </cell>
          <cell r="D184">
            <v>568203.89631804393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1364077.9263608761</v>
          </cell>
        </row>
        <row r="185">
          <cell r="A185">
            <v>168</v>
          </cell>
          <cell r="B185">
            <v>58372</v>
          </cell>
          <cell r="C185">
            <v>0</v>
          </cell>
          <cell r="D185">
            <v>568203.89631804393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1364077.9263608761</v>
          </cell>
        </row>
        <row r="186">
          <cell r="A186">
            <v>169</v>
          </cell>
          <cell r="B186">
            <v>58464</v>
          </cell>
          <cell r="C186">
            <v>0</v>
          </cell>
          <cell r="D186">
            <v>568203.89631804393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1364077.9263608761</v>
          </cell>
        </row>
        <row r="187">
          <cell r="A187">
            <v>170</v>
          </cell>
          <cell r="B187">
            <v>58555</v>
          </cell>
          <cell r="C187">
            <v>0</v>
          </cell>
          <cell r="D187">
            <v>568203.89631804393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1364077.9263608761</v>
          </cell>
        </row>
        <row r="188">
          <cell r="A188">
            <v>171</v>
          </cell>
          <cell r="B188">
            <v>58646</v>
          </cell>
          <cell r="C188">
            <v>0</v>
          </cell>
          <cell r="D188">
            <v>568203.89631804393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1364077.9263608761</v>
          </cell>
        </row>
        <row r="189">
          <cell r="A189">
            <v>172</v>
          </cell>
          <cell r="B189">
            <v>58738</v>
          </cell>
          <cell r="C189">
            <v>0</v>
          </cell>
          <cell r="D189">
            <v>568203.89631804393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1364077.9263608761</v>
          </cell>
        </row>
        <row r="190">
          <cell r="A190">
            <v>173</v>
          </cell>
          <cell r="B190">
            <v>58830</v>
          </cell>
          <cell r="C190">
            <v>0</v>
          </cell>
          <cell r="D190">
            <v>568203.89631804393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1364077.9263608761</v>
          </cell>
        </row>
        <row r="191">
          <cell r="A191">
            <v>174</v>
          </cell>
          <cell r="B191">
            <v>58920</v>
          </cell>
          <cell r="C191">
            <v>0</v>
          </cell>
          <cell r="D191">
            <v>568203.89631804393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1364077.9263608761</v>
          </cell>
        </row>
        <row r="192">
          <cell r="A192">
            <v>175</v>
          </cell>
          <cell r="B192">
            <v>59011</v>
          </cell>
          <cell r="C192">
            <v>0</v>
          </cell>
          <cell r="D192">
            <v>568203.89631804393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1364077.9263608761</v>
          </cell>
        </row>
        <row r="193">
          <cell r="A193">
            <v>176</v>
          </cell>
          <cell r="B193">
            <v>59103</v>
          </cell>
          <cell r="C193">
            <v>0</v>
          </cell>
          <cell r="D193">
            <v>568203.89631804393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1364077.9263608761</v>
          </cell>
        </row>
        <row r="194">
          <cell r="A194">
            <v>177</v>
          </cell>
          <cell r="B194">
            <v>59195</v>
          </cell>
          <cell r="C194">
            <v>0</v>
          </cell>
          <cell r="D194">
            <v>568203.89631804393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1364077.9263608761</v>
          </cell>
        </row>
        <row r="195">
          <cell r="A195">
            <v>178</v>
          </cell>
          <cell r="B195">
            <v>59285</v>
          </cell>
          <cell r="C195">
            <v>0</v>
          </cell>
          <cell r="D195">
            <v>568203.89631804393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1364077.9263608761</v>
          </cell>
        </row>
        <row r="196">
          <cell r="A196">
            <v>179</v>
          </cell>
          <cell r="B196">
            <v>59376</v>
          </cell>
          <cell r="C196">
            <v>0</v>
          </cell>
          <cell r="D196">
            <v>568203.89631804393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1364077.9263608761</v>
          </cell>
        </row>
        <row r="197">
          <cell r="A197">
            <v>180</v>
          </cell>
          <cell r="B197">
            <v>59468</v>
          </cell>
          <cell r="C197">
            <v>0</v>
          </cell>
          <cell r="D197">
            <v>568203.89631804393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1364077.9263608761</v>
          </cell>
        </row>
        <row r="198">
          <cell r="A198">
            <v>181</v>
          </cell>
          <cell r="B198">
            <v>59560</v>
          </cell>
          <cell r="C198">
            <v>0</v>
          </cell>
          <cell r="D198">
            <v>568203.89631804393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1364077.9263608761</v>
          </cell>
        </row>
        <row r="199">
          <cell r="A199">
            <v>182</v>
          </cell>
          <cell r="B199">
            <v>59650</v>
          </cell>
          <cell r="C199">
            <v>0</v>
          </cell>
          <cell r="D199">
            <v>568203.89631804393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1364077.9263608761</v>
          </cell>
        </row>
        <row r="200">
          <cell r="A200">
            <v>183</v>
          </cell>
          <cell r="B200">
            <v>59741</v>
          </cell>
          <cell r="C200">
            <v>0</v>
          </cell>
          <cell r="D200">
            <v>568203.89631804393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1364077.9263608761</v>
          </cell>
        </row>
        <row r="201">
          <cell r="A201">
            <v>184</v>
          </cell>
          <cell r="B201">
            <v>59833</v>
          </cell>
          <cell r="C201">
            <v>0</v>
          </cell>
          <cell r="D201">
            <v>568203.89631804393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1364077.9263608761</v>
          </cell>
        </row>
        <row r="202">
          <cell r="A202">
            <v>185</v>
          </cell>
          <cell r="B202">
            <v>59925</v>
          </cell>
          <cell r="C202">
            <v>0</v>
          </cell>
          <cell r="D202">
            <v>568203.89631804393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1364077.9263608761</v>
          </cell>
        </row>
        <row r="203">
          <cell r="A203">
            <v>186</v>
          </cell>
          <cell r="B203">
            <v>60016</v>
          </cell>
          <cell r="C203">
            <v>0</v>
          </cell>
          <cell r="D203">
            <v>568203.89631804393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1364077.9263608761</v>
          </cell>
        </row>
        <row r="204">
          <cell r="A204">
            <v>187</v>
          </cell>
          <cell r="B204">
            <v>60107</v>
          </cell>
          <cell r="C204">
            <v>0</v>
          </cell>
          <cell r="D204">
            <v>568203.89631804393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1364077.9263608761</v>
          </cell>
        </row>
        <row r="205">
          <cell r="A205">
            <v>188</v>
          </cell>
          <cell r="B205">
            <v>60199</v>
          </cell>
          <cell r="C205">
            <v>0</v>
          </cell>
          <cell r="D205">
            <v>568203.89631804393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1364077.9263608761</v>
          </cell>
        </row>
        <row r="206">
          <cell r="A206">
            <v>189</v>
          </cell>
          <cell r="B206">
            <v>60291</v>
          </cell>
          <cell r="C206">
            <v>0</v>
          </cell>
          <cell r="D206">
            <v>568203.89631804393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1364077.9263608761</v>
          </cell>
        </row>
        <row r="207">
          <cell r="A207">
            <v>190</v>
          </cell>
          <cell r="B207">
            <v>60381</v>
          </cell>
          <cell r="C207">
            <v>0</v>
          </cell>
          <cell r="D207">
            <v>568203.89631804393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1364077.9263608761</v>
          </cell>
        </row>
        <row r="208">
          <cell r="A208">
            <v>191</v>
          </cell>
          <cell r="B208">
            <v>60472</v>
          </cell>
          <cell r="C208">
            <v>0</v>
          </cell>
          <cell r="D208">
            <v>568203.89631804393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1364077.9263608761</v>
          </cell>
        </row>
        <row r="209">
          <cell r="A209">
            <v>192</v>
          </cell>
          <cell r="B209">
            <v>60564</v>
          </cell>
          <cell r="C209">
            <v>0</v>
          </cell>
          <cell r="D209">
            <v>568203.89631804393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1364077.9263608761</v>
          </cell>
        </row>
        <row r="210">
          <cell r="A210">
            <v>193</v>
          </cell>
          <cell r="B210">
            <v>60656</v>
          </cell>
          <cell r="C210">
            <v>0</v>
          </cell>
          <cell r="D210">
            <v>568203.89631804393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1364077.9263608761</v>
          </cell>
        </row>
        <row r="211">
          <cell r="A211">
            <v>194</v>
          </cell>
          <cell r="B211">
            <v>60746</v>
          </cell>
          <cell r="C211">
            <v>0</v>
          </cell>
          <cell r="D211">
            <v>568203.89631804393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1364077.9263608761</v>
          </cell>
        </row>
        <row r="212">
          <cell r="A212">
            <v>195</v>
          </cell>
          <cell r="B212">
            <v>60837</v>
          </cell>
          <cell r="C212">
            <v>0</v>
          </cell>
          <cell r="D212">
            <v>568203.89631804393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1364077.9263608761</v>
          </cell>
        </row>
        <row r="213">
          <cell r="A213">
            <v>196</v>
          </cell>
          <cell r="B213">
            <v>60929</v>
          </cell>
          <cell r="C213">
            <v>0</v>
          </cell>
          <cell r="D213">
            <v>568203.89631804393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1364077.9263608761</v>
          </cell>
        </row>
        <row r="214">
          <cell r="A214">
            <v>197</v>
          </cell>
          <cell r="B214">
            <v>61021</v>
          </cell>
          <cell r="C214">
            <v>0</v>
          </cell>
          <cell r="D214">
            <v>568203.89631804393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1364077.9263608761</v>
          </cell>
        </row>
        <row r="215">
          <cell r="A215">
            <v>198</v>
          </cell>
          <cell r="B215">
            <v>61111</v>
          </cell>
          <cell r="C215">
            <v>0</v>
          </cell>
          <cell r="D215">
            <v>568203.89631804393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1364077.9263608761</v>
          </cell>
        </row>
        <row r="216">
          <cell r="A216">
            <v>199</v>
          </cell>
          <cell r="B216">
            <v>61202</v>
          </cell>
          <cell r="C216">
            <v>0</v>
          </cell>
          <cell r="D216">
            <v>568203.89631804393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1364077.9263608761</v>
          </cell>
        </row>
        <row r="217">
          <cell r="A217">
            <v>200</v>
          </cell>
          <cell r="B217">
            <v>61294</v>
          </cell>
          <cell r="C217">
            <v>0</v>
          </cell>
          <cell r="D217">
            <v>568203.89631804393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1364077.9263608761</v>
          </cell>
        </row>
        <row r="218">
          <cell r="A218">
            <v>201</v>
          </cell>
          <cell r="B218">
            <v>61386</v>
          </cell>
          <cell r="C218">
            <v>0</v>
          </cell>
          <cell r="D218">
            <v>568203.89631804393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1364077.9263608761</v>
          </cell>
        </row>
        <row r="219">
          <cell r="A219">
            <v>202</v>
          </cell>
          <cell r="B219">
            <v>61477</v>
          </cell>
          <cell r="C219">
            <v>0</v>
          </cell>
          <cell r="D219">
            <v>568203.89631804393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1364077.9263608761</v>
          </cell>
        </row>
        <row r="220">
          <cell r="A220">
            <v>203</v>
          </cell>
          <cell r="B220">
            <v>61568</v>
          </cell>
          <cell r="C220">
            <v>0</v>
          </cell>
          <cell r="D220">
            <v>568203.89631804393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1364077.9263608761</v>
          </cell>
        </row>
        <row r="221">
          <cell r="A221">
            <v>204</v>
          </cell>
          <cell r="B221">
            <v>61660</v>
          </cell>
          <cell r="C221">
            <v>0</v>
          </cell>
          <cell r="D221">
            <v>568203.89631804393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1364077.9263608761</v>
          </cell>
        </row>
        <row r="222">
          <cell r="A222">
            <v>205</v>
          </cell>
          <cell r="B222">
            <v>61752</v>
          </cell>
          <cell r="C222">
            <v>0</v>
          </cell>
          <cell r="D222">
            <v>568203.89631804393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1364077.9263608761</v>
          </cell>
        </row>
        <row r="223">
          <cell r="A223">
            <v>206</v>
          </cell>
          <cell r="B223">
            <v>61842</v>
          </cell>
          <cell r="C223">
            <v>0</v>
          </cell>
          <cell r="D223">
            <v>568203.89631804393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1364077.9263608761</v>
          </cell>
        </row>
        <row r="224">
          <cell r="A224">
            <v>207</v>
          </cell>
          <cell r="B224">
            <v>61933</v>
          </cell>
          <cell r="C224">
            <v>0</v>
          </cell>
          <cell r="D224">
            <v>568203.89631804393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1364077.9263608761</v>
          </cell>
        </row>
        <row r="225">
          <cell r="A225">
            <v>208</v>
          </cell>
          <cell r="B225">
            <v>62025</v>
          </cell>
          <cell r="C225">
            <v>0</v>
          </cell>
          <cell r="D225">
            <v>568203.89631804393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1364077.9263608761</v>
          </cell>
        </row>
        <row r="226">
          <cell r="A226">
            <v>209</v>
          </cell>
          <cell r="B226">
            <v>62117</v>
          </cell>
          <cell r="C226">
            <v>0</v>
          </cell>
          <cell r="D226">
            <v>568203.89631804393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1364077.9263608761</v>
          </cell>
        </row>
        <row r="227">
          <cell r="A227">
            <v>210</v>
          </cell>
          <cell r="B227">
            <v>62207</v>
          </cell>
          <cell r="C227">
            <v>0</v>
          </cell>
          <cell r="D227">
            <v>568203.89631804393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1364077.9263608761</v>
          </cell>
        </row>
        <row r="228">
          <cell r="A228">
            <v>211</v>
          </cell>
          <cell r="B228">
            <v>62298</v>
          </cell>
          <cell r="C228">
            <v>0</v>
          </cell>
          <cell r="D228">
            <v>568203.89631804393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1364077.9263608761</v>
          </cell>
        </row>
        <row r="229">
          <cell r="A229">
            <v>212</v>
          </cell>
          <cell r="B229">
            <v>62390</v>
          </cell>
          <cell r="C229">
            <v>0</v>
          </cell>
          <cell r="D229">
            <v>568203.89631804393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1364077.9263608761</v>
          </cell>
        </row>
        <row r="230">
          <cell r="A230">
            <v>213</v>
          </cell>
          <cell r="B230">
            <v>62482</v>
          </cell>
          <cell r="C230">
            <v>0</v>
          </cell>
          <cell r="D230">
            <v>568203.89631804393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1364077.9263608761</v>
          </cell>
        </row>
        <row r="231">
          <cell r="A231">
            <v>214</v>
          </cell>
          <cell r="B231">
            <v>62572</v>
          </cell>
          <cell r="C231">
            <v>0</v>
          </cell>
          <cell r="D231">
            <v>568203.89631804393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1364077.9263608761</v>
          </cell>
        </row>
        <row r="232">
          <cell r="A232">
            <v>215</v>
          </cell>
          <cell r="B232">
            <v>62663</v>
          </cell>
          <cell r="C232">
            <v>0</v>
          </cell>
          <cell r="D232">
            <v>568203.89631804393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1364077.9263608761</v>
          </cell>
        </row>
        <row r="233">
          <cell r="A233">
            <v>216</v>
          </cell>
          <cell r="B233">
            <v>62755</v>
          </cell>
          <cell r="C233">
            <v>0</v>
          </cell>
          <cell r="D233">
            <v>568203.89631804393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1364077.9263608761</v>
          </cell>
        </row>
        <row r="234">
          <cell r="A234">
            <v>217</v>
          </cell>
          <cell r="B234">
            <v>62847</v>
          </cell>
          <cell r="C234">
            <v>0</v>
          </cell>
          <cell r="D234">
            <v>568203.89631804393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1364077.9263608761</v>
          </cell>
        </row>
        <row r="235">
          <cell r="A235">
            <v>218</v>
          </cell>
          <cell r="B235">
            <v>62938</v>
          </cell>
          <cell r="C235">
            <v>0</v>
          </cell>
          <cell r="D235">
            <v>568203.89631804393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1364077.9263608761</v>
          </cell>
        </row>
        <row r="236">
          <cell r="A236">
            <v>219</v>
          </cell>
          <cell r="B236">
            <v>63029</v>
          </cell>
          <cell r="C236">
            <v>0</v>
          </cell>
          <cell r="D236">
            <v>568203.89631804393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1364077.9263608761</v>
          </cell>
        </row>
        <row r="237">
          <cell r="A237">
            <v>220</v>
          </cell>
          <cell r="B237">
            <v>63121</v>
          </cell>
          <cell r="C237">
            <v>0</v>
          </cell>
          <cell r="D237">
            <v>568203.89631804393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1364077.9263608761</v>
          </cell>
        </row>
        <row r="238">
          <cell r="A238">
            <v>221</v>
          </cell>
          <cell r="B238">
            <v>63213</v>
          </cell>
          <cell r="C238">
            <v>0</v>
          </cell>
          <cell r="D238">
            <v>568203.89631804393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1364077.9263608761</v>
          </cell>
        </row>
        <row r="239">
          <cell r="A239">
            <v>222</v>
          </cell>
          <cell r="B239">
            <v>63303</v>
          </cell>
          <cell r="C239">
            <v>0</v>
          </cell>
          <cell r="D239">
            <v>568203.89631804393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1364077.9263608761</v>
          </cell>
        </row>
        <row r="240">
          <cell r="A240">
            <v>223</v>
          </cell>
          <cell r="B240">
            <v>63394</v>
          </cell>
          <cell r="C240">
            <v>0</v>
          </cell>
          <cell r="D240">
            <v>568203.89631804393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1364077.9263608761</v>
          </cell>
        </row>
        <row r="241">
          <cell r="A241">
            <v>224</v>
          </cell>
          <cell r="B241">
            <v>63486</v>
          </cell>
          <cell r="C241">
            <v>0</v>
          </cell>
          <cell r="D241">
            <v>568203.89631804393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1364077.9263608761</v>
          </cell>
        </row>
        <row r="242">
          <cell r="A242">
            <v>225</v>
          </cell>
          <cell r="B242">
            <v>63578</v>
          </cell>
          <cell r="C242">
            <v>0</v>
          </cell>
          <cell r="D242">
            <v>568203.89631804393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1364077.9263608761</v>
          </cell>
        </row>
        <row r="243">
          <cell r="A243">
            <v>226</v>
          </cell>
          <cell r="B243">
            <v>63668</v>
          </cell>
          <cell r="C243">
            <v>0</v>
          </cell>
          <cell r="D243">
            <v>568203.89631804393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1364077.9263608761</v>
          </cell>
        </row>
        <row r="244">
          <cell r="A244">
            <v>227</v>
          </cell>
          <cell r="B244">
            <v>63759</v>
          </cell>
          <cell r="C244">
            <v>0</v>
          </cell>
          <cell r="D244">
            <v>568203.89631804393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1364077.9263608761</v>
          </cell>
        </row>
        <row r="245">
          <cell r="A245">
            <v>228</v>
          </cell>
          <cell r="B245">
            <v>63851</v>
          </cell>
          <cell r="C245">
            <v>0</v>
          </cell>
          <cell r="D245">
            <v>568203.89631804393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1364077.9263608761</v>
          </cell>
        </row>
        <row r="246">
          <cell r="A246">
            <v>229</v>
          </cell>
          <cell r="B246">
            <v>63943</v>
          </cell>
          <cell r="C246">
            <v>0</v>
          </cell>
          <cell r="D246">
            <v>568203.89631804393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1364077.9263608761</v>
          </cell>
        </row>
        <row r="247">
          <cell r="A247">
            <v>230</v>
          </cell>
          <cell r="B247">
            <v>64033</v>
          </cell>
          <cell r="C247">
            <v>0</v>
          </cell>
          <cell r="D247">
            <v>568203.89631804393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1364077.9263608761</v>
          </cell>
        </row>
        <row r="248">
          <cell r="A248">
            <v>231</v>
          </cell>
          <cell r="B248">
            <v>64124</v>
          </cell>
          <cell r="C248">
            <v>0</v>
          </cell>
          <cell r="D248">
            <v>568203.89631804393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1364077.9263608761</v>
          </cell>
        </row>
        <row r="249">
          <cell r="A249">
            <v>232</v>
          </cell>
          <cell r="B249">
            <v>64216</v>
          </cell>
          <cell r="C249">
            <v>0</v>
          </cell>
          <cell r="D249">
            <v>568203.89631804393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1364077.9263608761</v>
          </cell>
        </row>
        <row r="250">
          <cell r="A250">
            <v>233</v>
          </cell>
          <cell r="B250">
            <v>64308</v>
          </cell>
          <cell r="C250">
            <v>0</v>
          </cell>
          <cell r="D250">
            <v>568203.89631804393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1364077.9263608761</v>
          </cell>
        </row>
        <row r="251">
          <cell r="A251">
            <v>234</v>
          </cell>
          <cell r="B251">
            <v>64399</v>
          </cell>
          <cell r="C251">
            <v>0</v>
          </cell>
          <cell r="D251">
            <v>568203.89631804393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1364077.9263608761</v>
          </cell>
        </row>
        <row r="252">
          <cell r="A252">
            <v>235</v>
          </cell>
          <cell r="B252">
            <v>64490</v>
          </cell>
          <cell r="C252">
            <v>0</v>
          </cell>
          <cell r="D252">
            <v>568203.89631804393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1364077.9263608761</v>
          </cell>
        </row>
        <row r="253">
          <cell r="A253">
            <v>236</v>
          </cell>
          <cell r="B253">
            <v>64582</v>
          </cell>
          <cell r="C253">
            <v>0</v>
          </cell>
          <cell r="D253">
            <v>568203.89631804393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1364077.9263608761</v>
          </cell>
        </row>
        <row r="254">
          <cell r="A254">
            <v>237</v>
          </cell>
          <cell r="B254">
            <v>64674</v>
          </cell>
          <cell r="C254">
            <v>0</v>
          </cell>
          <cell r="D254">
            <v>568203.89631804393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1364077.9263608761</v>
          </cell>
        </row>
        <row r="255">
          <cell r="A255">
            <v>238</v>
          </cell>
          <cell r="B255">
            <v>64764</v>
          </cell>
          <cell r="C255">
            <v>0</v>
          </cell>
          <cell r="D255">
            <v>568203.89631804393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1364077.9263608761</v>
          </cell>
        </row>
        <row r="256">
          <cell r="A256">
            <v>239</v>
          </cell>
          <cell r="B256">
            <v>64855</v>
          </cell>
          <cell r="C256">
            <v>0</v>
          </cell>
          <cell r="D256">
            <v>568203.89631804393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1364077.9263608761</v>
          </cell>
        </row>
        <row r="257">
          <cell r="A257">
            <v>240</v>
          </cell>
          <cell r="B257">
            <v>64947</v>
          </cell>
          <cell r="C257">
            <v>0</v>
          </cell>
          <cell r="D257">
            <v>568203.89631804393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1364077.9263608761</v>
          </cell>
        </row>
        <row r="258">
          <cell r="A258">
            <v>241</v>
          </cell>
          <cell r="B258">
            <v>65039</v>
          </cell>
          <cell r="C258">
            <v>0</v>
          </cell>
          <cell r="D258">
            <v>568203.89631804393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1364077.9263608761</v>
          </cell>
        </row>
        <row r="259">
          <cell r="A259">
            <v>242</v>
          </cell>
          <cell r="B259">
            <v>65129</v>
          </cell>
          <cell r="C259">
            <v>0</v>
          </cell>
          <cell r="D259">
            <v>568203.89631804393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1364077.9263608761</v>
          </cell>
        </row>
        <row r="260">
          <cell r="A260">
            <v>243</v>
          </cell>
          <cell r="B260">
            <v>65220</v>
          </cell>
          <cell r="C260">
            <v>0</v>
          </cell>
          <cell r="D260">
            <v>568203.89631804393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1364077.9263608761</v>
          </cell>
        </row>
        <row r="261">
          <cell r="A261">
            <v>244</v>
          </cell>
          <cell r="B261">
            <v>65312</v>
          </cell>
          <cell r="C261">
            <v>0</v>
          </cell>
          <cell r="D261">
            <v>568203.89631804393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1364077.9263608761</v>
          </cell>
        </row>
        <row r="262">
          <cell r="A262">
            <v>245</v>
          </cell>
          <cell r="B262">
            <v>65404</v>
          </cell>
          <cell r="C262">
            <v>0</v>
          </cell>
          <cell r="D262">
            <v>568203.89631804393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1364077.9263608761</v>
          </cell>
        </row>
        <row r="263">
          <cell r="A263">
            <v>246</v>
          </cell>
          <cell r="B263">
            <v>65494</v>
          </cell>
          <cell r="C263">
            <v>0</v>
          </cell>
          <cell r="D263">
            <v>568203.89631804393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1364077.9263608761</v>
          </cell>
        </row>
        <row r="264">
          <cell r="A264">
            <v>247</v>
          </cell>
          <cell r="B264">
            <v>65585</v>
          </cell>
          <cell r="C264">
            <v>0</v>
          </cell>
          <cell r="D264">
            <v>568203.89631804393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1364077.9263608761</v>
          </cell>
        </row>
        <row r="265">
          <cell r="A265">
            <v>248</v>
          </cell>
          <cell r="B265">
            <v>65677</v>
          </cell>
          <cell r="C265">
            <v>0</v>
          </cell>
          <cell r="D265">
            <v>568203.89631804393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1364077.9263608761</v>
          </cell>
        </row>
        <row r="266">
          <cell r="A266">
            <v>249</v>
          </cell>
          <cell r="B266">
            <v>65769</v>
          </cell>
          <cell r="C266">
            <v>0</v>
          </cell>
          <cell r="D266">
            <v>568203.89631804393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1364077.9263608761</v>
          </cell>
        </row>
        <row r="267">
          <cell r="A267">
            <v>250</v>
          </cell>
          <cell r="B267">
            <v>65860</v>
          </cell>
          <cell r="C267">
            <v>0</v>
          </cell>
          <cell r="D267">
            <v>568203.89631804393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1364077.9263608761</v>
          </cell>
        </row>
        <row r="268">
          <cell r="A268">
            <v>251</v>
          </cell>
          <cell r="B268">
            <v>65951</v>
          </cell>
          <cell r="C268">
            <v>0</v>
          </cell>
          <cell r="D268">
            <v>568203.89631804393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1364077.9263608761</v>
          </cell>
        </row>
        <row r="269">
          <cell r="A269">
            <v>252</v>
          </cell>
          <cell r="B269">
            <v>66043</v>
          </cell>
          <cell r="C269">
            <v>0</v>
          </cell>
          <cell r="D269">
            <v>568203.89631804393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1364077.9263608761</v>
          </cell>
        </row>
        <row r="270">
          <cell r="A270">
            <v>253</v>
          </cell>
          <cell r="B270">
            <v>66135</v>
          </cell>
          <cell r="C270">
            <v>0</v>
          </cell>
          <cell r="D270">
            <v>568203.89631804393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1364077.9263608761</v>
          </cell>
        </row>
        <row r="271">
          <cell r="A271">
            <v>254</v>
          </cell>
          <cell r="B271">
            <v>66225</v>
          </cell>
          <cell r="C271">
            <v>0</v>
          </cell>
          <cell r="D271">
            <v>568203.89631804393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1364077.9263608761</v>
          </cell>
        </row>
        <row r="272">
          <cell r="A272">
            <v>255</v>
          </cell>
          <cell r="B272">
            <v>66316</v>
          </cell>
          <cell r="C272">
            <v>0</v>
          </cell>
          <cell r="D272">
            <v>568203.89631804393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1364077.9263608761</v>
          </cell>
        </row>
        <row r="273">
          <cell r="A273">
            <v>256</v>
          </cell>
          <cell r="B273">
            <v>66408</v>
          </cell>
          <cell r="C273">
            <v>0</v>
          </cell>
          <cell r="D273">
            <v>568203.89631804393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1364077.9263608761</v>
          </cell>
        </row>
        <row r="274">
          <cell r="A274">
            <v>257</v>
          </cell>
          <cell r="B274">
            <v>66500</v>
          </cell>
          <cell r="C274">
            <v>0</v>
          </cell>
          <cell r="D274">
            <v>568203.89631804393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1364077.9263608761</v>
          </cell>
        </row>
        <row r="275">
          <cell r="A275">
            <v>258</v>
          </cell>
          <cell r="B275">
            <v>66590</v>
          </cell>
          <cell r="C275">
            <v>0</v>
          </cell>
          <cell r="D275">
            <v>568203.89631804393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1364077.9263608761</v>
          </cell>
        </row>
        <row r="276">
          <cell r="A276">
            <v>259</v>
          </cell>
          <cell r="B276">
            <v>66681</v>
          </cell>
          <cell r="C276">
            <v>0</v>
          </cell>
          <cell r="D276">
            <v>568203.89631804393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1364077.9263608761</v>
          </cell>
        </row>
        <row r="277">
          <cell r="A277">
            <v>260</v>
          </cell>
          <cell r="B277">
            <v>66773</v>
          </cell>
          <cell r="C277">
            <v>0</v>
          </cell>
          <cell r="D277">
            <v>568203.89631804393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1364077.9263608761</v>
          </cell>
        </row>
        <row r="278">
          <cell r="A278">
            <v>261</v>
          </cell>
          <cell r="B278">
            <v>66865</v>
          </cell>
          <cell r="C278">
            <v>0</v>
          </cell>
          <cell r="D278">
            <v>568203.89631804393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1364077.9263608761</v>
          </cell>
        </row>
        <row r="279">
          <cell r="A279">
            <v>262</v>
          </cell>
          <cell r="B279">
            <v>66955</v>
          </cell>
          <cell r="C279">
            <v>0</v>
          </cell>
          <cell r="D279">
            <v>568203.89631804393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1364077.9263608761</v>
          </cell>
        </row>
        <row r="280">
          <cell r="A280">
            <v>263</v>
          </cell>
          <cell r="B280">
            <v>67046</v>
          </cell>
          <cell r="C280">
            <v>0</v>
          </cell>
          <cell r="D280">
            <v>568203.89631804393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1364077.9263608761</v>
          </cell>
        </row>
        <row r="281">
          <cell r="A281">
            <v>264</v>
          </cell>
          <cell r="B281">
            <v>67138</v>
          </cell>
          <cell r="C281">
            <v>0</v>
          </cell>
          <cell r="D281">
            <v>568203.89631804393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1364077.9263608761</v>
          </cell>
        </row>
        <row r="282">
          <cell r="A282">
            <v>265</v>
          </cell>
          <cell r="B282">
            <v>67230</v>
          </cell>
          <cell r="C282">
            <v>0</v>
          </cell>
          <cell r="D282">
            <v>568203.89631804393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1364077.9263608761</v>
          </cell>
        </row>
        <row r="283">
          <cell r="A283">
            <v>266</v>
          </cell>
          <cell r="B283">
            <v>67321</v>
          </cell>
          <cell r="C283">
            <v>0</v>
          </cell>
          <cell r="D283">
            <v>568203.89631804393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1364077.9263608761</v>
          </cell>
        </row>
        <row r="284">
          <cell r="A284">
            <v>267</v>
          </cell>
          <cell r="B284">
            <v>67412</v>
          </cell>
          <cell r="C284">
            <v>0</v>
          </cell>
          <cell r="D284">
            <v>568203.89631804393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1364077.9263608761</v>
          </cell>
        </row>
        <row r="285">
          <cell r="A285">
            <v>268</v>
          </cell>
          <cell r="B285">
            <v>67504</v>
          </cell>
          <cell r="C285">
            <v>0</v>
          </cell>
          <cell r="D285">
            <v>568203.89631804393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1364077.9263608761</v>
          </cell>
        </row>
        <row r="286">
          <cell r="A286">
            <v>269</v>
          </cell>
          <cell r="B286">
            <v>67596</v>
          </cell>
          <cell r="C286">
            <v>0</v>
          </cell>
          <cell r="D286">
            <v>568203.89631804393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1364077.9263608761</v>
          </cell>
        </row>
        <row r="287">
          <cell r="A287">
            <v>270</v>
          </cell>
          <cell r="B287">
            <v>67686</v>
          </cell>
          <cell r="C287">
            <v>0</v>
          </cell>
          <cell r="D287">
            <v>568203.89631804393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1364077.9263608761</v>
          </cell>
        </row>
        <row r="288">
          <cell r="A288">
            <v>271</v>
          </cell>
          <cell r="B288">
            <v>67777</v>
          </cell>
          <cell r="C288">
            <v>0</v>
          </cell>
          <cell r="D288">
            <v>568203.89631804393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1364077.9263608761</v>
          </cell>
        </row>
        <row r="289">
          <cell r="A289">
            <v>272</v>
          </cell>
          <cell r="B289">
            <v>67869</v>
          </cell>
          <cell r="C289">
            <v>0</v>
          </cell>
          <cell r="D289">
            <v>568203.89631804393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1364077.9263608761</v>
          </cell>
        </row>
        <row r="290">
          <cell r="A290">
            <v>273</v>
          </cell>
          <cell r="B290">
            <v>67961</v>
          </cell>
          <cell r="C290">
            <v>0</v>
          </cell>
          <cell r="D290">
            <v>568203.89631804393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1364077.9263608761</v>
          </cell>
        </row>
        <row r="291">
          <cell r="A291">
            <v>274</v>
          </cell>
          <cell r="B291">
            <v>68051</v>
          </cell>
          <cell r="C291">
            <v>0</v>
          </cell>
          <cell r="D291">
            <v>568203.89631804393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1364077.9263608761</v>
          </cell>
        </row>
        <row r="292">
          <cell r="A292">
            <v>275</v>
          </cell>
          <cell r="B292">
            <v>68142</v>
          </cell>
          <cell r="C292">
            <v>0</v>
          </cell>
          <cell r="D292">
            <v>568203.89631804393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1364077.9263608761</v>
          </cell>
        </row>
        <row r="293">
          <cell r="A293">
            <v>276</v>
          </cell>
          <cell r="B293">
            <v>68234</v>
          </cell>
          <cell r="C293">
            <v>0</v>
          </cell>
          <cell r="D293">
            <v>568203.89631804393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1364077.9263608761</v>
          </cell>
        </row>
        <row r="294">
          <cell r="A294">
            <v>277</v>
          </cell>
          <cell r="B294">
            <v>68326</v>
          </cell>
          <cell r="C294">
            <v>0</v>
          </cell>
          <cell r="D294">
            <v>568203.89631804393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1364077.9263608761</v>
          </cell>
        </row>
        <row r="295">
          <cell r="A295">
            <v>278</v>
          </cell>
          <cell r="B295">
            <v>68416</v>
          </cell>
          <cell r="C295">
            <v>0</v>
          </cell>
          <cell r="D295">
            <v>568203.89631804393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1364077.9263608761</v>
          </cell>
        </row>
        <row r="296">
          <cell r="A296">
            <v>279</v>
          </cell>
          <cell r="B296">
            <v>68507</v>
          </cell>
          <cell r="C296">
            <v>0</v>
          </cell>
          <cell r="D296">
            <v>568203.89631804393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1364077.9263608761</v>
          </cell>
        </row>
        <row r="297">
          <cell r="A297">
            <v>280</v>
          </cell>
          <cell r="B297">
            <v>68599</v>
          </cell>
          <cell r="C297">
            <v>0</v>
          </cell>
          <cell r="D297">
            <v>568203.89631804393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1364077.9263608761</v>
          </cell>
        </row>
        <row r="298">
          <cell r="A298">
            <v>281</v>
          </cell>
          <cell r="B298">
            <v>68691</v>
          </cell>
          <cell r="C298">
            <v>0</v>
          </cell>
          <cell r="D298">
            <v>568203.89631804393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1364077.9263608761</v>
          </cell>
        </row>
        <row r="299">
          <cell r="A299">
            <v>282</v>
          </cell>
          <cell r="B299">
            <v>68782</v>
          </cell>
          <cell r="C299">
            <v>0</v>
          </cell>
          <cell r="D299">
            <v>568203.89631804393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1364077.9263608761</v>
          </cell>
        </row>
        <row r="300">
          <cell r="A300">
            <v>283</v>
          </cell>
          <cell r="B300">
            <v>68873</v>
          </cell>
          <cell r="C300">
            <v>0</v>
          </cell>
          <cell r="D300">
            <v>568203.89631804393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1364077.9263608761</v>
          </cell>
        </row>
        <row r="301">
          <cell r="A301">
            <v>284</v>
          </cell>
          <cell r="B301">
            <v>68965</v>
          </cell>
          <cell r="C301">
            <v>0</v>
          </cell>
          <cell r="D301">
            <v>568203.89631804393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1364077.9263608761</v>
          </cell>
        </row>
        <row r="302">
          <cell r="A302">
            <v>285</v>
          </cell>
          <cell r="B302">
            <v>69057</v>
          </cell>
          <cell r="C302">
            <v>0</v>
          </cell>
          <cell r="D302">
            <v>568203.89631804393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1364077.9263608761</v>
          </cell>
        </row>
        <row r="303">
          <cell r="A303">
            <v>286</v>
          </cell>
          <cell r="B303">
            <v>69147</v>
          </cell>
          <cell r="C303">
            <v>0</v>
          </cell>
          <cell r="D303">
            <v>568203.89631804393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1364077.9263608761</v>
          </cell>
        </row>
        <row r="304">
          <cell r="A304">
            <v>287</v>
          </cell>
          <cell r="B304">
            <v>69238</v>
          </cell>
          <cell r="C304">
            <v>0</v>
          </cell>
          <cell r="D304">
            <v>568203.89631804393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1364077.9263608761</v>
          </cell>
        </row>
        <row r="305">
          <cell r="A305">
            <v>288</v>
          </cell>
          <cell r="B305">
            <v>69330</v>
          </cell>
          <cell r="C305">
            <v>0</v>
          </cell>
          <cell r="D305">
            <v>568203.89631804393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1364077.9263608761</v>
          </cell>
        </row>
        <row r="306">
          <cell r="A306">
            <v>289</v>
          </cell>
          <cell r="B306">
            <v>69422</v>
          </cell>
          <cell r="C306">
            <v>0</v>
          </cell>
          <cell r="D306">
            <v>568203.89631804393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1364077.9263608761</v>
          </cell>
        </row>
        <row r="307">
          <cell r="A307">
            <v>290</v>
          </cell>
          <cell r="B307">
            <v>69512</v>
          </cell>
          <cell r="C307">
            <v>0</v>
          </cell>
          <cell r="D307">
            <v>568203.89631804393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1364077.9263608761</v>
          </cell>
        </row>
        <row r="308">
          <cell r="A308">
            <v>291</v>
          </cell>
          <cell r="B308">
            <v>69603</v>
          </cell>
          <cell r="C308">
            <v>0</v>
          </cell>
          <cell r="D308">
            <v>568203.89631804393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1364077.9263608761</v>
          </cell>
        </row>
        <row r="309">
          <cell r="A309">
            <v>292</v>
          </cell>
          <cell r="B309">
            <v>69695</v>
          </cell>
          <cell r="C309">
            <v>0</v>
          </cell>
          <cell r="D309">
            <v>568203.89631804393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1364077.9263608761</v>
          </cell>
        </row>
        <row r="310">
          <cell r="A310">
            <v>293</v>
          </cell>
          <cell r="B310">
            <v>69787</v>
          </cell>
          <cell r="C310">
            <v>0</v>
          </cell>
          <cell r="D310">
            <v>568203.89631804393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1364077.9263608761</v>
          </cell>
        </row>
        <row r="311">
          <cell r="A311">
            <v>294</v>
          </cell>
          <cell r="B311">
            <v>69877</v>
          </cell>
          <cell r="C311">
            <v>0</v>
          </cell>
          <cell r="D311">
            <v>568203.89631804393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1364077.9263608761</v>
          </cell>
        </row>
        <row r="312">
          <cell r="A312">
            <v>295</v>
          </cell>
          <cell r="B312">
            <v>69968</v>
          </cell>
          <cell r="C312">
            <v>0</v>
          </cell>
          <cell r="D312">
            <v>568203.89631804393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1364077.9263608761</v>
          </cell>
        </row>
        <row r="313">
          <cell r="A313">
            <v>296</v>
          </cell>
          <cell r="B313">
            <v>70060</v>
          </cell>
          <cell r="C313">
            <v>0</v>
          </cell>
          <cell r="D313">
            <v>568203.89631804393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1364077.9263608761</v>
          </cell>
        </row>
        <row r="314">
          <cell r="A314">
            <v>297</v>
          </cell>
          <cell r="B314">
            <v>70152</v>
          </cell>
          <cell r="C314">
            <v>0</v>
          </cell>
          <cell r="D314">
            <v>568203.89631804393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1364077.9263608761</v>
          </cell>
        </row>
        <row r="315">
          <cell r="A315">
            <v>298</v>
          </cell>
          <cell r="B315">
            <v>70243</v>
          </cell>
          <cell r="C315">
            <v>0</v>
          </cell>
          <cell r="D315">
            <v>568203.89631804393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1364077.9263608761</v>
          </cell>
        </row>
        <row r="316">
          <cell r="A316">
            <v>299</v>
          </cell>
          <cell r="B316">
            <v>70334</v>
          </cell>
          <cell r="C316">
            <v>0</v>
          </cell>
          <cell r="D316">
            <v>568203.89631804393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1364077.9263608761</v>
          </cell>
        </row>
        <row r="317">
          <cell r="A317">
            <v>300</v>
          </cell>
          <cell r="B317">
            <v>70426</v>
          </cell>
          <cell r="C317">
            <v>0</v>
          </cell>
          <cell r="D317">
            <v>568203.89631804393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1364077.9263608761</v>
          </cell>
        </row>
        <row r="318">
          <cell r="A318">
            <v>301</v>
          </cell>
          <cell r="B318">
            <v>70518</v>
          </cell>
          <cell r="C318">
            <v>0</v>
          </cell>
          <cell r="D318">
            <v>568203.89631804393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1364077.9263608761</v>
          </cell>
        </row>
        <row r="319">
          <cell r="A319">
            <v>302</v>
          </cell>
          <cell r="B319">
            <v>70608</v>
          </cell>
          <cell r="C319">
            <v>0</v>
          </cell>
          <cell r="D319">
            <v>568203.89631804393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1364077.9263608761</v>
          </cell>
        </row>
        <row r="320">
          <cell r="A320">
            <v>303</v>
          </cell>
          <cell r="B320">
            <v>70699</v>
          </cell>
          <cell r="C320">
            <v>0</v>
          </cell>
          <cell r="D320">
            <v>568203.89631804393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1364077.9263608761</v>
          </cell>
        </row>
        <row r="321">
          <cell r="A321">
            <v>304</v>
          </cell>
          <cell r="B321">
            <v>70791</v>
          </cell>
          <cell r="C321">
            <v>0</v>
          </cell>
          <cell r="D321">
            <v>568203.89631804393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1364077.9263608761</v>
          </cell>
        </row>
        <row r="322">
          <cell r="A322">
            <v>305</v>
          </cell>
          <cell r="B322">
            <v>70883</v>
          </cell>
          <cell r="C322">
            <v>0</v>
          </cell>
          <cell r="D322">
            <v>568203.89631804393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1364077.9263608761</v>
          </cell>
        </row>
        <row r="323">
          <cell r="A323">
            <v>306</v>
          </cell>
          <cell r="B323">
            <v>70973</v>
          </cell>
          <cell r="C323">
            <v>0</v>
          </cell>
          <cell r="D323">
            <v>568203.89631804393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1364077.9263608761</v>
          </cell>
        </row>
        <row r="324">
          <cell r="A324">
            <v>307</v>
          </cell>
          <cell r="B324">
            <v>71064</v>
          </cell>
          <cell r="C324">
            <v>0</v>
          </cell>
          <cell r="D324">
            <v>568203.89631804393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1364077.9263608761</v>
          </cell>
        </row>
        <row r="325">
          <cell r="A325">
            <v>308</v>
          </cell>
          <cell r="B325">
            <v>71156</v>
          </cell>
          <cell r="C325">
            <v>0</v>
          </cell>
          <cell r="D325">
            <v>568203.89631804393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1364077.9263608761</v>
          </cell>
        </row>
        <row r="326">
          <cell r="A326">
            <v>309</v>
          </cell>
          <cell r="B326">
            <v>71248</v>
          </cell>
          <cell r="C326">
            <v>0</v>
          </cell>
          <cell r="D326">
            <v>568203.89631804393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1364077.9263608761</v>
          </cell>
        </row>
        <row r="327">
          <cell r="A327">
            <v>310</v>
          </cell>
          <cell r="B327">
            <v>71338</v>
          </cell>
          <cell r="C327">
            <v>0</v>
          </cell>
          <cell r="D327">
            <v>568203.89631804393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1364077.9263608761</v>
          </cell>
        </row>
        <row r="328">
          <cell r="A328">
            <v>311</v>
          </cell>
          <cell r="B328">
            <v>71429</v>
          </cell>
          <cell r="C328">
            <v>0</v>
          </cell>
          <cell r="D328">
            <v>568203.89631804393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1364077.9263608761</v>
          </cell>
        </row>
        <row r="329">
          <cell r="A329">
            <v>312</v>
          </cell>
          <cell r="B329">
            <v>71521</v>
          </cell>
          <cell r="C329">
            <v>0</v>
          </cell>
          <cell r="D329">
            <v>568203.89631804393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1364077.9263608761</v>
          </cell>
        </row>
        <row r="330">
          <cell r="A330">
            <v>313</v>
          </cell>
          <cell r="B330">
            <v>71613</v>
          </cell>
          <cell r="C330">
            <v>0</v>
          </cell>
          <cell r="D330">
            <v>568203.89631804393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1364077.9263608761</v>
          </cell>
        </row>
        <row r="331">
          <cell r="A331">
            <v>314</v>
          </cell>
          <cell r="B331">
            <v>71704</v>
          </cell>
          <cell r="C331">
            <v>0</v>
          </cell>
          <cell r="D331">
            <v>568203.89631804393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1364077.9263608761</v>
          </cell>
        </row>
        <row r="332">
          <cell r="A332">
            <v>315</v>
          </cell>
          <cell r="B332">
            <v>71795</v>
          </cell>
          <cell r="C332">
            <v>0</v>
          </cell>
          <cell r="D332">
            <v>568203.89631804393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1364077.9263608761</v>
          </cell>
        </row>
        <row r="333">
          <cell r="A333">
            <v>316</v>
          </cell>
          <cell r="B333">
            <v>71887</v>
          </cell>
          <cell r="C333">
            <v>0</v>
          </cell>
          <cell r="D333">
            <v>568203.89631804393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1364077.9263608761</v>
          </cell>
        </row>
        <row r="334">
          <cell r="A334">
            <v>317</v>
          </cell>
          <cell r="B334">
            <v>71979</v>
          </cell>
          <cell r="C334">
            <v>0</v>
          </cell>
          <cell r="D334">
            <v>568203.89631804393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1364077.9263608761</v>
          </cell>
        </row>
        <row r="335">
          <cell r="A335">
            <v>318</v>
          </cell>
          <cell r="B335">
            <v>72069</v>
          </cell>
          <cell r="C335">
            <v>0</v>
          </cell>
          <cell r="D335">
            <v>568203.89631804393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1364077.9263608761</v>
          </cell>
        </row>
        <row r="336">
          <cell r="A336">
            <v>319</v>
          </cell>
          <cell r="B336">
            <v>72160</v>
          </cell>
          <cell r="C336">
            <v>0</v>
          </cell>
          <cell r="D336">
            <v>568203.89631804393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1364077.9263608761</v>
          </cell>
        </row>
        <row r="337">
          <cell r="A337">
            <v>320</v>
          </cell>
          <cell r="B337">
            <v>72252</v>
          </cell>
          <cell r="C337">
            <v>0</v>
          </cell>
          <cell r="D337">
            <v>568203.89631804393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1364077.9263608761</v>
          </cell>
        </row>
        <row r="338">
          <cell r="A338">
            <v>321</v>
          </cell>
          <cell r="B338">
            <v>72344</v>
          </cell>
          <cell r="C338">
            <v>0</v>
          </cell>
          <cell r="D338">
            <v>568203.89631804393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1364077.9263608761</v>
          </cell>
        </row>
        <row r="339">
          <cell r="A339">
            <v>322</v>
          </cell>
          <cell r="B339">
            <v>72434</v>
          </cell>
          <cell r="C339">
            <v>0</v>
          </cell>
          <cell r="D339">
            <v>568203.89631804393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1364077.9263608761</v>
          </cell>
        </row>
        <row r="340">
          <cell r="A340">
            <v>323</v>
          </cell>
          <cell r="B340">
            <v>72525</v>
          </cell>
          <cell r="C340">
            <v>0</v>
          </cell>
          <cell r="D340">
            <v>568203.89631804393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1364077.9263608761</v>
          </cell>
        </row>
        <row r="341">
          <cell r="A341">
            <v>324</v>
          </cell>
          <cell r="B341">
            <v>72617</v>
          </cell>
          <cell r="C341">
            <v>0</v>
          </cell>
          <cell r="D341">
            <v>568203.89631804393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1364077.9263608761</v>
          </cell>
        </row>
        <row r="342">
          <cell r="A342">
            <v>325</v>
          </cell>
          <cell r="B342">
            <v>72709</v>
          </cell>
          <cell r="C342">
            <v>0</v>
          </cell>
          <cell r="D342">
            <v>568203.89631804393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1364077.9263608761</v>
          </cell>
        </row>
        <row r="343">
          <cell r="A343">
            <v>326</v>
          </cell>
          <cell r="B343">
            <v>72799</v>
          </cell>
          <cell r="C343">
            <v>0</v>
          </cell>
          <cell r="D343">
            <v>568203.89631804393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1364077.9263608761</v>
          </cell>
        </row>
        <row r="344">
          <cell r="A344">
            <v>327</v>
          </cell>
          <cell r="B344">
            <v>72890</v>
          </cell>
          <cell r="C344">
            <v>0</v>
          </cell>
          <cell r="D344">
            <v>568203.89631804393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1364077.9263608761</v>
          </cell>
        </row>
        <row r="345">
          <cell r="A345">
            <v>328</v>
          </cell>
          <cell r="B345">
            <v>72982</v>
          </cell>
          <cell r="C345">
            <v>0</v>
          </cell>
          <cell r="D345">
            <v>568203.89631804393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1364077.9263608761</v>
          </cell>
        </row>
        <row r="346">
          <cell r="A346">
            <v>329</v>
          </cell>
          <cell r="B346">
            <v>73074</v>
          </cell>
          <cell r="C346">
            <v>0</v>
          </cell>
          <cell r="D346">
            <v>568203.89631804393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1364077.9263608761</v>
          </cell>
        </row>
        <row r="347">
          <cell r="A347">
            <v>330</v>
          </cell>
          <cell r="B347">
            <v>73164</v>
          </cell>
          <cell r="C347">
            <v>0</v>
          </cell>
          <cell r="D347">
            <v>568203.89631804393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1364077.9263608761</v>
          </cell>
        </row>
        <row r="348">
          <cell r="A348">
            <v>331</v>
          </cell>
          <cell r="B348">
            <v>73255</v>
          </cell>
          <cell r="C348">
            <v>0</v>
          </cell>
          <cell r="D348">
            <v>568203.89631804393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1364077.9263608761</v>
          </cell>
        </row>
        <row r="349">
          <cell r="A349">
            <v>332</v>
          </cell>
          <cell r="B349">
            <v>73347</v>
          </cell>
          <cell r="C349">
            <v>0</v>
          </cell>
          <cell r="D349">
            <v>568203.89631804393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1364077.9263608761</v>
          </cell>
        </row>
        <row r="350">
          <cell r="A350">
            <v>333</v>
          </cell>
          <cell r="B350">
            <v>73439</v>
          </cell>
          <cell r="C350">
            <v>0</v>
          </cell>
          <cell r="D350">
            <v>568203.89631804393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1364077.9263608761</v>
          </cell>
        </row>
        <row r="351">
          <cell r="A351">
            <v>334</v>
          </cell>
          <cell r="B351">
            <v>73529</v>
          </cell>
          <cell r="C351">
            <v>0</v>
          </cell>
          <cell r="D351">
            <v>568203.89631804393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1364077.9263608761</v>
          </cell>
        </row>
        <row r="352">
          <cell r="A352">
            <v>335</v>
          </cell>
          <cell r="B352">
            <v>73620</v>
          </cell>
          <cell r="C352">
            <v>0</v>
          </cell>
          <cell r="D352">
            <v>568203.89631804393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1364077.9263608761</v>
          </cell>
        </row>
        <row r="353">
          <cell r="A353">
            <v>336</v>
          </cell>
          <cell r="B353">
            <v>73712</v>
          </cell>
          <cell r="C353">
            <v>0</v>
          </cell>
          <cell r="D353">
            <v>568203.89631804393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1364077.9263608761</v>
          </cell>
        </row>
        <row r="354">
          <cell r="A354">
            <v>337</v>
          </cell>
          <cell r="B354">
            <v>73804</v>
          </cell>
          <cell r="C354">
            <v>0</v>
          </cell>
          <cell r="D354">
            <v>568203.89631804393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1364077.9263608761</v>
          </cell>
        </row>
        <row r="355">
          <cell r="A355">
            <v>338</v>
          </cell>
          <cell r="B355">
            <v>73894</v>
          </cell>
          <cell r="C355">
            <v>0</v>
          </cell>
          <cell r="D355">
            <v>568203.89631804393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1364077.9263608761</v>
          </cell>
        </row>
        <row r="356">
          <cell r="A356">
            <v>339</v>
          </cell>
          <cell r="B356">
            <v>73985</v>
          </cell>
          <cell r="C356">
            <v>0</v>
          </cell>
          <cell r="D356">
            <v>568203.89631804393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1364077.9263608761</v>
          </cell>
        </row>
        <row r="357">
          <cell r="A357">
            <v>340</v>
          </cell>
          <cell r="B357">
            <v>74077</v>
          </cell>
          <cell r="C357">
            <v>0</v>
          </cell>
          <cell r="D357">
            <v>568203.89631804393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1364077.9263608761</v>
          </cell>
        </row>
        <row r="358">
          <cell r="A358">
            <v>341</v>
          </cell>
          <cell r="B358">
            <v>74169</v>
          </cell>
          <cell r="C358">
            <v>0</v>
          </cell>
          <cell r="D358">
            <v>568203.89631804393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1364077.9263608761</v>
          </cell>
        </row>
        <row r="359">
          <cell r="A359">
            <v>342</v>
          </cell>
          <cell r="B359">
            <v>74259</v>
          </cell>
          <cell r="C359">
            <v>0</v>
          </cell>
          <cell r="D359">
            <v>568203.89631804393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1364077.9263608761</v>
          </cell>
        </row>
        <row r="360">
          <cell r="A360">
            <v>343</v>
          </cell>
          <cell r="B360">
            <v>74350</v>
          </cell>
          <cell r="C360">
            <v>0</v>
          </cell>
          <cell r="D360">
            <v>568203.89631804393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1364077.9263608761</v>
          </cell>
        </row>
        <row r="361">
          <cell r="A361">
            <v>344</v>
          </cell>
          <cell r="B361">
            <v>74442</v>
          </cell>
          <cell r="C361">
            <v>0</v>
          </cell>
          <cell r="D361">
            <v>568203.89631804393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1364077.9263608761</v>
          </cell>
        </row>
        <row r="362">
          <cell r="A362">
            <v>345</v>
          </cell>
          <cell r="B362">
            <v>74534</v>
          </cell>
          <cell r="C362">
            <v>0</v>
          </cell>
          <cell r="D362">
            <v>568203.89631804393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1364077.9263608761</v>
          </cell>
        </row>
        <row r="363">
          <cell r="A363">
            <v>346</v>
          </cell>
          <cell r="B363">
            <v>74625</v>
          </cell>
          <cell r="C363">
            <v>0</v>
          </cell>
          <cell r="D363">
            <v>568203.89631804393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1364077.9263608761</v>
          </cell>
        </row>
        <row r="364">
          <cell r="A364">
            <v>347</v>
          </cell>
          <cell r="B364">
            <v>74716</v>
          </cell>
          <cell r="C364">
            <v>0</v>
          </cell>
          <cell r="D364">
            <v>568203.89631804393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1364077.9263608761</v>
          </cell>
        </row>
        <row r="365">
          <cell r="A365">
            <v>348</v>
          </cell>
          <cell r="B365">
            <v>74808</v>
          </cell>
          <cell r="C365">
            <v>0</v>
          </cell>
          <cell r="D365">
            <v>568203.89631804393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1364077.9263608761</v>
          </cell>
        </row>
        <row r="366">
          <cell r="A366">
            <v>349</v>
          </cell>
          <cell r="B366">
            <v>74900</v>
          </cell>
          <cell r="C366">
            <v>0</v>
          </cell>
          <cell r="D366">
            <v>568203.89631804393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1364077.9263608761</v>
          </cell>
        </row>
        <row r="367">
          <cell r="A367">
            <v>350</v>
          </cell>
          <cell r="B367">
            <v>74990</v>
          </cell>
          <cell r="C367">
            <v>0</v>
          </cell>
          <cell r="D367">
            <v>568203.89631804393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1364077.9263608761</v>
          </cell>
        </row>
        <row r="368">
          <cell r="A368">
            <v>351</v>
          </cell>
          <cell r="B368">
            <v>75081</v>
          </cell>
          <cell r="C368">
            <v>0</v>
          </cell>
          <cell r="D368">
            <v>568203.89631804393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1364077.9263608761</v>
          </cell>
        </row>
        <row r="369">
          <cell r="A369">
            <v>352</v>
          </cell>
          <cell r="B369">
            <v>75173</v>
          </cell>
          <cell r="C369">
            <v>0</v>
          </cell>
          <cell r="D369">
            <v>568203.89631804393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1364077.9263608761</v>
          </cell>
        </row>
        <row r="370">
          <cell r="A370">
            <v>353</v>
          </cell>
          <cell r="B370">
            <v>75265</v>
          </cell>
          <cell r="C370">
            <v>0</v>
          </cell>
          <cell r="D370">
            <v>568203.89631804393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1364077.9263608761</v>
          </cell>
        </row>
        <row r="371">
          <cell r="A371">
            <v>354</v>
          </cell>
          <cell r="B371">
            <v>75355</v>
          </cell>
          <cell r="C371">
            <v>0</v>
          </cell>
          <cell r="D371">
            <v>568203.89631804393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1364077.9263608761</v>
          </cell>
        </row>
        <row r="372">
          <cell r="A372">
            <v>355</v>
          </cell>
          <cell r="B372">
            <v>75446</v>
          </cell>
          <cell r="C372">
            <v>0</v>
          </cell>
          <cell r="D372">
            <v>568203.89631804393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1364077.9263608761</v>
          </cell>
        </row>
        <row r="373">
          <cell r="A373">
            <v>356</v>
          </cell>
          <cell r="B373">
            <v>75538</v>
          </cell>
          <cell r="C373">
            <v>0</v>
          </cell>
          <cell r="D373">
            <v>568203.89631804393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1364077.9263608761</v>
          </cell>
        </row>
        <row r="374">
          <cell r="A374">
            <v>357</v>
          </cell>
          <cell r="B374">
            <v>75630</v>
          </cell>
          <cell r="C374">
            <v>0</v>
          </cell>
          <cell r="D374">
            <v>568203.89631804393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1364077.9263608761</v>
          </cell>
        </row>
        <row r="375">
          <cell r="A375">
            <v>358</v>
          </cell>
          <cell r="B375">
            <v>75720</v>
          </cell>
          <cell r="C375">
            <v>0</v>
          </cell>
          <cell r="D375">
            <v>568203.89631804393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1364077.9263608761</v>
          </cell>
        </row>
        <row r="376">
          <cell r="A376">
            <v>359</v>
          </cell>
          <cell r="B376">
            <v>75811</v>
          </cell>
          <cell r="C376">
            <v>0</v>
          </cell>
          <cell r="D376">
            <v>568203.89631804393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1364077.9263608761</v>
          </cell>
        </row>
        <row r="377">
          <cell r="A377">
            <v>360</v>
          </cell>
          <cell r="B377">
            <v>75903</v>
          </cell>
          <cell r="C377">
            <v>0</v>
          </cell>
          <cell r="D377">
            <v>568203.89631804393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1364077.9263608761</v>
          </cell>
        </row>
        <row r="378">
          <cell r="A378">
            <v>361</v>
          </cell>
          <cell r="B378">
            <v>75995</v>
          </cell>
          <cell r="C378">
            <v>0</v>
          </cell>
          <cell r="D378">
            <v>568203.89631804393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1364077.9263608761</v>
          </cell>
        </row>
        <row r="379">
          <cell r="A379">
            <v>362</v>
          </cell>
          <cell r="B379">
            <v>76086</v>
          </cell>
          <cell r="C379">
            <v>0</v>
          </cell>
          <cell r="D379">
            <v>568203.89631804393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1364077.9263608761</v>
          </cell>
        </row>
        <row r="380">
          <cell r="A380">
            <v>363</v>
          </cell>
          <cell r="B380">
            <v>76177</v>
          </cell>
          <cell r="C380">
            <v>0</v>
          </cell>
          <cell r="D380">
            <v>568203.89631804393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1364077.9263608761</v>
          </cell>
        </row>
        <row r="381">
          <cell r="A381">
            <v>364</v>
          </cell>
          <cell r="B381">
            <v>76269</v>
          </cell>
          <cell r="C381">
            <v>0</v>
          </cell>
          <cell r="D381">
            <v>568203.89631804393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1364077.9263608761</v>
          </cell>
        </row>
        <row r="382">
          <cell r="A382">
            <v>365</v>
          </cell>
          <cell r="B382">
            <v>76361</v>
          </cell>
          <cell r="C382">
            <v>0</v>
          </cell>
          <cell r="D382">
            <v>568203.89631804393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1364077.9263608761</v>
          </cell>
        </row>
        <row r="383">
          <cell r="A383">
            <v>366</v>
          </cell>
          <cell r="B383">
            <v>76451</v>
          </cell>
          <cell r="C383">
            <v>0</v>
          </cell>
          <cell r="D383">
            <v>568203.89631804393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1364077.9263608761</v>
          </cell>
        </row>
        <row r="384">
          <cell r="A384">
            <v>367</v>
          </cell>
          <cell r="B384">
            <v>76542</v>
          </cell>
          <cell r="C384">
            <v>0</v>
          </cell>
          <cell r="D384">
            <v>568203.89631804393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1364077.9263608761</v>
          </cell>
        </row>
        <row r="385">
          <cell r="A385">
            <v>368</v>
          </cell>
          <cell r="B385">
            <v>76634</v>
          </cell>
          <cell r="C385">
            <v>0</v>
          </cell>
          <cell r="D385">
            <v>568203.89631804393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1364077.9263608761</v>
          </cell>
        </row>
        <row r="386">
          <cell r="A386">
            <v>369</v>
          </cell>
          <cell r="B386">
            <v>76726</v>
          </cell>
          <cell r="C386">
            <v>0</v>
          </cell>
          <cell r="D386">
            <v>568203.89631804393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1364077.9263608761</v>
          </cell>
        </row>
        <row r="387">
          <cell r="A387">
            <v>370</v>
          </cell>
          <cell r="B387">
            <v>76816</v>
          </cell>
          <cell r="C387">
            <v>0</v>
          </cell>
          <cell r="D387">
            <v>568203.89631804393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1364077.9263608761</v>
          </cell>
        </row>
        <row r="388">
          <cell r="A388">
            <v>371</v>
          </cell>
          <cell r="B388">
            <v>76907</v>
          </cell>
          <cell r="C388">
            <v>0</v>
          </cell>
          <cell r="D388">
            <v>568203.89631804393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1364077.9263608761</v>
          </cell>
        </row>
        <row r="389">
          <cell r="A389">
            <v>372</v>
          </cell>
          <cell r="B389">
            <v>76999</v>
          </cell>
          <cell r="C389">
            <v>0</v>
          </cell>
          <cell r="D389">
            <v>568203.89631804393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1364077.9263608761</v>
          </cell>
        </row>
        <row r="390">
          <cell r="A390">
            <v>373</v>
          </cell>
          <cell r="B390">
            <v>77091</v>
          </cell>
          <cell r="C390">
            <v>0</v>
          </cell>
          <cell r="D390">
            <v>568203.89631804393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1364077.9263608761</v>
          </cell>
        </row>
        <row r="391">
          <cell r="A391">
            <v>374</v>
          </cell>
          <cell r="B391">
            <v>77181</v>
          </cell>
          <cell r="C391">
            <v>0</v>
          </cell>
          <cell r="D391">
            <v>568203.89631804393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1364077.9263608761</v>
          </cell>
        </row>
        <row r="392">
          <cell r="A392">
            <v>375</v>
          </cell>
          <cell r="B392">
            <v>77272</v>
          </cell>
          <cell r="C392">
            <v>0</v>
          </cell>
          <cell r="D392">
            <v>568203.89631804393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1364077.9263608761</v>
          </cell>
        </row>
        <row r="393">
          <cell r="A393">
            <v>376</v>
          </cell>
          <cell r="B393">
            <v>77364</v>
          </cell>
          <cell r="C393">
            <v>0</v>
          </cell>
          <cell r="D393">
            <v>568203.89631804393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1364077.9263608761</v>
          </cell>
        </row>
        <row r="394">
          <cell r="A394">
            <v>377</v>
          </cell>
          <cell r="B394">
            <v>77456</v>
          </cell>
          <cell r="C394">
            <v>0</v>
          </cell>
          <cell r="D394">
            <v>568203.89631804393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1364077.9263608761</v>
          </cell>
        </row>
        <row r="395">
          <cell r="A395">
            <v>378</v>
          </cell>
          <cell r="B395">
            <v>77547</v>
          </cell>
          <cell r="C395">
            <v>0</v>
          </cell>
          <cell r="D395">
            <v>568203.89631804393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1364077.9263608761</v>
          </cell>
        </row>
        <row r="396">
          <cell r="A396">
            <v>379</v>
          </cell>
          <cell r="B396">
            <v>77638</v>
          </cell>
          <cell r="C396">
            <v>0</v>
          </cell>
          <cell r="D396">
            <v>568203.89631804393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1364077.9263608761</v>
          </cell>
        </row>
        <row r="397">
          <cell r="A397">
            <v>380</v>
          </cell>
          <cell r="B397">
            <v>77730</v>
          </cell>
          <cell r="C397">
            <v>0</v>
          </cell>
          <cell r="D397">
            <v>568203.89631804393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1364077.9263608761</v>
          </cell>
        </row>
        <row r="398">
          <cell r="A398">
            <v>381</v>
          </cell>
          <cell r="B398">
            <v>77822</v>
          </cell>
          <cell r="C398">
            <v>0</v>
          </cell>
          <cell r="D398">
            <v>568203.89631804393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1364077.9263608761</v>
          </cell>
        </row>
        <row r="399">
          <cell r="A399">
            <v>382</v>
          </cell>
          <cell r="B399">
            <v>77912</v>
          </cell>
          <cell r="C399">
            <v>0</v>
          </cell>
          <cell r="D399">
            <v>568203.89631804393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1364077.9263608761</v>
          </cell>
        </row>
        <row r="400">
          <cell r="A400">
            <v>383</v>
          </cell>
          <cell r="B400">
            <v>78003</v>
          </cell>
          <cell r="C400">
            <v>0</v>
          </cell>
          <cell r="D400">
            <v>568203.89631804393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1364077.9263608761</v>
          </cell>
        </row>
        <row r="401">
          <cell r="A401">
            <v>384</v>
          </cell>
          <cell r="B401">
            <v>78095</v>
          </cell>
          <cell r="C401">
            <v>0</v>
          </cell>
          <cell r="D401">
            <v>568203.89631804393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1364077.9263608761</v>
          </cell>
        </row>
        <row r="402">
          <cell r="A402">
            <v>385</v>
          </cell>
          <cell r="B402">
            <v>78187</v>
          </cell>
          <cell r="C402">
            <v>0</v>
          </cell>
          <cell r="D402">
            <v>568203.89631804393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1364077.9263608761</v>
          </cell>
        </row>
        <row r="403">
          <cell r="A403">
            <v>386</v>
          </cell>
          <cell r="B403">
            <v>78277</v>
          </cell>
          <cell r="C403">
            <v>0</v>
          </cell>
          <cell r="D403">
            <v>568203.89631804393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1364077.9263608761</v>
          </cell>
        </row>
        <row r="404">
          <cell r="A404">
            <v>387</v>
          </cell>
          <cell r="B404">
            <v>78368</v>
          </cell>
          <cell r="C404">
            <v>0</v>
          </cell>
          <cell r="D404">
            <v>568203.89631804393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1364077.9263608761</v>
          </cell>
        </row>
        <row r="405">
          <cell r="A405">
            <v>388</v>
          </cell>
          <cell r="B405">
            <v>78460</v>
          </cell>
          <cell r="C405">
            <v>0</v>
          </cell>
          <cell r="D405">
            <v>568203.89631804393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1364077.9263608761</v>
          </cell>
        </row>
        <row r="406">
          <cell r="A406">
            <v>389</v>
          </cell>
          <cell r="B406">
            <v>78552</v>
          </cell>
          <cell r="C406">
            <v>0</v>
          </cell>
          <cell r="D406">
            <v>568203.89631804393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1364077.9263608761</v>
          </cell>
        </row>
        <row r="407">
          <cell r="A407">
            <v>390</v>
          </cell>
          <cell r="B407">
            <v>78642</v>
          </cell>
          <cell r="C407">
            <v>0</v>
          </cell>
          <cell r="D407">
            <v>568203.89631804393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1364077.9263608761</v>
          </cell>
        </row>
        <row r="408">
          <cell r="A408">
            <v>391</v>
          </cell>
          <cell r="B408">
            <v>78733</v>
          </cell>
          <cell r="C408">
            <v>0</v>
          </cell>
          <cell r="D408">
            <v>568203.89631804393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1364077.9263608761</v>
          </cell>
        </row>
        <row r="409">
          <cell r="A409">
            <v>392</v>
          </cell>
          <cell r="B409">
            <v>78825</v>
          </cell>
          <cell r="C409">
            <v>0</v>
          </cell>
          <cell r="D409">
            <v>568203.89631804393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1364077.9263608761</v>
          </cell>
        </row>
        <row r="410">
          <cell r="A410">
            <v>393</v>
          </cell>
          <cell r="B410">
            <v>78917</v>
          </cell>
          <cell r="C410">
            <v>0</v>
          </cell>
          <cell r="D410">
            <v>568203.89631804393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1364077.9263608761</v>
          </cell>
        </row>
        <row r="411">
          <cell r="A411">
            <v>394</v>
          </cell>
          <cell r="B411">
            <v>79008</v>
          </cell>
          <cell r="C411">
            <v>0</v>
          </cell>
          <cell r="D411">
            <v>568203.89631804393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1364077.9263608761</v>
          </cell>
        </row>
        <row r="412">
          <cell r="A412">
            <v>395</v>
          </cell>
          <cell r="B412">
            <v>79099</v>
          </cell>
          <cell r="C412">
            <v>0</v>
          </cell>
          <cell r="D412">
            <v>568203.89631804393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1364077.9263608761</v>
          </cell>
        </row>
        <row r="413">
          <cell r="A413">
            <v>396</v>
          </cell>
          <cell r="B413">
            <v>79191</v>
          </cell>
          <cell r="C413">
            <v>0</v>
          </cell>
          <cell r="D413">
            <v>568203.89631804393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1364077.9263608761</v>
          </cell>
        </row>
        <row r="414">
          <cell r="A414">
            <v>397</v>
          </cell>
          <cell r="B414">
            <v>79283</v>
          </cell>
          <cell r="C414">
            <v>0</v>
          </cell>
          <cell r="D414">
            <v>568203.89631804393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1364077.9263608761</v>
          </cell>
        </row>
        <row r="415">
          <cell r="A415">
            <v>398</v>
          </cell>
          <cell r="B415">
            <v>79373</v>
          </cell>
          <cell r="C415">
            <v>0</v>
          </cell>
          <cell r="D415">
            <v>568203.89631804393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1364077.9263608761</v>
          </cell>
        </row>
        <row r="416">
          <cell r="A416">
            <v>399</v>
          </cell>
          <cell r="B416">
            <v>79464</v>
          </cell>
          <cell r="C416">
            <v>0</v>
          </cell>
          <cell r="D416">
            <v>568203.89631804393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1364077.9263608761</v>
          </cell>
        </row>
        <row r="417">
          <cell r="A417">
            <v>400</v>
          </cell>
          <cell r="B417">
            <v>79556</v>
          </cell>
          <cell r="C417">
            <v>0</v>
          </cell>
          <cell r="D417">
            <v>568203.89631804393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1364077.9263608761</v>
          </cell>
        </row>
        <row r="418">
          <cell r="A418">
            <v>401</v>
          </cell>
          <cell r="B418">
            <v>79648</v>
          </cell>
          <cell r="C418">
            <v>0</v>
          </cell>
          <cell r="D418">
            <v>568203.89631804393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1364077.9263608761</v>
          </cell>
        </row>
        <row r="419">
          <cell r="A419">
            <v>402</v>
          </cell>
          <cell r="B419">
            <v>79738</v>
          </cell>
          <cell r="C419">
            <v>0</v>
          </cell>
          <cell r="D419">
            <v>568203.89631804393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1364077.9263608761</v>
          </cell>
        </row>
        <row r="420">
          <cell r="A420">
            <v>403</v>
          </cell>
          <cell r="B420">
            <v>79829</v>
          </cell>
          <cell r="C420">
            <v>0</v>
          </cell>
          <cell r="D420">
            <v>568203.89631804393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1364077.9263608761</v>
          </cell>
        </row>
        <row r="421">
          <cell r="A421">
            <v>404</v>
          </cell>
          <cell r="B421">
            <v>79921</v>
          </cell>
          <cell r="C421">
            <v>0</v>
          </cell>
          <cell r="D421">
            <v>568203.89631804393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1364077.9263608761</v>
          </cell>
        </row>
        <row r="422">
          <cell r="A422">
            <v>405</v>
          </cell>
          <cell r="B422">
            <v>80013</v>
          </cell>
          <cell r="C422">
            <v>0</v>
          </cell>
          <cell r="D422">
            <v>568203.89631804393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1364077.9263608761</v>
          </cell>
        </row>
        <row r="423">
          <cell r="A423">
            <v>406</v>
          </cell>
          <cell r="B423">
            <v>80103</v>
          </cell>
          <cell r="C423">
            <v>0</v>
          </cell>
          <cell r="D423">
            <v>568203.89631804393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1364077.9263608761</v>
          </cell>
        </row>
        <row r="424">
          <cell r="A424">
            <v>407</v>
          </cell>
          <cell r="B424">
            <v>80194</v>
          </cell>
          <cell r="C424">
            <v>0</v>
          </cell>
          <cell r="D424">
            <v>568203.89631804393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1364077.9263608761</v>
          </cell>
        </row>
        <row r="425">
          <cell r="A425">
            <v>408</v>
          </cell>
          <cell r="B425">
            <v>80286</v>
          </cell>
          <cell r="C425">
            <v>0</v>
          </cell>
          <cell r="D425">
            <v>568203.89631804393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1364077.9263608761</v>
          </cell>
        </row>
        <row r="426">
          <cell r="A426">
            <v>409</v>
          </cell>
          <cell r="B426">
            <v>80378</v>
          </cell>
          <cell r="C426">
            <v>0</v>
          </cell>
          <cell r="D426">
            <v>568203.89631804393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1364077.9263608761</v>
          </cell>
        </row>
        <row r="427">
          <cell r="A427">
            <v>410</v>
          </cell>
          <cell r="B427">
            <v>80469</v>
          </cell>
          <cell r="C427">
            <v>0</v>
          </cell>
          <cell r="D427">
            <v>568203.89631804393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1364077.9263608761</v>
          </cell>
        </row>
        <row r="428">
          <cell r="A428">
            <v>411</v>
          </cell>
          <cell r="B428">
            <v>80560</v>
          </cell>
          <cell r="C428">
            <v>0</v>
          </cell>
          <cell r="D428">
            <v>568203.89631804393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1364077.9263608761</v>
          </cell>
        </row>
        <row r="429">
          <cell r="A429">
            <v>412</v>
          </cell>
          <cell r="B429">
            <v>80652</v>
          </cell>
          <cell r="C429">
            <v>0</v>
          </cell>
          <cell r="D429">
            <v>568203.89631804393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1364077.9263608761</v>
          </cell>
        </row>
        <row r="430">
          <cell r="A430">
            <v>413</v>
          </cell>
          <cell r="B430">
            <v>80744</v>
          </cell>
          <cell r="C430">
            <v>0</v>
          </cell>
          <cell r="D430">
            <v>568203.89631804393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1364077.9263608761</v>
          </cell>
        </row>
        <row r="431">
          <cell r="A431">
            <v>414</v>
          </cell>
          <cell r="B431">
            <v>80834</v>
          </cell>
          <cell r="C431">
            <v>0</v>
          </cell>
          <cell r="D431">
            <v>568203.89631804393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1364077.9263608761</v>
          </cell>
        </row>
        <row r="432">
          <cell r="A432">
            <v>415</v>
          </cell>
          <cell r="B432">
            <v>80925</v>
          </cell>
          <cell r="C432">
            <v>0</v>
          </cell>
          <cell r="D432">
            <v>568203.89631804393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1364077.9263608761</v>
          </cell>
        </row>
        <row r="433">
          <cell r="A433">
            <v>416</v>
          </cell>
          <cell r="B433">
            <v>81017</v>
          </cell>
          <cell r="C433">
            <v>0</v>
          </cell>
          <cell r="D433">
            <v>568203.89631804393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1364077.9263608761</v>
          </cell>
        </row>
        <row r="434">
          <cell r="A434">
            <v>417</v>
          </cell>
          <cell r="B434">
            <v>81109</v>
          </cell>
          <cell r="C434">
            <v>0</v>
          </cell>
          <cell r="D434">
            <v>568203.89631804393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1364077.9263608761</v>
          </cell>
        </row>
        <row r="435">
          <cell r="A435">
            <v>418</v>
          </cell>
          <cell r="B435">
            <v>81199</v>
          </cell>
          <cell r="C435">
            <v>0</v>
          </cell>
          <cell r="D435">
            <v>568203.89631804393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1364077.9263608761</v>
          </cell>
        </row>
        <row r="436">
          <cell r="A436">
            <v>419</v>
          </cell>
          <cell r="B436">
            <v>81290</v>
          </cell>
          <cell r="C436">
            <v>0</v>
          </cell>
          <cell r="D436">
            <v>568203.89631804393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1364077.9263608761</v>
          </cell>
        </row>
        <row r="437">
          <cell r="A437">
            <v>420</v>
          </cell>
          <cell r="B437">
            <v>81382</v>
          </cell>
          <cell r="C437">
            <v>0</v>
          </cell>
          <cell r="D437">
            <v>568203.89631804393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1364077.9263608761</v>
          </cell>
        </row>
        <row r="438">
          <cell r="A438">
            <v>421</v>
          </cell>
          <cell r="B438">
            <v>81474</v>
          </cell>
          <cell r="C438">
            <v>0</v>
          </cell>
          <cell r="D438">
            <v>568203.89631804393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1364077.9263608761</v>
          </cell>
        </row>
        <row r="439">
          <cell r="A439">
            <v>422</v>
          </cell>
          <cell r="B439">
            <v>81564</v>
          </cell>
          <cell r="C439">
            <v>0</v>
          </cell>
          <cell r="D439">
            <v>568203.89631804393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1364077.9263608761</v>
          </cell>
        </row>
        <row r="440">
          <cell r="A440">
            <v>423</v>
          </cell>
          <cell r="B440">
            <v>81655</v>
          </cell>
          <cell r="C440">
            <v>0</v>
          </cell>
          <cell r="D440">
            <v>568203.89631804393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1364077.9263608761</v>
          </cell>
        </row>
        <row r="441">
          <cell r="A441">
            <v>424</v>
          </cell>
          <cell r="B441">
            <v>81747</v>
          </cell>
          <cell r="C441">
            <v>0</v>
          </cell>
          <cell r="D441">
            <v>568203.89631804393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1364077.9263608761</v>
          </cell>
        </row>
        <row r="442">
          <cell r="A442">
            <v>425</v>
          </cell>
          <cell r="B442">
            <v>81839</v>
          </cell>
          <cell r="C442">
            <v>0</v>
          </cell>
          <cell r="D442">
            <v>568203.89631804393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1364077.9263608761</v>
          </cell>
        </row>
        <row r="443">
          <cell r="A443">
            <v>426</v>
          </cell>
          <cell r="B443">
            <v>81930</v>
          </cell>
          <cell r="C443">
            <v>0</v>
          </cell>
          <cell r="D443">
            <v>568203.89631804393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1364077.9263608761</v>
          </cell>
        </row>
        <row r="444">
          <cell r="A444">
            <v>427</v>
          </cell>
          <cell r="B444">
            <v>82021</v>
          </cell>
          <cell r="C444">
            <v>0</v>
          </cell>
          <cell r="D444">
            <v>568203.89631804393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1364077.9263608761</v>
          </cell>
        </row>
        <row r="445">
          <cell r="A445">
            <v>428</v>
          </cell>
          <cell r="B445">
            <v>82113</v>
          </cell>
          <cell r="C445">
            <v>0</v>
          </cell>
          <cell r="D445">
            <v>568203.89631804393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1364077.9263608761</v>
          </cell>
        </row>
        <row r="446">
          <cell r="A446">
            <v>429</v>
          </cell>
          <cell r="B446">
            <v>82205</v>
          </cell>
          <cell r="C446">
            <v>0</v>
          </cell>
          <cell r="D446">
            <v>568203.89631804393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1364077.9263608761</v>
          </cell>
        </row>
        <row r="447">
          <cell r="A447">
            <v>430</v>
          </cell>
          <cell r="B447">
            <v>82295</v>
          </cell>
          <cell r="C447">
            <v>0</v>
          </cell>
          <cell r="D447">
            <v>568203.89631804393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1364077.9263608761</v>
          </cell>
        </row>
        <row r="448">
          <cell r="A448">
            <v>431</v>
          </cell>
          <cell r="B448">
            <v>82386</v>
          </cell>
          <cell r="C448">
            <v>0</v>
          </cell>
          <cell r="D448">
            <v>568203.89631804393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1364077.9263608761</v>
          </cell>
        </row>
        <row r="449">
          <cell r="A449">
            <v>432</v>
          </cell>
          <cell r="B449">
            <v>82478</v>
          </cell>
          <cell r="C449">
            <v>0</v>
          </cell>
          <cell r="D449">
            <v>568203.89631804393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1364077.9263608761</v>
          </cell>
        </row>
        <row r="450">
          <cell r="A450">
            <v>433</v>
          </cell>
          <cell r="B450">
            <v>82570</v>
          </cell>
          <cell r="C450">
            <v>0</v>
          </cell>
          <cell r="D450">
            <v>568203.89631804393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1364077.9263608761</v>
          </cell>
        </row>
        <row r="451">
          <cell r="A451">
            <v>434</v>
          </cell>
          <cell r="B451">
            <v>82660</v>
          </cell>
          <cell r="C451">
            <v>0</v>
          </cell>
          <cell r="D451">
            <v>568203.89631804393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1364077.9263608761</v>
          </cell>
        </row>
        <row r="452">
          <cell r="A452">
            <v>435</v>
          </cell>
          <cell r="B452">
            <v>82751</v>
          </cell>
          <cell r="C452">
            <v>0</v>
          </cell>
          <cell r="D452">
            <v>568203.89631804393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1364077.9263608761</v>
          </cell>
        </row>
        <row r="453">
          <cell r="A453">
            <v>436</v>
          </cell>
          <cell r="B453">
            <v>82843</v>
          </cell>
          <cell r="C453">
            <v>0</v>
          </cell>
          <cell r="D453">
            <v>568203.89631804393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1364077.9263608761</v>
          </cell>
        </row>
        <row r="454">
          <cell r="A454">
            <v>437</v>
          </cell>
          <cell r="B454">
            <v>82935</v>
          </cell>
          <cell r="C454">
            <v>0</v>
          </cell>
          <cell r="D454">
            <v>568203.89631804393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1364077.9263608761</v>
          </cell>
        </row>
        <row r="455">
          <cell r="A455">
            <v>438</v>
          </cell>
          <cell r="B455">
            <v>83025</v>
          </cell>
          <cell r="C455">
            <v>0</v>
          </cell>
          <cell r="D455">
            <v>568203.89631804393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1364077.9263608761</v>
          </cell>
        </row>
        <row r="456">
          <cell r="A456">
            <v>439</v>
          </cell>
          <cell r="B456">
            <v>83116</v>
          </cell>
          <cell r="C456">
            <v>0</v>
          </cell>
          <cell r="D456">
            <v>568203.89631804393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1364077.9263608761</v>
          </cell>
        </row>
        <row r="457">
          <cell r="A457">
            <v>440</v>
          </cell>
          <cell r="B457">
            <v>83208</v>
          </cell>
          <cell r="C457">
            <v>0</v>
          </cell>
          <cell r="D457">
            <v>568203.89631804393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1364077.9263608761</v>
          </cell>
        </row>
        <row r="458">
          <cell r="A458">
            <v>441</v>
          </cell>
          <cell r="B458">
            <v>83300</v>
          </cell>
          <cell r="C458">
            <v>0</v>
          </cell>
          <cell r="D458">
            <v>568203.89631804393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1364077.9263608761</v>
          </cell>
        </row>
        <row r="459">
          <cell r="A459">
            <v>442</v>
          </cell>
          <cell r="B459">
            <v>83391</v>
          </cell>
          <cell r="C459">
            <v>0</v>
          </cell>
          <cell r="D459">
            <v>568203.89631804393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1364077.9263608761</v>
          </cell>
        </row>
        <row r="460">
          <cell r="A460">
            <v>443</v>
          </cell>
          <cell r="B460">
            <v>83482</v>
          </cell>
          <cell r="C460">
            <v>0</v>
          </cell>
          <cell r="D460">
            <v>568203.89631804393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1364077.9263608761</v>
          </cell>
        </row>
        <row r="461">
          <cell r="A461">
            <v>444</v>
          </cell>
          <cell r="B461">
            <v>83574</v>
          </cell>
          <cell r="C461">
            <v>0</v>
          </cell>
          <cell r="D461">
            <v>568203.89631804393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1364077.9263608761</v>
          </cell>
        </row>
        <row r="462">
          <cell r="A462">
            <v>445</v>
          </cell>
          <cell r="B462">
            <v>83666</v>
          </cell>
          <cell r="C462">
            <v>0</v>
          </cell>
          <cell r="D462">
            <v>568203.89631804393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1364077.9263608761</v>
          </cell>
        </row>
        <row r="463">
          <cell r="A463">
            <v>446</v>
          </cell>
          <cell r="B463">
            <v>83756</v>
          </cell>
          <cell r="C463">
            <v>0</v>
          </cell>
          <cell r="D463">
            <v>568203.89631804393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1364077.9263608761</v>
          </cell>
        </row>
        <row r="464">
          <cell r="A464">
            <v>447</v>
          </cell>
          <cell r="B464">
            <v>83847</v>
          </cell>
          <cell r="C464">
            <v>0</v>
          </cell>
          <cell r="D464">
            <v>568203.89631804393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1364077.9263608761</v>
          </cell>
        </row>
        <row r="465">
          <cell r="A465">
            <v>448</v>
          </cell>
          <cell r="B465">
            <v>83939</v>
          </cell>
          <cell r="C465">
            <v>0</v>
          </cell>
          <cell r="D465">
            <v>568203.89631804393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1364077.9263608761</v>
          </cell>
        </row>
        <row r="466">
          <cell r="A466">
            <v>449</v>
          </cell>
          <cell r="B466">
            <v>84031</v>
          </cell>
          <cell r="C466">
            <v>0</v>
          </cell>
          <cell r="D466">
            <v>568203.89631804393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1364077.9263608761</v>
          </cell>
        </row>
        <row r="467">
          <cell r="A467">
            <v>450</v>
          </cell>
          <cell r="B467">
            <v>84121</v>
          </cell>
          <cell r="C467">
            <v>0</v>
          </cell>
          <cell r="D467">
            <v>568203.89631804393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1364077.9263608761</v>
          </cell>
        </row>
        <row r="468">
          <cell r="A468">
            <v>451</v>
          </cell>
          <cell r="B468">
            <v>84212</v>
          </cell>
          <cell r="C468">
            <v>0</v>
          </cell>
          <cell r="D468">
            <v>568203.89631804393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1364077.9263608761</v>
          </cell>
        </row>
        <row r="469">
          <cell r="A469">
            <v>452</v>
          </cell>
          <cell r="B469">
            <v>84304</v>
          </cell>
          <cell r="C469">
            <v>0</v>
          </cell>
          <cell r="D469">
            <v>568203.89631804393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1364077.9263608761</v>
          </cell>
        </row>
        <row r="470">
          <cell r="A470">
            <v>453</v>
          </cell>
          <cell r="B470">
            <v>84396</v>
          </cell>
          <cell r="C470">
            <v>0</v>
          </cell>
          <cell r="D470">
            <v>568203.89631804393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1364077.9263608761</v>
          </cell>
        </row>
        <row r="471">
          <cell r="A471">
            <v>454</v>
          </cell>
          <cell r="B471">
            <v>84486</v>
          </cell>
          <cell r="C471">
            <v>0</v>
          </cell>
          <cell r="D471">
            <v>568203.89631804393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1364077.9263608761</v>
          </cell>
        </row>
        <row r="472">
          <cell r="A472">
            <v>455</v>
          </cell>
          <cell r="B472">
            <v>84577</v>
          </cell>
          <cell r="C472">
            <v>0</v>
          </cell>
          <cell r="D472">
            <v>568203.89631804393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1364077.9263608761</v>
          </cell>
        </row>
        <row r="473">
          <cell r="A473">
            <v>456</v>
          </cell>
          <cell r="B473">
            <v>84669</v>
          </cell>
          <cell r="C473">
            <v>0</v>
          </cell>
          <cell r="D473">
            <v>568203.89631804393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1364077.9263608761</v>
          </cell>
        </row>
        <row r="474">
          <cell r="A474">
            <v>457</v>
          </cell>
          <cell r="B474">
            <v>84761</v>
          </cell>
          <cell r="C474">
            <v>0</v>
          </cell>
          <cell r="D474">
            <v>568203.89631804393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1364077.9263608761</v>
          </cell>
        </row>
        <row r="475">
          <cell r="A475">
            <v>458</v>
          </cell>
          <cell r="B475">
            <v>84852</v>
          </cell>
          <cell r="C475">
            <v>0</v>
          </cell>
          <cell r="D475">
            <v>568203.89631804393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1364077.9263608761</v>
          </cell>
        </row>
        <row r="476">
          <cell r="A476">
            <v>459</v>
          </cell>
          <cell r="B476">
            <v>84943</v>
          </cell>
          <cell r="C476">
            <v>0</v>
          </cell>
          <cell r="D476">
            <v>568203.89631804393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1364077.9263608761</v>
          </cell>
        </row>
        <row r="477">
          <cell r="A477">
            <v>460</v>
          </cell>
          <cell r="B477">
            <v>85035</v>
          </cell>
          <cell r="C477">
            <v>0</v>
          </cell>
          <cell r="D477">
            <v>568203.89631804393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1364077.9263608761</v>
          </cell>
        </row>
        <row r="478">
          <cell r="A478">
            <v>461</v>
          </cell>
          <cell r="B478">
            <v>85127</v>
          </cell>
          <cell r="C478">
            <v>0</v>
          </cell>
          <cell r="D478">
            <v>568203.89631804393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1364077.9263608761</v>
          </cell>
        </row>
        <row r="479">
          <cell r="A479">
            <v>462</v>
          </cell>
          <cell r="B479">
            <v>85217</v>
          </cell>
          <cell r="C479">
            <v>0</v>
          </cell>
          <cell r="D479">
            <v>568203.89631804393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1364077.9263608761</v>
          </cell>
        </row>
        <row r="480">
          <cell r="A480">
            <v>463</v>
          </cell>
          <cell r="B480">
            <v>85308</v>
          </cell>
          <cell r="C480">
            <v>0</v>
          </cell>
          <cell r="D480">
            <v>568203.89631804393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1364077.9263608761</v>
          </cell>
        </row>
        <row r="481">
          <cell r="A481">
            <v>464</v>
          </cell>
          <cell r="B481">
            <v>85400</v>
          </cell>
          <cell r="C481">
            <v>0</v>
          </cell>
          <cell r="D481">
            <v>568203.89631804393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1364077.9263608761</v>
          </cell>
        </row>
        <row r="482">
          <cell r="A482">
            <v>465</v>
          </cell>
          <cell r="B482">
            <v>85492</v>
          </cell>
          <cell r="C482">
            <v>0</v>
          </cell>
          <cell r="D482">
            <v>568203.89631804393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1364077.9263608761</v>
          </cell>
        </row>
        <row r="483">
          <cell r="A483">
            <v>466</v>
          </cell>
          <cell r="B483">
            <v>85582</v>
          </cell>
          <cell r="C483">
            <v>0</v>
          </cell>
          <cell r="D483">
            <v>568203.89631804393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1364077.9263608761</v>
          </cell>
        </row>
        <row r="484">
          <cell r="A484">
            <v>467</v>
          </cell>
          <cell r="B484">
            <v>85673</v>
          </cell>
          <cell r="C484">
            <v>0</v>
          </cell>
          <cell r="D484">
            <v>568203.89631804393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1364077.9263608761</v>
          </cell>
        </row>
        <row r="485">
          <cell r="A485">
            <v>468</v>
          </cell>
          <cell r="B485">
            <v>85765</v>
          </cell>
          <cell r="C485">
            <v>0</v>
          </cell>
          <cell r="D485">
            <v>568203.89631804393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1364077.9263608761</v>
          </cell>
        </row>
        <row r="486">
          <cell r="A486">
            <v>469</v>
          </cell>
          <cell r="B486">
            <v>85857</v>
          </cell>
          <cell r="C486">
            <v>0</v>
          </cell>
          <cell r="D486">
            <v>568203.89631804393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1364077.9263608761</v>
          </cell>
        </row>
        <row r="487">
          <cell r="A487">
            <v>470</v>
          </cell>
          <cell r="B487">
            <v>85947</v>
          </cell>
          <cell r="C487">
            <v>0</v>
          </cell>
          <cell r="D487">
            <v>568203.89631804393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1364077.9263608761</v>
          </cell>
        </row>
        <row r="488">
          <cell r="A488">
            <v>471</v>
          </cell>
          <cell r="B488">
            <v>86038</v>
          </cell>
          <cell r="C488">
            <v>0</v>
          </cell>
          <cell r="D488">
            <v>568203.89631804393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1364077.9263608761</v>
          </cell>
        </row>
        <row r="489">
          <cell r="A489">
            <v>472</v>
          </cell>
          <cell r="B489">
            <v>86130</v>
          </cell>
          <cell r="C489">
            <v>0</v>
          </cell>
          <cell r="D489">
            <v>568203.89631804393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1364077.9263608761</v>
          </cell>
        </row>
        <row r="490">
          <cell r="A490">
            <v>473</v>
          </cell>
          <cell r="B490">
            <v>86222</v>
          </cell>
          <cell r="C490">
            <v>0</v>
          </cell>
          <cell r="D490">
            <v>568203.89631804393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1364077.9263608761</v>
          </cell>
        </row>
        <row r="491">
          <cell r="A491">
            <v>474</v>
          </cell>
          <cell r="B491">
            <v>86313</v>
          </cell>
          <cell r="C491">
            <v>0</v>
          </cell>
          <cell r="D491">
            <v>568203.89631804393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1364077.9263608761</v>
          </cell>
        </row>
        <row r="492">
          <cell r="A492">
            <v>475</v>
          </cell>
          <cell r="B492">
            <v>86404</v>
          </cell>
          <cell r="C492">
            <v>0</v>
          </cell>
          <cell r="D492">
            <v>568203.89631804393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1364077.9263608761</v>
          </cell>
        </row>
        <row r="493">
          <cell r="A493">
            <v>476</v>
          </cell>
          <cell r="B493">
            <v>86496</v>
          </cell>
          <cell r="C493">
            <v>0</v>
          </cell>
          <cell r="D493">
            <v>568203.89631804393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1364077.9263608761</v>
          </cell>
        </row>
        <row r="494">
          <cell r="A494">
            <v>477</v>
          </cell>
          <cell r="B494">
            <v>86588</v>
          </cell>
          <cell r="C494">
            <v>0</v>
          </cell>
          <cell r="D494">
            <v>568203.89631804393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1364077.9263608761</v>
          </cell>
        </row>
        <row r="495">
          <cell r="A495">
            <v>478</v>
          </cell>
          <cell r="B495">
            <v>86678</v>
          </cell>
          <cell r="C495">
            <v>0</v>
          </cell>
          <cell r="D495">
            <v>568203.89631804393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1364077.9263608761</v>
          </cell>
        </row>
        <row r="496">
          <cell r="A496">
            <v>479</v>
          </cell>
          <cell r="B496">
            <v>86769</v>
          </cell>
          <cell r="C496">
            <v>0</v>
          </cell>
          <cell r="D496">
            <v>568203.89631804393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1364077.9263608761</v>
          </cell>
        </row>
        <row r="497">
          <cell r="A497">
            <v>480</v>
          </cell>
          <cell r="B497">
            <v>86861</v>
          </cell>
          <cell r="C497">
            <v>0</v>
          </cell>
          <cell r="D497">
            <v>568203.89631804393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1364077.9263608761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R124"/>
  <sheetViews>
    <sheetView topLeftCell="A6" zoomScaleNormal="100" workbookViewId="0">
      <selection activeCell="B23" sqref="B23"/>
    </sheetView>
  </sheetViews>
  <sheetFormatPr defaultRowHeight="15" x14ac:dyDescent="0.25"/>
  <cols>
    <col min="1" max="1" width="9.140625" customWidth="1"/>
    <col min="2" max="2" width="27.7109375" customWidth="1"/>
    <col min="3" max="3" width="19.28515625" bestFit="1" customWidth="1"/>
    <col min="4" max="5" width="14.28515625" bestFit="1" customWidth="1"/>
    <col min="6" max="6" width="17" bestFit="1" customWidth="1"/>
    <col min="7" max="7" width="16.28515625" customWidth="1"/>
    <col min="8" max="8" width="19.28515625" bestFit="1" customWidth="1"/>
    <col min="9" max="9" width="18.28515625" bestFit="1" customWidth="1"/>
    <col min="10" max="10" width="13.28515625" bestFit="1" customWidth="1"/>
    <col min="11" max="11" width="17.85546875" customWidth="1"/>
    <col min="12" max="12" width="13.140625" bestFit="1" customWidth="1"/>
    <col min="13" max="15" width="14.28515625" bestFit="1" customWidth="1"/>
    <col min="16" max="17" width="15" bestFit="1" customWidth="1"/>
    <col min="18" max="18" width="14.42578125" customWidth="1"/>
    <col min="19" max="19" width="13.28515625" bestFit="1" customWidth="1"/>
  </cols>
  <sheetData>
    <row r="1" spans="1:16" ht="18.75" x14ac:dyDescent="0.3">
      <c r="B1" s="458" t="s">
        <v>518</v>
      </c>
      <c r="C1" s="458"/>
      <c r="D1" s="458"/>
      <c r="E1" s="458"/>
      <c r="F1" s="458"/>
      <c r="G1" s="458"/>
      <c r="H1" s="458"/>
      <c r="I1" s="458"/>
      <c r="J1" s="458"/>
      <c r="K1" s="459"/>
    </row>
    <row r="2" spans="1:16" ht="18.75" x14ac:dyDescent="0.3">
      <c r="B2" s="106" t="s">
        <v>123</v>
      </c>
      <c r="C2" s="238" t="str">
        <f>'General details'!C2</f>
        <v>Unique Seed Company Pvt. Ltd.</v>
      </c>
      <c r="D2" s="238"/>
      <c r="E2" s="265"/>
      <c r="F2" s="265"/>
      <c r="G2" s="265"/>
      <c r="H2" s="106"/>
      <c r="I2" s="187" t="s">
        <v>195</v>
      </c>
      <c r="J2" s="186"/>
    </row>
    <row r="3" spans="1:16" x14ac:dyDescent="0.25">
      <c r="B3" s="106" t="s">
        <v>0</v>
      </c>
      <c r="C3" s="238" t="str">
        <f>'General details'!C3</f>
        <v>Dhangadhi, Kailali</v>
      </c>
      <c r="D3" s="238"/>
      <c r="E3" s="265"/>
      <c r="F3" s="265"/>
      <c r="G3" s="265"/>
      <c r="H3" s="106"/>
    </row>
    <row r="4" spans="1:16" x14ac:dyDescent="0.25">
      <c r="B4" s="110" t="s">
        <v>260</v>
      </c>
      <c r="C4" s="238" t="str">
        <f>'General details'!C4</f>
        <v>2073-2074</v>
      </c>
      <c r="D4" s="265" t="str">
        <f>'General details'!D4</f>
        <v>2016-2017</v>
      </c>
      <c r="E4" s="265"/>
      <c r="F4" s="265"/>
      <c r="G4" s="265"/>
      <c r="H4" s="108"/>
      <c r="I4" s="190" t="s">
        <v>193</v>
      </c>
      <c r="J4" s="189" t="str">
        <f>LEFT($C$4,4)</f>
        <v>2073</v>
      </c>
    </row>
    <row r="5" spans="1:16" x14ac:dyDescent="0.25">
      <c r="B5" s="111"/>
      <c r="C5" s="274"/>
      <c r="D5" s="274"/>
      <c r="E5" s="274"/>
      <c r="F5" s="274"/>
      <c r="G5" s="274"/>
      <c r="H5" s="112"/>
      <c r="I5" s="450" t="s">
        <v>193</v>
      </c>
      <c r="J5" s="189" t="str">
        <f>RIGHT($C$4,4)</f>
        <v>2074</v>
      </c>
    </row>
    <row r="6" spans="1:16" x14ac:dyDescent="0.25">
      <c r="B6" s="111"/>
      <c r="C6" s="262"/>
      <c r="D6" s="262"/>
      <c r="E6" s="262"/>
      <c r="F6" s="262"/>
      <c r="G6" s="262"/>
      <c r="I6" s="191" t="s">
        <v>193</v>
      </c>
      <c r="J6" s="108" t="s">
        <v>194</v>
      </c>
    </row>
    <row r="7" spans="1:16" x14ac:dyDescent="0.25">
      <c r="B7" s="111"/>
      <c r="H7" s="108"/>
      <c r="I7" s="108"/>
      <c r="J7" s="108"/>
      <c r="K7" s="108"/>
    </row>
    <row r="8" spans="1:16" x14ac:dyDescent="0.25">
      <c r="B8" s="259" t="s">
        <v>98</v>
      </c>
      <c r="C8" s="259"/>
      <c r="D8" s="259"/>
      <c r="E8" s="259"/>
      <c r="F8" s="259"/>
      <c r="G8" s="259"/>
      <c r="H8" s="259"/>
      <c r="I8" s="259"/>
      <c r="J8" s="259"/>
      <c r="K8" s="460"/>
    </row>
    <row r="9" spans="1:16" x14ac:dyDescent="0.25">
      <c r="B9" s="35"/>
      <c r="C9" s="35"/>
      <c r="D9" s="35"/>
      <c r="E9" s="35"/>
      <c r="F9" s="35"/>
      <c r="G9" s="35"/>
      <c r="H9" s="35"/>
      <c r="I9" s="70"/>
      <c r="J9" s="54" t="s">
        <v>117</v>
      </c>
      <c r="L9" s="38"/>
      <c r="M9" s="38"/>
      <c r="O9" s="28"/>
      <c r="P9" s="28"/>
    </row>
    <row r="10" spans="1:16" x14ac:dyDescent="0.25">
      <c r="B10" s="467" t="s">
        <v>1</v>
      </c>
      <c r="C10" s="467"/>
      <c r="D10" s="189" t="s">
        <v>56</v>
      </c>
      <c r="E10" s="189" t="s">
        <v>495</v>
      </c>
      <c r="F10" s="449" t="s">
        <v>496</v>
      </c>
      <c r="G10" s="189" t="s">
        <v>497</v>
      </c>
      <c r="H10" s="189" t="s">
        <v>498</v>
      </c>
      <c r="I10" s="189" t="s">
        <v>499</v>
      </c>
      <c r="J10" s="55" t="s">
        <v>59</v>
      </c>
      <c r="L10" s="451" t="s">
        <v>58</v>
      </c>
      <c r="M10" s="451" t="s">
        <v>57</v>
      </c>
      <c r="N10" s="451" t="s">
        <v>55</v>
      </c>
      <c r="O10" s="451" t="s">
        <v>500</v>
      </c>
    </row>
    <row r="11" spans="1:16" x14ac:dyDescent="0.25">
      <c r="A11" s="35">
        <f>[1]Inventories!B5</f>
        <v>0</v>
      </c>
      <c r="B11" s="239" t="s">
        <v>235</v>
      </c>
      <c r="C11" s="239" t="s">
        <v>236</v>
      </c>
      <c r="D11" s="240">
        <v>0</v>
      </c>
      <c r="E11" s="240">
        <v>123000</v>
      </c>
      <c r="F11" s="240">
        <v>20.87</v>
      </c>
      <c r="G11" s="240">
        <f>E11-I11</f>
        <v>115110</v>
      </c>
      <c r="H11" s="240">
        <v>42.344999999999999</v>
      </c>
      <c r="I11" s="240">
        <v>7890</v>
      </c>
      <c r="J11" s="241">
        <f>D11+E11-G11-I11</f>
        <v>0</v>
      </c>
      <c r="K11" s="13"/>
      <c r="L11" s="16">
        <f>H11*G11</f>
        <v>4874332.95</v>
      </c>
      <c r="M11" s="16">
        <f t="shared" ref="M11:M43" si="0">E11*F11</f>
        <v>2567010</v>
      </c>
      <c r="N11" s="16">
        <f>J11*F11</f>
        <v>0</v>
      </c>
      <c r="O11" s="16">
        <f>I11*F11</f>
        <v>164664.30000000002</v>
      </c>
    </row>
    <row r="12" spans="1:16" x14ac:dyDescent="0.25">
      <c r="A12" s="35">
        <f>[1]Inventories!B6</f>
        <v>0</v>
      </c>
      <c r="B12" s="239" t="s">
        <v>235</v>
      </c>
      <c r="C12" s="239" t="s">
        <v>237</v>
      </c>
      <c r="D12" s="240">
        <v>0</v>
      </c>
      <c r="E12" s="240">
        <v>27162</v>
      </c>
      <c r="F12" s="240">
        <v>20.87</v>
      </c>
      <c r="G12" s="240">
        <f t="shared" ref="G12:G37" si="1">E12-I12</f>
        <v>24394</v>
      </c>
      <c r="H12" s="240">
        <v>42.344999999999999</v>
      </c>
      <c r="I12" s="240">
        <v>2768</v>
      </c>
      <c r="J12" s="241">
        <f t="shared" ref="J12:J43" si="2">D12+E12-G12-I12</f>
        <v>0</v>
      </c>
      <c r="L12" s="16">
        <f>H12*G12</f>
        <v>1032963.9299999999</v>
      </c>
      <c r="M12" s="16">
        <f t="shared" si="0"/>
        <v>566870.94000000006</v>
      </c>
      <c r="N12" s="16">
        <f>J12*F12</f>
        <v>0</v>
      </c>
      <c r="O12" s="16">
        <f t="shared" ref="O12:O43" si="3">I12*F12</f>
        <v>57768.160000000003</v>
      </c>
    </row>
    <row r="13" spans="1:16" x14ac:dyDescent="0.25">
      <c r="A13" s="35">
        <f>[1]Inventories!B7</f>
        <v>0</v>
      </c>
      <c r="B13" s="239" t="s">
        <v>235</v>
      </c>
      <c r="C13" s="239" t="s">
        <v>238</v>
      </c>
      <c r="D13" s="240">
        <v>0</v>
      </c>
      <c r="E13" s="240">
        <v>20000</v>
      </c>
      <c r="F13" s="240">
        <v>20.87</v>
      </c>
      <c r="G13" s="240">
        <f t="shared" si="1"/>
        <v>18460</v>
      </c>
      <c r="H13" s="240">
        <v>42.344999999999999</v>
      </c>
      <c r="I13" s="240">
        <v>1540</v>
      </c>
      <c r="J13" s="241">
        <f t="shared" si="2"/>
        <v>0</v>
      </c>
      <c r="L13" s="16">
        <f t="shared" ref="L13:L42" si="4">H13*G13</f>
        <v>781688.7</v>
      </c>
      <c r="M13" s="16">
        <f t="shared" si="0"/>
        <v>417400</v>
      </c>
      <c r="N13" s="16">
        <f t="shared" ref="N13:N43" si="5">J13*F13</f>
        <v>0</v>
      </c>
      <c r="O13" s="16">
        <f t="shared" si="3"/>
        <v>32139.800000000003</v>
      </c>
    </row>
    <row r="14" spans="1:16" x14ac:dyDescent="0.25">
      <c r="A14" s="35">
        <f>[1]Inventories!B8</f>
        <v>0</v>
      </c>
      <c r="B14" s="239" t="s">
        <v>235</v>
      </c>
      <c r="C14" s="239" t="s">
        <v>239</v>
      </c>
      <c r="D14" s="240">
        <v>0</v>
      </c>
      <c r="E14" s="240">
        <v>13000</v>
      </c>
      <c r="F14" s="240">
        <v>20.87</v>
      </c>
      <c r="G14" s="240">
        <f t="shared" si="1"/>
        <v>11050</v>
      </c>
      <c r="H14" s="240">
        <v>42.344999999999999</v>
      </c>
      <c r="I14" s="240">
        <v>1950</v>
      </c>
      <c r="J14" s="241">
        <f t="shared" si="2"/>
        <v>0</v>
      </c>
      <c r="L14" s="16">
        <f t="shared" si="4"/>
        <v>467912.25</v>
      </c>
      <c r="M14" s="16">
        <f t="shared" si="0"/>
        <v>271310</v>
      </c>
      <c r="N14" s="16">
        <f t="shared" si="5"/>
        <v>0</v>
      </c>
      <c r="O14" s="16">
        <f t="shared" si="3"/>
        <v>40696.5</v>
      </c>
    </row>
    <row r="15" spans="1:16" x14ac:dyDescent="0.25">
      <c r="A15" s="35">
        <f>[1]Inventories!B9</f>
        <v>0</v>
      </c>
      <c r="B15" s="239" t="s">
        <v>235</v>
      </c>
      <c r="C15" s="239" t="s">
        <v>240</v>
      </c>
      <c r="D15" s="240">
        <v>0</v>
      </c>
      <c r="E15" s="240">
        <v>49870</v>
      </c>
      <c r="F15" s="240">
        <v>20.87</v>
      </c>
      <c r="G15" s="240">
        <f t="shared" si="1"/>
        <v>42389.5</v>
      </c>
      <c r="H15" s="240">
        <v>42.344999999999999</v>
      </c>
      <c r="I15" s="240">
        <v>7480.5</v>
      </c>
      <c r="J15" s="241">
        <f t="shared" si="2"/>
        <v>0</v>
      </c>
      <c r="K15" s="452"/>
      <c r="L15" s="16">
        <f t="shared" si="4"/>
        <v>1794983.3774999999</v>
      </c>
      <c r="M15" s="16">
        <f t="shared" si="0"/>
        <v>1040786.9</v>
      </c>
      <c r="N15" s="16">
        <f t="shared" si="5"/>
        <v>0</v>
      </c>
      <c r="O15" s="16">
        <f t="shared" si="3"/>
        <v>156118.035</v>
      </c>
    </row>
    <row r="16" spans="1:16" x14ac:dyDescent="0.25">
      <c r="A16" s="35">
        <f>[1]Inventories!B10</f>
        <v>0</v>
      </c>
      <c r="B16" s="239" t="s">
        <v>235</v>
      </c>
      <c r="C16" s="239" t="s">
        <v>241</v>
      </c>
      <c r="D16" s="240">
        <v>0</v>
      </c>
      <c r="E16" s="240">
        <v>10000</v>
      </c>
      <c r="F16" s="240">
        <v>20.87</v>
      </c>
      <c r="G16" s="240">
        <f t="shared" si="1"/>
        <v>8500</v>
      </c>
      <c r="H16" s="240">
        <v>42.344999999999999</v>
      </c>
      <c r="I16" s="240">
        <v>1500</v>
      </c>
      <c r="J16" s="241">
        <f t="shared" si="2"/>
        <v>0</v>
      </c>
      <c r="L16" s="16">
        <f t="shared" si="4"/>
        <v>359932.5</v>
      </c>
      <c r="M16" s="16">
        <f t="shared" si="0"/>
        <v>208700</v>
      </c>
      <c r="N16" s="16">
        <f t="shared" si="5"/>
        <v>0</v>
      </c>
      <c r="O16" s="16">
        <f t="shared" si="3"/>
        <v>31305</v>
      </c>
    </row>
    <row r="17" spans="1:15" x14ac:dyDescent="0.25">
      <c r="A17" s="35">
        <f>[1]Inventories!B11</f>
        <v>0</v>
      </c>
      <c r="B17" s="239" t="s">
        <v>235</v>
      </c>
      <c r="C17" s="239" t="s">
        <v>242</v>
      </c>
      <c r="D17" s="240">
        <v>0</v>
      </c>
      <c r="E17" s="240">
        <v>10000</v>
      </c>
      <c r="F17" s="240">
        <v>20.87</v>
      </c>
      <c r="G17" s="240">
        <f t="shared" si="1"/>
        <v>8500</v>
      </c>
      <c r="H17" s="240">
        <v>42.344999999999999</v>
      </c>
      <c r="I17" s="240">
        <v>1500</v>
      </c>
      <c r="J17" s="241">
        <f t="shared" si="2"/>
        <v>0</v>
      </c>
      <c r="L17" s="16">
        <f t="shared" si="4"/>
        <v>359932.5</v>
      </c>
      <c r="M17" s="16">
        <f t="shared" si="0"/>
        <v>208700</v>
      </c>
      <c r="N17" s="16">
        <f t="shared" si="5"/>
        <v>0</v>
      </c>
      <c r="O17" s="16">
        <f t="shared" si="3"/>
        <v>31305</v>
      </c>
    </row>
    <row r="18" spans="1:15" x14ac:dyDescent="0.25">
      <c r="A18" s="35">
        <f>[1]Inventories!B12</f>
        <v>0</v>
      </c>
      <c r="B18" s="239" t="s">
        <v>235</v>
      </c>
      <c r="C18" s="239" t="s">
        <v>501</v>
      </c>
      <c r="D18" s="240">
        <v>0</v>
      </c>
      <c r="E18" s="240">
        <v>5000</v>
      </c>
      <c r="F18" s="240">
        <v>20.87</v>
      </c>
      <c r="G18" s="240">
        <f t="shared" si="1"/>
        <v>4250</v>
      </c>
      <c r="H18" s="240">
        <v>42.344999999999999</v>
      </c>
      <c r="I18" s="240">
        <v>750</v>
      </c>
      <c r="J18" s="241">
        <f t="shared" si="2"/>
        <v>0</v>
      </c>
      <c r="L18" s="16">
        <f t="shared" si="4"/>
        <v>179966.25</v>
      </c>
      <c r="M18" s="16">
        <f t="shared" si="0"/>
        <v>104350</v>
      </c>
      <c r="N18" s="16">
        <f t="shared" si="5"/>
        <v>0</v>
      </c>
      <c r="O18" s="16">
        <f t="shared" si="3"/>
        <v>15652.5</v>
      </c>
    </row>
    <row r="19" spans="1:15" x14ac:dyDescent="0.25">
      <c r="A19" s="35">
        <f>[1]Inventories!B13</f>
        <v>0</v>
      </c>
      <c r="B19" s="239" t="s">
        <v>235</v>
      </c>
      <c r="C19" s="239" t="s">
        <v>502</v>
      </c>
      <c r="D19" s="240">
        <v>0</v>
      </c>
      <c r="E19" s="240">
        <v>3000</v>
      </c>
      <c r="F19" s="240">
        <v>20.87</v>
      </c>
      <c r="G19" s="240">
        <f t="shared" si="1"/>
        <v>2550</v>
      </c>
      <c r="H19" s="240">
        <v>42.344999999999999</v>
      </c>
      <c r="I19" s="240">
        <v>450</v>
      </c>
      <c r="J19" s="241">
        <f t="shared" si="2"/>
        <v>0</v>
      </c>
      <c r="L19" s="16">
        <f t="shared" si="4"/>
        <v>107979.75</v>
      </c>
      <c r="M19" s="16">
        <f t="shared" si="0"/>
        <v>62610</v>
      </c>
      <c r="N19" s="16">
        <f t="shared" si="5"/>
        <v>0</v>
      </c>
      <c r="O19" s="16">
        <f t="shared" si="3"/>
        <v>9391.5</v>
      </c>
    </row>
    <row r="20" spans="1:15" x14ac:dyDescent="0.25">
      <c r="A20" s="35">
        <f>[1]Inventories!B14</f>
        <v>0</v>
      </c>
      <c r="B20" s="239" t="s">
        <v>235</v>
      </c>
      <c r="C20" s="239" t="s">
        <v>243</v>
      </c>
      <c r="D20" s="240">
        <v>0</v>
      </c>
      <c r="E20" s="240">
        <v>3000</v>
      </c>
      <c r="F20" s="240">
        <v>20.87</v>
      </c>
      <c r="G20" s="240">
        <f t="shared" si="1"/>
        <v>2550</v>
      </c>
      <c r="H20" s="240">
        <v>42.344999999999999</v>
      </c>
      <c r="I20" s="240">
        <v>450</v>
      </c>
      <c r="J20" s="241">
        <f t="shared" si="2"/>
        <v>0</v>
      </c>
      <c r="L20" s="16">
        <f t="shared" si="4"/>
        <v>107979.75</v>
      </c>
      <c r="M20" s="16">
        <f t="shared" si="0"/>
        <v>62610</v>
      </c>
      <c r="N20" s="16">
        <f t="shared" si="5"/>
        <v>0</v>
      </c>
      <c r="O20" s="16">
        <f t="shared" si="3"/>
        <v>9391.5</v>
      </c>
    </row>
    <row r="21" spans="1:15" x14ac:dyDescent="0.25">
      <c r="A21" s="35">
        <f>[1]Inventories!B15</f>
        <v>0</v>
      </c>
      <c r="B21" s="239" t="s">
        <v>235</v>
      </c>
      <c r="C21" s="239" t="s">
        <v>244</v>
      </c>
      <c r="D21" s="240">
        <v>0</v>
      </c>
      <c r="E21" s="240">
        <v>2000</v>
      </c>
      <c r="F21" s="240">
        <v>20.87</v>
      </c>
      <c r="G21" s="240">
        <f t="shared" si="1"/>
        <v>1700</v>
      </c>
      <c r="H21" s="240">
        <v>42.344999999999999</v>
      </c>
      <c r="I21" s="240">
        <v>300</v>
      </c>
      <c r="J21" s="241">
        <f t="shared" si="2"/>
        <v>0</v>
      </c>
      <c r="L21" s="16">
        <f t="shared" si="4"/>
        <v>71986.5</v>
      </c>
      <c r="M21" s="16">
        <f t="shared" si="0"/>
        <v>41740</v>
      </c>
      <c r="N21" s="16">
        <f t="shared" si="5"/>
        <v>0</v>
      </c>
      <c r="O21" s="16">
        <f t="shared" si="3"/>
        <v>6261</v>
      </c>
    </row>
    <row r="22" spans="1:15" x14ac:dyDescent="0.25">
      <c r="A22" s="35">
        <f>[1]Inventories!B16</f>
        <v>0</v>
      </c>
      <c r="B22" s="239" t="s">
        <v>235</v>
      </c>
      <c r="C22" s="239" t="s">
        <v>245</v>
      </c>
      <c r="D22" s="240">
        <v>0</v>
      </c>
      <c r="E22" s="240">
        <v>2000</v>
      </c>
      <c r="F22" s="240">
        <v>20.87</v>
      </c>
      <c r="G22" s="240">
        <f t="shared" si="1"/>
        <v>1700</v>
      </c>
      <c r="H22" s="240">
        <v>42.344999999999999</v>
      </c>
      <c r="I22" s="240">
        <v>300</v>
      </c>
      <c r="J22" s="241">
        <f t="shared" si="2"/>
        <v>0</v>
      </c>
      <c r="L22" s="16">
        <f t="shared" si="4"/>
        <v>71986.5</v>
      </c>
      <c r="M22" s="16">
        <f t="shared" si="0"/>
        <v>41740</v>
      </c>
      <c r="N22" s="16">
        <f t="shared" si="5"/>
        <v>0</v>
      </c>
      <c r="O22" s="16">
        <f t="shared" si="3"/>
        <v>6261</v>
      </c>
    </row>
    <row r="23" spans="1:15" x14ac:dyDescent="0.25">
      <c r="A23" s="35">
        <f>[1]Inventories!B17</f>
        <v>0</v>
      </c>
      <c r="B23" s="239" t="s">
        <v>235</v>
      </c>
      <c r="C23" s="239" t="s">
        <v>503</v>
      </c>
      <c r="D23" s="240">
        <v>0</v>
      </c>
      <c r="E23" s="240">
        <v>5000</v>
      </c>
      <c r="F23" s="240">
        <v>20.87</v>
      </c>
      <c r="G23" s="240">
        <f t="shared" si="1"/>
        <v>4250</v>
      </c>
      <c r="H23" s="240">
        <v>42.344999999999999</v>
      </c>
      <c r="I23" s="240">
        <v>750</v>
      </c>
      <c r="J23" s="241">
        <f t="shared" si="2"/>
        <v>0</v>
      </c>
      <c r="L23" s="16">
        <f t="shared" si="4"/>
        <v>179966.25</v>
      </c>
      <c r="M23" s="16">
        <f t="shared" si="0"/>
        <v>104350</v>
      </c>
      <c r="N23" s="16">
        <f t="shared" si="5"/>
        <v>0</v>
      </c>
      <c r="O23" s="16">
        <f t="shared" si="3"/>
        <v>15652.5</v>
      </c>
    </row>
    <row r="24" spans="1:15" x14ac:dyDescent="0.25">
      <c r="A24" s="35">
        <f>[1]Inventories!B18</f>
        <v>0</v>
      </c>
      <c r="B24" s="239" t="s">
        <v>235</v>
      </c>
      <c r="C24" s="239" t="s">
        <v>246</v>
      </c>
      <c r="D24" s="240">
        <v>0</v>
      </c>
      <c r="E24" s="240">
        <v>186790</v>
      </c>
      <c r="F24" s="240">
        <v>20.87</v>
      </c>
      <c r="G24" s="240">
        <f t="shared" si="1"/>
        <v>170720.5</v>
      </c>
      <c r="H24" s="240">
        <v>42.344999999999999</v>
      </c>
      <c r="I24" s="240">
        <v>16069.5</v>
      </c>
      <c r="J24" s="241">
        <f t="shared" si="2"/>
        <v>0</v>
      </c>
      <c r="L24" s="16">
        <f t="shared" si="4"/>
        <v>7229159.5724999998</v>
      </c>
      <c r="M24" s="410">
        <f t="shared" si="0"/>
        <v>3898307.3000000003</v>
      </c>
      <c r="N24" s="16">
        <f t="shared" si="5"/>
        <v>0</v>
      </c>
      <c r="O24" s="16">
        <f t="shared" si="3"/>
        <v>335370.46500000003</v>
      </c>
    </row>
    <row r="25" spans="1:15" x14ac:dyDescent="0.25">
      <c r="A25" s="35">
        <f>[1]Inventories!B19</f>
        <v>1</v>
      </c>
      <c r="B25" s="239" t="s">
        <v>60</v>
      </c>
      <c r="C25" s="239" t="s">
        <v>247</v>
      </c>
      <c r="D25" s="240">
        <f>130000-13422.7</f>
        <v>116577.3</v>
      </c>
      <c r="E25" s="240">
        <v>200000</v>
      </c>
      <c r="F25" s="240">
        <v>36.39</v>
      </c>
      <c r="G25" s="240">
        <v>170000</v>
      </c>
      <c r="H25" s="240">
        <v>60</v>
      </c>
      <c r="I25" s="240">
        <v>0</v>
      </c>
      <c r="J25" s="241">
        <f t="shared" si="2"/>
        <v>146577.29999999999</v>
      </c>
      <c r="L25" s="16">
        <f t="shared" si="4"/>
        <v>10200000</v>
      </c>
      <c r="M25" s="16">
        <f t="shared" si="0"/>
        <v>7278000</v>
      </c>
      <c r="N25" s="16">
        <f>J25*F25</f>
        <v>5333947.9469999997</v>
      </c>
      <c r="O25" s="16">
        <f t="shared" si="3"/>
        <v>0</v>
      </c>
    </row>
    <row r="26" spans="1:15" x14ac:dyDescent="0.25">
      <c r="A26" s="35">
        <f>[1]Inventories!B20</f>
        <v>1</v>
      </c>
      <c r="B26" s="239" t="s">
        <v>60</v>
      </c>
      <c r="C26" s="239" t="s">
        <v>248</v>
      </c>
      <c r="D26" s="240">
        <v>80000</v>
      </c>
      <c r="E26" s="240">
        <v>170000</v>
      </c>
      <c r="F26" s="240">
        <v>36.39</v>
      </c>
      <c r="G26" s="240">
        <v>144500</v>
      </c>
      <c r="H26" s="240">
        <v>60</v>
      </c>
      <c r="I26" s="240">
        <v>0</v>
      </c>
      <c r="J26" s="241">
        <f t="shared" si="2"/>
        <v>105500</v>
      </c>
      <c r="L26" s="16">
        <f t="shared" si="4"/>
        <v>8670000</v>
      </c>
      <c r="M26" s="16">
        <f t="shared" si="0"/>
        <v>6186300</v>
      </c>
      <c r="N26" s="16">
        <f t="shared" si="5"/>
        <v>3839145</v>
      </c>
      <c r="O26" s="16">
        <f t="shared" si="3"/>
        <v>0</v>
      </c>
    </row>
    <row r="27" spans="1:15" x14ac:dyDescent="0.25">
      <c r="A27" s="35">
        <f>[1]Inventories!B21</f>
        <v>1</v>
      </c>
      <c r="B27" s="239" t="s">
        <v>60</v>
      </c>
      <c r="C27" s="239" t="s">
        <v>249</v>
      </c>
      <c r="D27" s="240">
        <v>30000</v>
      </c>
      <c r="E27" s="240">
        <v>80000</v>
      </c>
      <c r="F27" s="240">
        <v>36.39</v>
      </c>
      <c r="G27" s="240">
        <v>74053</v>
      </c>
      <c r="H27" s="240">
        <v>60</v>
      </c>
      <c r="I27" s="240">
        <v>0</v>
      </c>
      <c r="J27" s="241">
        <f t="shared" si="2"/>
        <v>35947</v>
      </c>
      <c r="L27" s="16">
        <f t="shared" si="4"/>
        <v>4443180</v>
      </c>
      <c r="M27" s="16">
        <f t="shared" si="0"/>
        <v>2911200</v>
      </c>
      <c r="N27" s="16">
        <f t="shared" si="5"/>
        <v>1308111.33</v>
      </c>
      <c r="O27" s="16">
        <f t="shared" si="3"/>
        <v>0</v>
      </c>
    </row>
    <row r="28" spans="1:15" x14ac:dyDescent="0.25">
      <c r="A28" s="35">
        <f>[1]Inventories!B22</f>
        <v>1</v>
      </c>
      <c r="B28" s="239" t="s">
        <v>60</v>
      </c>
      <c r="C28" s="239" t="s">
        <v>250</v>
      </c>
      <c r="D28" s="240">
        <v>25000</v>
      </c>
      <c r="E28" s="240">
        <v>90000</v>
      </c>
      <c r="F28" s="240">
        <v>36.39</v>
      </c>
      <c r="G28" s="240">
        <v>76500</v>
      </c>
      <c r="H28" s="240">
        <v>60</v>
      </c>
      <c r="I28" s="240">
        <v>0</v>
      </c>
      <c r="J28" s="241">
        <f t="shared" si="2"/>
        <v>38500</v>
      </c>
      <c r="L28" s="16">
        <f t="shared" si="4"/>
        <v>4590000</v>
      </c>
      <c r="M28" s="16">
        <f t="shared" si="0"/>
        <v>3275100</v>
      </c>
      <c r="N28" s="16">
        <f t="shared" si="5"/>
        <v>1401015</v>
      </c>
      <c r="O28" s="16">
        <f t="shared" si="3"/>
        <v>0</v>
      </c>
    </row>
    <row r="29" spans="1:15" x14ac:dyDescent="0.25">
      <c r="A29" s="35">
        <f>[1]Inventories!B23</f>
        <v>1</v>
      </c>
      <c r="B29" s="239" t="s">
        <v>60</v>
      </c>
      <c r="C29" s="239" t="s">
        <v>251</v>
      </c>
      <c r="D29" s="240">
        <v>28000</v>
      </c>
      <c r="E29" s="240">
        <v>68000</v>
      </c>
      <c r="F29" s="240">
        <v>36.39</v>
      </c>
      <c r="G29" s="240">
        <v>58003</v>
      </c>
      <c r="H29" s="240">
        <v>60</v>
      </c>
      <c r="I29" s="240">
        <v>0</v>
      </c>
      <c r="J29" s="241">
        <f t="shared" si="2"/>
        <v>37997</v>
      </c>
      <c r="L29" s="16">
        <f t="shared" si="4"/>
        <v>3480180</v>
      </c>
      <c r="M29" s="16">
        <f t="shared" si="0"/>
        <v>2474520</v>
      </c>
      <c r="N29" s="16">
        <f t="shared" si="5"/>
        <v>1382710.83</v>
      </c>
      <c r="O29" s="16">
        <f t="shared" si="3"/>
        <v>0</v>
      </c>
    </row>
    <row r="30" spans="1:15" x14ac:dyDescent="0.25">
      <c r="A30" s="35">
        <f>[1]Inventories!B24</f>
        <v>1</v>
      </c>
      <c r="B30" s="239" t="s">
        <v>60</v>
      </c>
      <c r="C30" s="239" t="s">
        <v>252</v>
      </c>
      <c r="D30" s="240">
        <v>15000</v>
      </c>
      <c r="E30" s="240">
        <v>40000</v>
      </c>
      <c r="F30" s="240">
        <v>36.39</v>
      </c>
      <c r="G30" s="240">
        <v>34000</v>
      </c>
      <c r="H30" s="240">
        <v>60</v>
      </c>
      <c r="I30" s="240">
        <v>0</v>
      </c>
      <c r="J30" s="241">
        <f t="shared" si="2"/>
        <v>21000</v>
      </c>
      <c r="L30" s="16">
        <f t="shared" si="4"/>
        <v>2040000</v>
      </c>
      <c r="M30" s="16">
        <f t="shared" si="0"/>
        <v>1455600</v>
      </c>
      <c r="N30" s="16">
        <f t="shared" si="5"/>
        <v>764190</v>
      </c>
      <c r="O30" s="16">
        <f t="shared" si="3"/>
        <v>0</v>
      </c>
    </row>
    <row r="31" spans="1:15" x14ac:dyDescent="0.25">
      <c r="A31" s="35">
        <f>[1]Inventories!B25</f>
        <v>1</v>
      </c>
      <c r="B31" s="239" t="s">
        <v>60</v>
      </c>
      <c r="C31" s="239" t="s">
        <v>504</v>
      </c>
      <c r="D31" s="240">
        <v>10000</v>
      </c>
      <c r="E31" s="240">
        <v>15000</v>
      </c>
      <c r="F31" s="240">
        <v>36.39</v>
      </c>
      <c r="G31" s="240">
        <v>12750</v>
      </c>
      <c r="H31" s="240">
        <v>60</v>
      </c>
      <c r="I31" s="240">
        <v>0</v>
      </c>
      <c r="J31" s="241">
        <f t="shared" si="2"/>
        <v>12250</v>
      </c>
      <c r="L31" s="16">
        <f t="shared" si="4"/>
        <v>765000</v>
      </c>
      <c r="M31" s="16">
        <f t="shared" si="0"/>
        <v>545850</v>
      </c>
      <c r="N31" s="16">
        <f t="shared" si="5"/>
        <v>445777.5</v>
      </c>
      <c r="O31" s="16">
        <f t="shared" si="3"/>
        <v>0</v>
      </c>
    </row>
    <row r="32" spans="1:15" x14ac:dyDescent="0.25">
      <c r="A32" s="35">
        <f>[1]Inventories!B26</f>
        <v>1</v>
      </c>
      <c r="B32" s="239" t="s">
        <v>60</v>
      </c>
      <c r="C32" s="239" t="s">
        <v>253</v>
      </c>
      <c r="D32" s="240">
        <v>2000</v>
      </c>
      <c r="E32" s="240">
        <v>6170</v>
      </c>
      <c r="F32" s="240">
        <v>36.39</v>
      </c>
      <c r="G32" s="240">
        <v>5244.5</v>
      </c>
      <c r="H32" s="240">
        <v>60</v>
      </c>
      <c r="I32" s="240">
        <v>0</v>
      </c>
      <c r="J32" s="241">
        <f t="shared" si="2"/>
        <v>2925.5</v>
      </c>
      <c r="L32" s="16">
        <f t="shared" si="4"/>
        <v>314670</v>
      </c>
      <c r="M32" s="16">
        <f t="shared" si="0"/>
        <v>224526.30000000002</v>
      </c>
      <c r="N32" s="16">
        <f t="shared" si="5"/>
        <v>106458.94500000001</v>
      </c>
      <c r="O32" s="16">
        <f t="shared" si="3"/>
        <v>0</v>
      </c>
    </row>
    <row r="33" spans="1:18" x14ac:dyDescent="0.25">
      <c r="A33" s="35">
        <f>[1]Inventories!B27</f>
        <v>1</v>
      </c>
      <c r="B33" s="239" t="s">
        <v>60</v>
      </c>
      <c r="C33" s="239" t="s">
        <v>505</v>
      </c>
      <c r="D33" s="240">
        <v>1000</v>
      </c>
      <c r="E33" s="240">
        <v>2610.3000000000002</v>
      </c>
      <c r="F33" s="240">
        <v>36.39</v>
      </c>
      <c r="G33" s="240">
        <v>2218.4949999999999</v>
      </c>
      <c r="H33" s="240">
        <v>60</v>
      </c>
      <c r="I33" s="240">
        <v>0</v>
      </c>
      <c r="J33" s="241">
        <f t="shared" si="2"/>
        <v>1391.8050000000003</v>
      </c>
      <c r="L33" s="16">
        <f t="shared" si="4"/>
        <v>133109.69999999998</v>
      </c>
      <c r="M33" s="410">
        <f t="shared" si="0"/>
        <v>94988.81700000001</v>
      </c>
      <c r="N33" s="16">
        <f t="shared" si="5"/>
        <v>50647.783950000012</v>
      </c>
      <c r="O33" s="16">
        <f t="shared" si="3"/>
        <v>0</v>
      </c>
    </row>
    <row r="34" spans="1:18" x14ac:dyDescent="0.25">
      <c r="A34" s="35">
        <f>[1]Inventories!B28</f>
        <v>0</v>
      </c>
      <c r="B34" s="239" t="s">
        <v>61</v>
      </c>
      <c r="C34" s="239" t="s">
        <v>254</v>
      </c>
      <c r="D34" s="240">
        <v>0</v>
      </c>
      <c r="E34" s="240">
        <v>70000</v>
      </c>
      <c r="F34" s="240">
        <v>44.22</v>
      </c>
      <c r="G34" s="240">
        <f t="shared" si="1"/>
        <v>69138</v>
      </c>
      <c r="H34" s="240">
        <v>45</v>
      </c>
      <c r="I34" s="240">
        <v>862</v>
      </c>
      <c r="J34" s="241">
        <f t="shared" si="2"/>
        <v>0</v>
      </c>
      <c r="L34" s="16">
        <f t="shared" si="4"/>
        <v>3111210</v>
      </c>
      <c r="M34" s="16">
        <f t="shared" si="0"/>
        <v>3095400</v>
      </c>
      <c r="N34" s="16">
        <f t="shared" si="5"/>
        <v>0</v>
      </c>
      <c r="O34" s="16">
        <f t="shared" si="3"/>
        <v>38117.64</v>
      </c>
    </row>
    <row r="35" spans="1:18" x14ac:dyDescent="0.25">
      <c r="A35" s="35">
        <f>[1]Inventories!B29</f>
        <v>0</v>
      </c>
      <c r="B35" s="239" t="s">
        <v>61</v>
      </c>
      <c r="C35" s="239" t="s">
        <v>506</v>
      </c>
      <c r="D35" s="240">
        <v>0</v>
      </c>
      <c r="E35" s="240">
        <v>50000</v>
      </c>
      <c r="F35" s="240">
        <v>44.22</v>
      </c>
      <c r="G35" s="240">
        <f t="shared" si="1"/>
        <v>49500</v>
      </c>
      <c r="H35" s="240">
        <v>45</v>
      </c>
      <c r="I35" s="240">
        <v>500</v>
      </c>
      <c r="J35" s="241">
        <f t="shared" si="2"/>
        <v>0</v>
      </c>
      <c r="L35" s="16">
        <f t="shared" si="4"/>
        <v>2227500</v>
      </c>
      <c r="M35" s="16">
        <f t="shared" si="0"/>
        <v>2211000</v>
      </c>
      <c r="N35" s="16">
        <f t="shared" si="5"/>
        <v>0</v>
      </c>
      <c r="O35" s="16">
        <f t="shared" si="3"/>
        <v>22110</v>
      </c>
    </row>
    <row r="36" spans="1:18" x14ac:dyDescent="0.25">
      <c r="A36" s="35">
        <f>[1]Inventories!B30</f>
        <v>0</v>
      </c>
      <c r="B36" s="239" t="s">
        <v>61</v>
      </c>
      <c r="C36" s="239" t="s">
        <v>255</v>
      </c>
      <c r="D36" s="240">
        <v>0</v>
      </c>
      <c r="E36" s="240">
        <v>40000</v>
      </c>
      <c r="F36" s="240">
        <v>44.22</v>
      </c>
      <c r="G36" s="240">
        <f t="shared" si="1"/>
        <v>39533</v>
      </c>
      <c r="H36" s="240">
        <v>45</v>
      </c>
      <c r="I36" s="240">
        <v>467</v>
      </c>
      <c r="J36" s="241">
        <f t="shared" si="2"/>
        <v>0</v>
      </c>
      <c r="L36" s="16">
        <f t="shared" si="4"/>
        <v>1778985</v>
      </c>
      <c r="M36" s="16">
        <f t="shared" si="0"/>
        <v>1768800</v>
      </c>
      <c r="N36" s="16">
        <f t="shared" si="5"/>
        <v>0</v>
      </c>
      <c r="O36" s="16">
        <f t="shared" si="3"/>
        <v>20650.739999999998</v>
      </c>
    </row>
    <row r="37" spans="1:18" x14ac:dyDescent="0.25">
      <c r="A37" s="35">
        <f>[1]Inventories!B31</f>
        <v>0</v>
      </c>
      <c r="B37" s="239" t="s">
        <v>61</v>
      </c>
      <c r="C37" s="239" t="s">
        <v>256</v>
      </c>
      <c r="D37" s="240">
        <v>0</v>
      </c>
      <c r="E37" s="240">
        <v>17329</v>
      </c>
      <c r="F37" s="240">
        <v>44.22</v>
      </c>
      <c r="G37" s="240">
        <f t="shared" si="1"/>
        <v>16973</v>
      </c>
      <c r="H37" s="240">
        <v>45</v>
      </c>
      <c r="I37" s="240">
        <v>356</v>
      </c>
      <c r="J37" s="241">
        <f t="shared" si="2"/>
        <v>0</v>
      </c>
      <c r="L37" s="16">
        <f t="shared" si="4"/>
        <v>763785</v>
      </c>
      <c r="M37" s="410">
        <f t="shared" si="0"/>
        <v>766288.38</v>
      </c>
      <c r="N37" s="16">
        <f t="shared" si="5"/>
        <v>0</v>
      </c>
      <c r="O37" s="16">
        <f t="shared" si="3"/>
        <v>15742.32</v>
      </c>
    </row>
    <row r="38" spans="1:18" x14ac:dyDescent="0.25">
      <c r="A38" s="35">
        <f>[1]Inventories!B32</f>
        <v>1</v>
      </c>
      <c r="B38" s="239" t="s">
        <v>62</v>
      </c>
      <c r="C38" s="239" t="s">
        <v>257</v>
      </c>
      <c r="D38" s="240">
        <v>1000</v>
      </c>
      <c r="E38" s="240">
        <v>6900</v>
      </c>
      <c r="F38" s="240">
        <v>100.75</v>
      </c>
      <c r="G38" s="240">
        <v>3210</v>
      </c>
      <c r="H38" s="240">
        <v>216</v>
      </c>
      <c r="I38" s="240">
        <v>0</v>
      </c>
      <c r="J38" s="241">
        <f t="shared" si="2"/>
        <v>4690</v>
      </c>
      <c r="L38" s="16">
        <f>H38*G38-10</f>
        <v>693350</v>
      </c>
      <c r="M38" s="16">
        <f t="shared" si="0"/>
        <v>695175</v>
      </c>
      <c r="N38" s="16">
        <f t="shared" si="5"/>
        <v>472517.5</v>
      </c>
      <c r="O38" s="16">
        <f t="shared" si="3"/>
        <v>0</v>
      </c>
      <c r="R38">
        <v>7841488.3799999999</v>
      </c>
    </row>
    <row r="39" spans="1:18" x14ac:dyDescent="0.25">
      <c r="A39" s="35">
        <f>[1]Inventories!B33</f>
        <v>1</v>
      </c>
      <c r="B39" s="239" t="s">
        <v>62</v>
      </c>
      <c r="C39" s="239" t="s">
        <v>507</v>
      </c>
      <c r="D39" s="240">
        <v>200</v>
      </c>
      <c r="E39" s="240">
        <v>418.2</v>
      </c>
      <c r="F39" s="240">
        <v>100.75</v>
      </c>
      <c r="G39" s="240">
        <v>426.38</v>
      </c>
      <c r="H39" s="240">
        <v>216</v>
      </c>
      <c r="I39" s="240">
        <v>0</v>
      </c>
      <c r="J39" s="241">
        <f t="shared" si="2"/>
        <v>191.82000000000005</v>
      </c>
      <c r="L39" s="16">
        <f t="shared" si="4"/>
        <v>92098.08</v>
      </c>
      <c r="M39" s="16">
        <f t="shared" si="0"/>
        <v>42133.65</v>
      </c>
      <c r="N39" s="16">
        <f t="shared" si="5"/>
        <v>19325.865000000005</v>
      </c>
      <c r="O39" s="16">
        <f t="shared" si="3"/>
        <v>0</v>
      </c>
      <c r="R39">
        <v>9596485.1400000006</v>
      </c>
    </row>
    <row r="40" spans="1:18" x14ac:dyDescent="0.25">
      <c r="A40" s="35">
        <f>[1]Inventories!B34</f>
        <v>1</v>
      </c>
      <c r="B40" s="239" t="s">
        <v>62</v>
      </c>
      <c r="C40" s="239" t="s">
        <v>258</v>
      </c>
      <c r="D40" s="240">
        <v>200</v>
      </c>
      <c r="E40" s="240">
        <v>800</v>
      </c>
      <c r="F40" s="240">
        <v>100.75</v>
      </c>
      <c r="G40" s="240">
        <v>400</v>
      </c>
      <c r="H40" s="240">
        <v>216</v>
      </c>
      <c r="I40" s="240">
        <v>0</v>
      </c>
      <c r="J40" s="241">
        <f t="shared" si="2"/>
        <v>600</v>
      </c>
      <c r="L40" s="16">
        <f t="shared" si="4"/>
        <v>86400</v>
      </c>
      <c r="M40" s="16">
        <f t="shared" si="0"/>
        <v>80600</v>
      </c>
      <c r="N40" s="16">
        <f t="shared" si="5"/>
        <v>60450</v>
      </c>
      <c r="O40" s="16">
        <f t="shared" si="3"/>
        <v>0</v>
      </c>
      <c r="R40">
        <v>24446085.120000001</v>
      </c>
    </row>
    <row r="41" spans="1:18" x14ac:dyDescent="0.25">
      <c r="A41" s="35">
        <f>[1]Inventories!B35</f>
        <v>1</v>
      </c>
      <c r="B41" s="239" t="s">
        <v>62</v>
      </c>
      <c r="C41" s="239" t="s">
        <v>508</v>
      </c>
      <c r="D41" s="240">
        <v>100</v>
      </c>
      <c r="E41" s="240">
        <v>500</v>
      </c>
      <c r="F41" s="240">
        <v>100.75</v>
      </c>
      <c r="G41" s="240">
        <v>403</v>
      </c>
      <c r="H41" s="240">
        <v>216</v>
      </c>
      <c r="I41" s="240">
        <v>0</v>
      </c>
      <c r="J41" s="241">
        <f t="shared" si="2"/>
        <v>197</v>
      </c>
      <c r="L41" s="16">
        <f t="shared" si="4"/>
        <v>87048</v>
      </c>
      <c r="M41" s="16">
        <f t="shared" si="0"/>
        <v>50375</v>
      </c>
      <c r="N41" s="16">
        <f t="shared" si="5"/>
        <v>19847.75</v>
      </c>
      <c r="O41" s="16">
        <f t="shared" si="3"/>
        <v>0</v>
      </c>
      <c r="R41">
        <v>893471.15</v>
      </c>
    </row>
    <row r="42" spans="1:18" x14ac:dyDescent="0.25">
      <c r="A42" s="35">
        <f>[1]Inventories!B36</f>
        <v>1</v>
      </c>
      <c r="B42" s="239" t="s">
        <v>62</v>
      </c>
      <c r="C42" s="239" t="s">
        <v>509</v>
      </c>
      <c r="D42" s="240">
        <v>163.80000000000001</v>
      </c>
      <c r="E42" s="240">
        <v>250</v>
      </c>
      <c r="F42" s="240">
        <v>100.75</v>
      </c>
      <c r="G42" s="240">
        <v>197.62</v>
      </c>
      <c r="H42" s="240">
        <v>216</v>
      </c>
      <c r="I42" s="240">
        <v>0</v>
      </c>
      <c r="J42" s="241">
        <f t="shared" si="2"/>
        <v>216.18</v>
      </c>
      <c r="L42" s="16">
        <f t="shared" si="4"/>
        <v>42685.919999999998</v>
      </c>
      <c r="M42" s="410">
        <f t="shared" si="0"/>
        <v>25187.5</v>
      </c>
      <c r="N42" s="16">
        <f t="shared" si="5"/>
        <v>21780.135000000002</v>
      </c>
      <c r="O42" s="16">
        <f t="shared" si="3"/>
        <v>0</v>
      </c>
      <c r="R42">
        <v>127400</v>
      </c>
    </row>
    <row r="43" spans="1:18" x14ac:dyDescent="0.25">
      <c r="A43" s="35">
        <v>1</v>
      </c>
      <c r="B43" s="239" t="s">
        <v>510</v>
      </c>
      <c r="C43" s="239" t="s">
        <v>511</v>
      </c>
      <c r="D43" s="240">
        <v>0</v>
      </c>
      <c r="E43" s="240">
        <v>637</v>
      </c>
      <c r="F43" s="240">
        <v>200</v>
      </c>
      <c r="G43" s="240">
        <v>637</v>
      </c>
      <c r="H43" s="240">
        <v>300</v>
      </c>
      <c r="I43" s="240">
        <v>0</v>
      </c>
      <c r="J43" s="241">
        <f t="shared" si="2"/>
        <v>0</v>
      </c>
      <c r="L43" s="16">
        <f>H43*G43</f>
        <v>191100</v>
      </c>
      <c r="M43" s="410">
        <f t="shared" si="0"/>
        <v>127400</v>
      </c>
      <c r="N43" s="16">
        <f t="shared" si="5"/>
        <v>0</v>
      </c>
      <c r="O43" s="16">
        <f t="shared" si="3"/>
        <v>0</v>
      </c>
      <c r="R43">
        <f>SUM(R38:R42)</f>
        <v>42904929.789999999</v>
      </c>
    </row>
    <row r="44" spans="1:18" x14ac:dyDescent="0.25">
      <c r="A44" s="35"/>
      <c r="B44" s="239"/>
      <c r="C44" s="239"/>
      <c r="D44" s="240"/>
      <c r="E44" s="240"/>
      <c r="F44" s="240"/>
      <c r="G44" s="240"/>
      <c r="H44" s="240"/>
      <c r="I44" s="240"/>
      <c r="J44" s="241"/>
      <c r="K44" s="16"/>
      <c r="L44" s="16"/>
    </row>
    <row r="45" spans="1:18" x14ac:dyDescent="0.25">
      <c r="A45" s="35"/>
      <c r="B45" s="239"/>
      <c r="C45" s="239"/>
      <c r="D45" s="240"/>
      <c r="E45" s="240"/>
      <c r="F45" s="240"/>
      <c r="G45" s="240"/>
      <c r="H45" s="240"/>
      <c r="I45" s="240"/>
      <c r="J45" s="241"/>
      <c r="K45" s="16"/>
      <c r="L45" s="16"/>
    </row>
    <row r="46" spans="1:18" x14ac:dyDescent="0.25">
      <c r="B46" s="40"/>
      <c r="C46" s="25"/>
      <c r="D46" s="25"/>
      <c r="E46" s="25"/>
      <c r="F46" s="25"/>
      <c r="G46" s="43"/>
      <c r="H46" s="43"/>
      <c r="I46" s="43"/>
      <c r="J46" s="43"/>
      <c r="L46" s="16"/>
      <c r="M46" s="16">
        <f>SUM(M11:M43)</f>
        <v>42904929.787</v>
      </c>
      <c r="N46" s="16">
        <f>SUM(N11:N45)</f>
        <v>15225925.58595</v>
      </c>
      <c r="O46" s="16"/>
    </row>
    <row r="47" spans="1:18" x14ac:dyDescent="0.25">
      <c r="B47" s="44" t="s">
        <v>54</v>
      </c>
      <c r="C47" s="45"/>
      <c r="D47" s="45"/>
      <c r="E47" s="45"/>
      <c r="F47" s="45"/>
      <c r="G47" s="46"/>
      <c r="H47" s="46"/>
      <c r="I47" s="46"/>
      <c r="J47" s="46"/>
      <c r="K47" s="1"/>
      <c r="L47" s="29">
        <f>SUM(L11:L43)</f>
        <v>61331072.480000004</v>
      </c>
      <c r="M47" s="29">
        <v>42805784</v>
      </c>
      <c r="N47" s="29">
        <v>14632004.15</v>
      </c>
      <c r="O47" s="29">
        <f>SUM(O11:O43)</f>
        <v>1008597.96</v>
      </c>
    </row>
    <row r="48" spans="1:18" x14ac:dyDescent="0.25">
      <c r="B48" s="47"/>
      <c r="C48" s="40"/>
      <c r="D48" s="40"/>
      <c r="E48" s="40"/>
      <c r="F48" s="40"/>
      <c r="G48" s="40"/>
      <c r="H48" s="35"/>
      <c r="I48" s="35"/>
      <c r="J48" s="35"/>
      <c r="K48" s="35"/>
      <c r="N48" s="13">
        <f>M47-M46</f>
        <v>-99145.787000000477</v>
      </c>
      <c r="O48" s="13">
        <f>N47-N46</f>
        <v>-593921.43594999984</v>
      </c>
    </row>
    <row r="49" spans="2:15" x14ac:dyDescent="0.25">
      <c r="B49" s="259" t="s">
        <v>63</v>
      </c>
      <c r="C49" s="259"/>
      <c r="D49" s="259"/>
      <c r="E49" s="460"/>
      <c r="F49" s="460"/>
      <c r="G49" s="460"/>
      <c r="H49" s="460"/>
      <c r="I49" s="460"/>
      <c r="J49" s="460"/>
      <c r="K49" s="460"/>
      <c r="O49" s="13">
        <f>O48-N48</f>
        <v>-494775.64894999936</v>
      </c>
    </row>
    <row r="50" spans="2:15" x14ac:dyDescent="0.25">
      <c r="B50" s="48"/>
      <c r="C50" s="40"/>
      <c r="D50" s="189" t="str">
        <f>CONCATENATE((RIGHT($C$4,4)),"  (",(RIGHT($D$4,4)),")")</f>
        <v>2074  (2017)</v>
      </c>
      <c r="E50" s="275"/>
    </row>
    <row r="51" spans="2:15" x14ac:dyDescent="0.25">
      <c r="B51" s="33" t="s">
        <v>64</v>
      </c>
      <c r="C51" s="41"/>
      <c r="D51" s="49"/>
      <c r="E51" s="49"/>
    </row>
    <row r="52" spans="2:15" x14ac:dyDescent="0.25">
      <c r="B52" s="30" t="s">
        <v>271</v>
      </c>
      <c r="C52" s="41"/>
      <c r="D52" s="243">
        <v>0</v>
      </c>
      <c r="E52" s="49"/>
    </row>
    <row r="53" spans="2:15" x14ac:dyDescent="0.25">
      <c r="B53" s="30" t="s">
        <v>272</v>
      </c>
      <c r="C53" s="42"/>
      <c r="D53" s="243">
        <f>160000+239500</f>
        <v>399500</v>
      </c>
      <c r="E53" s="49"/>
    </row>
    <row r="54" spans="2:15" x14ac:dyDescent="0.25">
      <c r="B54" s="30" t="s">
        <v>273</v>
      </c>
      <c r="C54" s="42"/>
      <c r="D54" s="243">
        <f>372000+460500</f>
        <v>832500</v>
      </c>
      <c r="E54" s="49"/>
    </row>
    <row r="55" spans="2:15" x14ac:dyDescent="0.25">
      <c r="B55" s="30" t="s">
        <v>264</v>
      </c>
      <c r="C55" s="42"/>
      <c r="D55" s="243">
        <v>239500</v>
      </c>
      <c r="E55" s="49"/>
    </row>
    <row r="56" spans="2:15" x14ac:dyDescent="0.25">
      <c r="B56" s="30" t="s">
        <v>68</v>
      </c>
      <c r="C56" s="40"/>
      <c r="D56" s="243">
        <v>2695508</v>
      </c>
      <c r="E56" s="49"/>
    </row>
    <row r="57" spans="2:15" x14ac:dyDescent="0.25">
      <c r="B57" s="30" t="s">
        <v>512</v>
      </c>
      <c r="C57" s="48"/>
      <c r="D57" s="243">
        <v>1002925</v>
      </c>
      <c r="E57" s="49"/>
    </row>
    <row r="58" spans="2:15" x14ac:dyDescent="0.25">
      <c r="B58" s="30" t="s">
        <v>65</v>
      </c>
      <c r="C58" s="35"/>
      <c r="D58" s="243">
        <f>4800+143660.75</f>
        <v>148460.75</v>
      </c>
      <c r="E58" s="49"/>
    </row>
    <row r="59" spans="2:15" x14ac:dyDescent="0.25">
      <c r="B59" s="30" t="s">
        <v>513</v>
      </c>
      <c r="C59" s="35"/>
      <c r="D59" s="243">
        <v>1919632</v>
      </c>
      <c r="E59" s="49"/>
    </row>
    <row r="60" spans="2:15" x14ac:dyDescent="0.25">
      <c r="B60" s="30" t="s">
        <v>291</v>
      </c>
      <c r="C60" s="35"/>
      <c r="D60" s="243">
        <v>325153</v>
      </c>
      <c r="E60" s="49"/>
    </row>
    <row r="61" spans="2:15" x14ac:dyDescent="0.25">
      <c r="B61" s="30" t="s">
        <v>514</v>
      </c>
      <c r="C61" s="35"/>
      <c r="D61" s="243">
        <v>1000000</v>
      </c>
      <c r="E61" s="49"/>
    </row>
    <row r="62" spans="2:15" x14ac:dyDescent="0.25">
      <c r="B62" s="30" t="s">
        <v>265</v>
      </c>
      <c r="C62" s="35"/>
      <c r="D62" s="243">
        <v>2691704</v>
      </c>
      <c r="E62" s="49"/>
    </row>
    <row r="63" spans="2:15" x14ac:dyDescent="0.25">
      <c r="B63" s="32" t="s">
        <v>266</v>
      </c>
      <c r="C63" s="35"/>
      <c r="D63" s="243">
        <f>438035+61176+215800</f>
        <v>715011</v>
      </c>
      <c r="E63" s="49"/>
    </row>
    <row r="64" spans="2:15" x14ac:dyDescent="0.25">
      <c r="B64" s="30" t="s">
        <v>67</v>
      </c>
      <c r="C64" s="35"/>
      <c r="D64" s="243">
        <f>125000+156657</f>
        <v>281657</v>
      </c>
      <c r="E64" s="49"/>
    </row>
    <row r="65" spans="2:10" x14ac:dyDescent="0.25">
      <c r="B65" s="34" t="s">
        <v>69</v>
      </c>
      <c r="C65" s="50"/>
      <c r="D65" s="51">
        <f>SUM(D52:D64)</f>
        <v>12251550.75</v>
      </c>
      <c r="E65" s="210"/>
      <c r="G65" s="13"/>
    </row>
    <row r="66" spans="2:10" x14ac:dyDescent="0.25">
      <c r="B66" s="33"/>
      <c r="C66" s="42"/>
      <c r="D66" s="210"/>
      <c r="E66" s="210"/>
      <c r="G66" s="13"/>
    </row>
    <row r="67" spans="2:10" x14ac:dyDescent="0.25">
      <c r="B67" s="33" t="s">
        <v>42</v>
      </c>
      <c r="C67" s="25"/>
      <c r="D67" s="25"/>
      <c r="E67" s="25"/>
      <c r="F67" s="35"/>
      <c r="G67" s="35"/>
      <c r="H67" s="35"/>
      <c r="I67" s="49"/>
      <c r="J67" s="49"/>
    </row>
    <row r="68" spans="2:10" x14ac:dyDescent="0.25">
      <c r="D68" s="451" t="str">
        <f>D50</f>
        <v>2074  (2017)</v>
      </c>
      <c r="F68" s="35"/>
    </row>
    <row r="69" spans="2:10" x14ac:dyDescent="0.25">
      <c r="B69" s="30" t="s">
        <v>267</v>
      </c>
      <c r="C69" s="35"/>
      <c r="D69" s="243">
        <f>204000+25000+73800</f>
        <v>302800</v>
      </c>
      <c r="F69" s="49"/>
      <c r="I69" s="13"/>
    </row>
    <row r="70" spans="2:10" x14ac:dyDescent="0.25">
      <c r="B70" s="30" t="s">
        <v>268</v>
      </c>
      <c r="C70" s="35"/>
      <c r="D70" s="243">
        <f>18000+69000+25000+50000+25000</f>
        <v>187000</v>
      </c>
      <c r="F70" s="49"/>
    </row>
    <row r="71" spans="2:10" x14ac:dyDescent="0.25">
      <c r="B71" s="30" t="s">
        <v>269</v>
      </c>
      <c r="C71" s="35"/>
      <c r="D71" s="243">
        <v>122000</v>
      </c>
      <c r="F71" s="49"/>
    </row>
    <row r="72" spans="2:10" x14ac:dyDescent="0.25">
      <c r="B72" s="30" t="s">
        <v>288</v>
      </c>
      <c r="C72" s="35"/>
      <c r="D72" s="243">
        <v>115200</v>
      </c>
      <c r="F72" s="49"/>
    </row>
    <row r="73" spans="2:10" x14ac:dyDescent="0.25">
      <c r="B73" s="30" t="s">
        <v>515</v>
      </c>
      <c r="C73" s="35"/>
      <c r="D73" s="243">
        <f>145200+3600+200+8500+26500+25000+80500</f>
        <v>289500</v>
      </c>
      <c r="F73" s="49"/>
    </row>
    <row r="74" spans="2:10" x14ac:dyDescent="0.25">
      <c r="B74" s="30" t="s">
        <v>292</v>
      </c>
      <c r="C74" s="35"/>
      <c r="D74" s="243">
        <f>59835+5400</f>
        <v>65235</v>
      </c>
      <c r="F74" s="49"/>
    </row>
    <row r="75" spans="2:10" x14ac:dyDescent="0.25">
      <c r="B75" s="30" t="s">
        <v>516</v>
      </c>
      <c r="C75" s="35"/>
      <c r="D75" s="243">
        <v>520200</v>
      </c>
      <c r="F75" s="49"/>
    </row>
    <row r="76" spans="2:10" x14ac:dyDescent="0.25">
      <c r="B76" s="30" t="s">
        <v>289</v>
      </c>
      <c r="C76" s="35"/>
      <c r="D76" s="243">
        <v>325400</v>
      </c>
      <c r="F76" s="49"/>
    </row>
    <row r="77" spans="2:10" x14ac:dyDescent="0.25">
      <c r="B77" s="30" t="s">
        <v>290</v>
      </c>
      <c r="C77" s="35"/>
      <c r="D77" s="243">
        <v>40000</v>
      </c>
      <c r="F77" s="49"/>
    </row>
    <row r="78" spans="2:10" x14ac:dyDescent="0.25">
      <c r="B78" s="30" t="s">
        <v>293</v>
      </c>
      <c r="C78" s="35"/>
      <c r="D78" s="243">
        <v>918050</v>
      </c>
      <c r="F78" s="49"/>
    </row>
    <row r="79" spans="2:10" x14ac:dyDescent="0.25">
      <c r="B79" s="30" t="s">
        <v>270</v>
      </c>
      <c r="C79" s="35"/>
      <c r="D79" s="243">
        <v>175600</v>
      </c>
      <c r="F79" s="49"/>
    </row>
    <row r="80" spans="2:10" x14ac:dyDescent="0.25">
      <c r="B80" s="34" t="s">
        <v>69</v>
      </c>
      <c r="C80" s="45"/>
      <c r="D80" s="51">
        <f>SUM(D69:D79)</f>
        <v>3060985</v>
      </c>
      <c r="F80" s="210"/>
      <c r="H80" s="13"/>
    </row>
    <row r="81" spans="2:14" x14ac:dyDescent="0.25">
      <c r="B81" s="33" t="s">
        <v>66</v>
      </c>
      <c r="C81" s="35"/>
      <c r="D81" s="35"/>
      <c r="E81" s="49"/>
      <c r="F81" s="457"/>
    </row>
    <row r="82" spans="2:14" x14ac:dyDescent="0.25">
      <c r="B82" s="30" t="s">
        <v>275</v>
      </c>
      <c r="C82" s="35"/>
      <c r="D82" s="243">
        <v>0</v>
      </c>
      <c r="F82" s="457"/>
      <c r="H82" s="13"/>
    </row>
    <row r="83" spans="2:14" x14ac:dyDescent="0.25">
      <c r="B83" s="34" t="s">
        <v>69</v>
      </c>
      <c r="C83" s="45"/>
      <c r="D83" s="51">
        <f>SUM(D82:D82)</f>
        <v>0</v>
      </c>
      <c r="F83" s="210"/>
    </row>
    <row r="84" spans="2:14" s="23" customFormat="1" x14ac:dyDescent="0.25">
      <c r="B84" s="33"/>
      <c r="C84" s="40"/>
      <c r="D84" s="40"/>
      <c r="E84" s="40"/>
      <c r="F84" s="40"/>
      <c r="G84" s="40"/>
      <c r="H84" s="40"/>
      <c r="I84" s="40"/>
      <c r="J84" s="40"/>
      <c r="K84" s="40"/>
      <c r="L84" s="210"/>
      <c r="M84" s="210"/>
      <c r="N84" s="210"/>
    </row>
    <row r="85" spans="2:14" x14ac:dyDescent="0.25">
      <c r="B85" s="31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57"/>
    </row>
    <row r="86" spans="2:14" x14ac:dyDescent="0.25">
      <c r="B86" s="259" t="s">
        <v>71</v>
      </c>
      <c r="C86" s="259"/>
      <c r="D86" s="259"/>
    </row>
    <row r="87" spans="2:14" s="23" customFormat="1" x14ac:dyDescent="0.25">
      <c r="B87" s="52"/>
      <c r="C87" s="468" t="s">
        <v>3</v>
      </c>
      <c r="D87" s="468"/>
    </row>
    <row r="88" spans="2:14" x14ac:dyDescent="0.25">
      <c r="B88" s="35"/>
      <c r="C88" s="189" t="str">
        <f>LEFT($C$4,4)</f>
        <v>2073</v>
      </c>
      <c r="D88" s="189" t="str">
        <f>'[1]Balance Sheet'!D7</f>
        <v>2074  (2017)</v>
      </c>
    </row>
    <row r="90" spans="2:14" x14ac:dyDescent="0.25">
      <c r="B90" s="35" t="s">
        <v>72</v>
      </c>
      <c r="C90" s="244">
        <v>10000000</v>
      </c>
      <c r="D90" s="245">
        <v>10000000</v>
      </c>
    </row>
    <row r="91" spans="2:14" x14ac:dyDescent="0.25">
      <c r="B91" s="40" t="s">
        <v>73</v>
      </c>
      <c r="C91" s="244">
        <f>6990703.89+80729.24</f>
        <v>7071433.1299999999</v>
      </c>
      <c r="D91" s="245">
        <f>5730389.31+2182864.63</f>
        <v>7913253.9399999995</v>
      </c>
    </row>
    <row r="92" spans="2:14" x14ac:dyDescent="0.25">
      <c r="B92" s="35" t="s">
        <v>75</v>
      </c>
      <c r="C92" s="244">
        <v>0</v>
      </c>
      <c r="D92" s="245">
        <v>0</v>
      </c>
    </row>
    <row r="93" spans="2:14" x14ac:dyDescent="0.25">
      <c r="B93" s="35" t="s">
        <v>74</v>
      </c>
      <c r="C93" s="244">
        <v>13392446.33</v>
      </c>
      <c r="D93" s="245">
        <v>13666741.640000001</v>
      </c>
    </row>
    <row r="94" spans="2:14" x14ac:dyDescent="0.25">
      <c r="B94" s="35" t="s">
        <v>286</v>
      </c>
      <c r="C94" s="244">
        <v>590261.75</v>
      </c>
      <c r="D94" s="245">
        <v>1706583</v>
      </c>
    </row>
    <row r="95" spans="2:14" x14ac:dyDescent="0.25">
      <c r="B95" s="35" t="s">
        <v>76</v>
      </c>
      <c r="C95" s="244"/>
      <c r="D95" s="245"/>
    </row>
    <row r="96" spans="2:14" x14ac:dyDescent="0.25">
      <c r="B96" s="35" t="s">
        <v>77</v>
      </c>
      <c r="C96" s="244">
        <v>0</v>
      </c>
      <c r="D96" s="245">
        <v>0</v>
      </c>
    </row>
    <row r="97" spans="2:5" x14ac:dyDescent="0.25">
      <c r="B97" s="40" t="s">
        <v>78</v>
      </c>
      <c r="C97" s="244">
        <v>4784099.9000000004</v>
      </c>
      <c r="D97" s="245">
        <v>833352.87</v>
      </c>
    </row>
    <row r="98" spans="2:5" x14ac:dyDescent="0.25">
      <c r="B98" s="35" t="s">
        <v>79</v>
      </c>
      <c r="C98" s="244">
        <v>91302.75</v>
      </c>
      <c r="D98" s="245">
        <v>150000</v>
      </c>
    </row>
    <row r="99" spans="2:5" x14ac:dyDescent="0.25">
      <c r="B99" s="35" t="s">
        <v>80</v>
      </c>
      <c r="C99" s="244">
        <v>6537100</v>
      </c>
      <c r="D99" s="245">
        <v>4285200</v>
      </c>
    </row>
    <row r="100" spans="2:5" x14ac:dyDescent="0.25">
      <c r="B100" s="40" t="s">
        <v>189</v>
      </c>
      <c r="C100" s="244">
        <v>0</v>
      </c>
      <c r="D100" s="245">
        <v>0</v>
      </c>
    </row>
    <row r="101" spans="2:5" x14ac:dyDescent="0.25">
      <c r="B101" s="40" t="s">
        <v>188</v>
      </c>
      <c r="C101" s="250">
        <v>10369136.199999999</v>
      </c>
      <c r="D101" s="35"/>
    </row>
    <row r="102" spans="2:5" x14ac:dyDescent="0.25">
      <c r="B102" s="40" t="s">
        <v>192</v>
      </c>
      <c r="C102" s="250">
        <v>11490620.66</v>
      </c>
      <c r="D102" s="35"/>
    </row>
    <row r="103" spans="2:5" x14ac:dyDescent="0.25">
      <c r="B103" s="40" t="s">
        <v>287</v>
      </c>
      <c r="C103" s="281"/>
      <c r="D103" s="279">
        <v>3929308</v>
      </c>
    </row>
    <row r="104" spans="2:5" x14ac:dyDescent="0.25">
      <c r="B104" s="40" t="s">
        <v>294</v>
      </c>
      <c r="C104" s="281"/>
      <c r="D104" s="279">
        <v>2903961.5</v>
      </c>
    </row>
    <row r="105" spans="2:5" x14ac:dyDescent="0.25">
      <c r="B105" s="40" t="s">
        <v>517</v>
      </c>
      <c r="C105" s="281"/>
      <c r="D105" s="279">
        <v>918050</v>
      </c>
    </row>
    <row r="106" spans="2:5" x14ac:dyDescent="0.25">
      <c r="B106" s="40" t="s">
        <v>296</v>
      </c>
      <c r="C106" s="281"/>
      <c r="D106" s="279">
        <v>-114825.25</v>
      </c>
    </row>
    <row r="107" spans="2:5" x14ac:dyDescent="0.25">
      <c r="B107" s="40" t="s">
        <v>191</v>
      </c>
      <c r="C107" s="282">
        <v>0</v>
      </c>
      <c r="D107" s="243">
        <v>0</v>
      </c>
    </row>
    <row r="108" spans="2:5" x14ac:dyDescent="0.25">
      <c r="B108" s="30" t="s">
        <v>190</v>
      </c>
      <c r="C108" s="251">
        <v>1438555.51</v>
      </c>
      <c r="D108" s="243">
        <v>2015969.3</v>
      </c>
    </row>
    <row r="109" spans="2:5" x14ac:dyDescent="0.25">
      <c r="B109" s="30"/>
      <c r="C109" s="461"/>
      <c r="D109" s="461"/>
    </row>
    <row r="110" spans="2:5" x14ac:dyDescent="0.25">
      <c r="B110" s="259" t="s">
        <v>99</v>
      </c>
      <c r="C110" s="259"/>
      <c r="D110" s="259"/>
      <c r="E110" s="259"/>
    </row>
    <row r="111" spans="2:5" x14ac:dyDescent="0.25">
      <c r="B111" s="35"/>
      <c r="C111" s="35"/>
      <c r="D111" s="467" t="s">
        <v>105</v>
      </c>
      <c r="E111" s="467"/>
    </row>
    <row r="112" spans="2:5" x14ac:dyDescent="0.25">
      <c r="B112" s="35" t="s">
        <v>1</v>
      </c>
      <c r="C112" s="35" t="s">
        <v>100</v>
      </c>
      <c r="D112" s="195" t="str">
        <f>LEFT($C$4,4)</f>
        <v>2073</v>
      </c>
      <c r="E112" s="450" t="str">
        <f>D50</f>
        <v>2074  (2017)</v>
      </c>
    </row>
    <row r="113" spans="2:5" x14ac:dyDescent="0.25">
      <c r="B113" s="35" t="s">
        <v>81</v>
      </c>
      <c r="C113" s="252">
        <v>0</v>
      </c>
      <c r="D113" s="250">
        <v>4259875</v>
      </c>
      <c r="E113" s="253">
        <v>4259875</v>
      </c>
    </row>
    <row r="114" spans="2:5" x14ac:dyDescent="0.25">
      <c r="B114" s="35" t="s">
        <v>82</v>
      </c>
      <c r="C114" s="252">
        <v>0.05</v>
      </c>
      <c r="D114" s="244">
        <v>6077853.21</v>
      </c>
      <c r="E114" s="245">
        <v>7994894.2999999998</v>
      </c>
    </row>
    <row r="115" spans="2:5" x14ac:dyDescent="0.25">
      <c r="B115" s="40" t="s">
        <v>101</v>
      </c>
      <c r="C115" s="252">
        <v>0.25</v>
      </c>
      <c r="D115" s="244">
        <v>144102.65</v>
      </c>
      <c r="E115" s="245">
        <v>397074.49</v>
      </c>
    </row>
    <row r="116" spans="2:5" x14ac:dyDescent="0.25">
      <c r="B116" s="40" t="s">
        <v>84</v>
      </c>
      <c r="C116" s="252">
        <v>0.25</v>
      </c>
      <c r="D116" s="244">
        <v>1260800</v>
      </c>
      <c r="E116" s="245">
        <v>3157520</v>
      </c>
    </row>
    <row r="117" spans="2:5" x14ac:dyDescent="0.25">
      <c r="B117" s="40" t="s">
        <v>85</v>
      </c>
      <c r="C117" s="252">
        <v>0.2</v>
      </c>
      <c r="D117" s="244">
        <v>0</v>
      </c>
      <c r="E117" s="245">
        <v>0</v>
      </c>
    </row>
    <row r="118" spans="2:5" x14ac:dyDescent="0.25">
      <c r="B118" s="40" t="s">
        <v>102</v>
      </c>
      <c r="C118" s="252">
        <v>0.15</v>
      </c>
      <c r="D118" s="244">
        <v>6777523.2400000002</v>
      </c>
      <c r="E118" s="245">
        <v>10335307.08</v>
      </c>
    </row>
    <row r="119" spans="2:5" x14ac:dyDescent="0.25">
      <c r="B119" s="35"/>
      <c r="C119" s="35"/>
      <c r="D119" s="35"/>
      <c r="E119" s="35"/>
    </row>
    <row r="120" spans="2:5" x14ac:dyDescent="0.25">
      <c r="B120" s="40" t="s">
        <v>54</v>
      </c>
      <c r="C120" s="35"/>
      <c r="D120" s="194">
        <f>SUM(D113:D119)</f>
        <v>18520154.100000001</v>
      </c>
      <c r="E120" s="194">
        <f>SUM(E113:E119)</f>
        <v>26144670.870000001</v>
      </c>
    </row>
    <row r="122" spans="2:5" x14ac:dyDescent="0.25">
      <c r="B122" s="35" t="s">
        <v>103</v>
      </c>
      <c r="C122" s="35"/>
      <c r="D122" s="251">
        <v>1790778.49</v>
      </c>
      <c r="E122" s="243">
        <v>2859175.09</v>
      </c>
    </row>
    <row r="123" spans="2:5" x14ac:dyDescent="0.25">
      <c r="B123" s="35"/>
      <c r="C123" s="35"/>
      <c r="D123" s="35"/>
      <c r="E123" s="35"/>
    </row>
    <row r="124" spans="2:5" x14ac:dyDescent="0.25">
      <c r="B124" t="s">
        <v>150</v>
      </c>
      <c r="D124" s="254">
        <v>0</v>
      </c>
      <c r="E124" s="255">
        <f>7568597.1+3907500+377420-1255000</f>
        <v>10598517.1</v>
      </c>
    </row>
  </sheetData>
  <sheetProtection selectLockedCells="1"/>
  <mergeCells count="3">
    <mergeCell ref="D111:E111"/>
    <mergeCell ref="B10:C10"/>
    <mergeCell ref="C87:D8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9"/>
  <sheetViews>
    <sheetView zoomScale="112" zoomScaleNormal="112" workbookViewId="0">
      <selection activeCell="D2" sqref="D2"/>
    </sheetView>
  </sheetViews>
  <sheetFormatPr defaultRowHeight="15" x14ac:dyDescent="0.25"/>
  <cols>
    <col min="1" max="1" width="24.140625" customWidth="1"/>
    <col min="2" max="2" width="18.7109375" customWidth="1"/>
    <col min="3" max="3" width="14.85546875" customWidth="1"/>
    <col min="4" max="4" width="14.7109375" customWidth="1"/>
    <col min="5" max="5" width="15" customWidth="1"/>
    <col min="6" max="6" width="16.42578125" customWidth="1"/>
    <col min="7" max="7" width="16.28515625" customWidth="1"/>
    <col min="8" max="8" width="14.28515625" bestFit="1" customWidth="1"/>
  </cols>
  <sheetData>
    <row r="1" spans="1:8" ht="21.75" thickBot="1" x14ac:dyDescent="0.4">
      <c r="A1" s="268" t="s">
        <v>278</v>
      </c>
    </row>
    <row r="2" spans="1:8" ht="15.75" thickBot="1" x14ac:dyDescent="0.3">
      <c r="C2" s="291" t="str">
        <f>'Impact khadyasansthan'!C2</f>
        <v>2075  (2018)</v>
      </c>
      <c r="D2" s="291" t="str">
        <f>'Impact khadyasansthan'!D2</f>
        <v>2076  (2019)</v>
      </c>
      <c r="E2" s="291" t="str">
        <f>'Impact khadyasansthan'!E2</f>
        <v>2077  (2020)</v>
      </c>
      <c r="F2" s="291" t="str">
        <f>'Impact khadyasansthan'!F2</f>
        <v>2078  (2021)</v>
      </c>
      <c r="G2" s="291" t="str">
        <f>'Impact khadyasansthan'!G2</f>
        <v>2079  (2022)</v>
      </c>
    </row>
    <row r="3" spans="1:8" x14ac:dyDescent="0.25">
      <c r="A3" t="s">
        <v>345</v>
      </c>
      <c r="C3" s="464">
        <v>0</v>
      </c>
      <c r="D3" s="464">
        <v>0</v>
      </c>
      <c r="E3" s="464">
        <v>0</v>
      </c>
      <c r="F3" s="464">
        <v>0</v>
      </c>
      <c r="G3" s="464">
        <v>0</v>
      </c>
    </row>
    <row r="4" spans="1:8" x14ac:dyDescent="0.25">
      <c r="A4" t="s">
        <v>346</v>
      </c>
      <c r="C4" s="465">
        <v>0</v>
      </c>
      <c r="D4" s="465">
        <v>0</v>
      </c>
      <c r="E4" s="465">
        <v>0</v>
      </c>
      <c r="F4" s="465">
        <v>0</v>
      </c>
      <c r="G4" s="465">
        <v>0</v>
      </c>
    </row>
    <row r="5" spans="1:8" x14ac:dyDescent="0.25">
      <c r="A5" t="s">
        <v>348</v>
      </c>
      <c r="C5" s="465">
        <v>0</v>
      </c>
      <c r="D5" s="465">
        <v>0</v>
      </c>
      <c r="E5" s="465">
        <v>0</v>
      </c>
      <c r="F5" s="465">
        <v>0</v>
      </c>
      <c r="G5" s="465">
        <v>0</v>
      </c>
    </row>
    <row r="6" spans="1:8" ht="15.75" thickBot="1" x14ac:dyDescent="0.3">
      <c r="A6" t="s">
        <v>347</v>
      </c>
      <c r="C6" s="466">
        <v>0</v>
      </c>
      <c r="D6" s="466">
        <v>0</v>
      </c>
      <c r="E6" s="466">
        <v>0</v>
      </c>
      <c r="F6" s="466">
        <v>0</v>
      </c>
      <c r="G6" s="466">
        <v>0</v>
      </c>
    </row>
    <row r="9" spans="1:8" x14ac:dyDescent="0.25">
      <c r="A9" s="276" t="s">
        <v>1</v>
      </c>
      <c r="C9" s="276" t="str">
        <f>C2</f>
        <v>2075  (2018)</v>
      </c>
      <c r="D9" s="276" t="str">
        <f t="shared" ref="D9:G9" si="0">D2</f>
        <v>2076  (2019)</v>
      </c>
      <c r="E9" s="276" t="str">
        <f t="shared" si="0"/>
        <v>2077  (2020)</v>
      </c>
      <c r="F9" s="276" t="str">
        <f t="shared" si="0"/>
        <v>2078  (2021)</v>
      </c>
      <c r="G9" s="276" t="str">
        <f t="shared" si="0"/>
        <v>2079  (2022)</v>
      </c>
    </row>
    <row r="10" spans="1:8" x14ac:dyDescent="0.25">
      <c r="A10" s="276"/>
      <c r="C10" s="276"/>
      <c r="D10" s="276"/>
      <c r="E10" s="276"/>
      <c r="F10" s="276"/>
      <c r="G10" s="276"/>
    </row>
    <row r="11" spans="1:8" x14ac:dyDescent="0.25">
      <c r="A11" s="490" t="s">
        <v>314</v>
      </c>
      <c r="B11" s="290" t="s">
        <v>308</v>
      </c>
      <c r="C11" s="16">
        <f>'Profit or Loss'!E32</f>
        <v>10573001.467883764</v>
      </c>
      <c r="D11" s="16">
        <f>'Profit or Loss'!F32</f>
        <v>13522066.108027633</v>
      </c>
      <c r="E11" s="16">
        <f>'Profit or Loss'!G32</f>
        <v>19285482.592720129</v>
      </c>
      <c r="F11" s="16">
        <f>'Profit or Loss'!H32</f>
        <v>27752475.624249384</v>
      </c>
      <c r="G11" s="16">
        <f>'Profit or Loss'!I32</f>
        <v>38062478.595712669</v>
      </c>
    </row>
    <row r="12" spans="1:8" x14ac:dyDescent="0.25">
      <c r="A12" s="490"/>
      <c r="B12" s="297" t="s">
        <v>353</v>
      </c>
      <c r="C12" s="409">
        <f>C11+Inventories!O10-Inventories!M10-Inventories!I10+Inventories!H10</f>
        <v>10573001.467883766</v>
      </c>
      <c r="D12" s="409">
        <f>D11+Inventories!AC10-Inventories!AA10+Inventories!V10-Inventories!W10</f>
        <v>13522066.108027637</v>
      </c>
      <c r="E12" s="409">
        <f>E11+Inventories!AQ10-Inventories!AO10+Inventories!AJ10-Inventories!AK10</f>
        <v>19285482.592720136</v>
      </c>
      <c r="F12" s="409">
        <f>F11+Inventories!BE10-Inventories!BC10+Inventories!AX10-Inventories!AY10</f>
        <v>27752475.624249369</v>
      </c>
      <c r="G12" s="409">
        <f>G11+Inventories!BS10-Inventories!BQ10+Inventories!BL10-Inventories!BM10</f>
        <v>38062478.595712662</v>
      </c>
    </row>
    <row r="13" spans="1:8" x14ac:dyDescent="0.25">
      <c r="C13" s="448">
        <f>+(C11-C12)/C11</f>
        <v>-1.7616995087808063E-16</v>
      </c>
      <c r="D13" s="448">
        <f t="shared" ref="D13:F13" si="1">+(D11-D12)/D11</f>
        <v>-2.7549712216318215E-16</v>
      </c>
      <c r="E13" s="448">
        <f t="shared" si="1"/>
        <v>-3.8633104259139818E-16</v>
      </c>
      <c r="F13" s="448">
        <f t="shared" si="1"/>
        <v>5.3693088125181208E-16</v>
      </c>
      <c r="G13" s="448">
        <f>+(G11-G12)/G11</f>
        <v>1.9574606993048153E-16</v>
      </c>
    </row>
    <row r="14" spans="1:8" x14ac:dyDescent="0.25">
      <c r="A14" s="490" t="s">
        <v>312</v>
      </c>
      <c r="B14" s="290" t="s">
        <v>308</v>
      </c>
      <c r="C14" s="16">
        <f>'Balance Sheet'!E13</f>
        <v>23331650.747883767</v>
      </c>
      <c r="D14" s="16">
        <f>'Balance Sheet'!F13</f>
        <v>36853716.855911404</v>
      </c>
      <c r="E14" s="16">
        <f>'Balance Sheet'!G13</f>
        <v>56139199.448631532</v>
      </c>
      <c r="F14" s="16">
        <f>'Balance Sheet'!H13</f>
        <v>83891675.072880924</v>
      </c>
      <c r="G14" s="16">
        <f>'Balance Sheet'!I13</f>
        <v>121954153.66859359</v>
      </c>
    </row>
    <row r="15" spans="1:8" x14ac:dyDescent="0.25">
      <c r="A15" s="490"/>
      <c r="B15" s="297" t="s">
        <v>353</v>
      </c>
      <c r="C15" s="410">
        <f>C14+C12-C11</f>
        <v>23331650.747883767</v>
      </c>
      <c r="D15" s="410">
        <f>C15+D12</f>
        <v>36853716.855911404</v>
      </c>
      <c r="E15" s="410">
        <f>D15+E12</f>
        <v>56139199.44863154</v>
      </c>
      <c r="F15" s="410">
        <f>E15+F12</f>
        <v>83891675.072880909</v>
      </c>
      <c r="G15" s="410">
        <f>F15+G12</f>
        <v>121954153.66859357</v>
      </c>
      <c r="H15" s="13"/>
    </row>
    <row r="16" spans="1:8" x14ac:dyDescent="0.25">
      <c r="C16" s="448">
        <f>+(C14-C15)/C14</f>
        <v>0</v>
      </c>
      <c r="D16" s="448">
        <f t="shared" ref="D16" si="2">+(D14-D15)/D14</f>
        <v>0</v>
      </c>
      <c r="E16" s="448">
        <f t="shared" ref="E16" si="3">+(E14-E15)/E14</f>
        <v>-1.3271618886801646E-16</v>
      </c>
      <c r="F16" s="448">
        <f t="shared" ref="F16" si="4">+(F14-F15)/F14</f>
        <v>1.7762383670253653E-16</v>
      </c>
      <c r="G16" s="448">
        <f>+(G14-G15)/G14</f>
        <v>1.2218658197031217E-16</v>
      </c>
    </row>
    <row r="17" spans="1:7" x14ac:dyDescent="0.25">
      <c r="A17" s="490" t="s">
        <v>316</v>
      </c>
      <c r="B17" s="290" t="s">
        <v>308</v>
      </c>
      <c r="C17" s="16">
        <f>'Balance Sheet'!E39</f>
        <v>31134611.547383774</v>
      </c>
      <c r="D17" s="16">
        <f>'Balance Sheet'!F39</f>
        <v>31288014.05834914</v>
      </c>
      <c r="E17" s="16">
        <f>'Balance Sheet'!G39</f>
        <v>45119001.529537931</v>
      </c>
      <c r="F17" s="16">
        <f>'Balance Sheet'!H39</f>
        <v>70822623.067571282</v>
      </c>
      <c r="G17" s="16">
        <f>'Balance Sheet'!I39</f>
        <v>105893051.48609936</v>
      </c>
    </row>
    <row r="18" spans="1:7" x14ac:dyDescent="0.25">
      <c r="A18" s="490"/>
      <c r="B18" s="297" t="s">
        <v>353</v>
      </c>
      <c r="C18" s="410">
        <f>C17+C15-C14</f>
        <v>31134611.54738377</v>
      </c>
      <c r="D18" s="410">
        <f t="shared" ref="D18:G18" si="5">D17+D15-D14</f>
        <v>31288014.058349133</v>
      </c>
      <c r="E18" s="410">
        <f t="shared" si="5"/>
        <v>45119001.529537939</v>
      </c>
      <c r="F18" s="410">
        <f t="shared" si="5"/>
        <v>70822623.067571282</v>
      </c>
      <c r="G18" s="410">
        <f t="shared" si="5"/>
        <v>105893051.48609936</v>
      </c>
    </row>
    <row r="19" spans="1:7" x14ac:dyDescent="0.25">
      <c r="C19" s="448">
        <f>+(C17-C18)/C17</f>
        <v>1.1965109289359188E-16</v>
      </c>
      <c r="D19" s="448">
        <f t="shared" ref="D19" si="6">+(D17-D18)/D17</f>
        <v>2.3812890722399994E-16</v>
      </c>
      <c r="E19" s="448">
        <f t="shared" ref="E19" si="7">+(E17-E18)/E17</f>
        <v>-1.65131770304052E-16</v>
      </c>
      <c r="F19" s="448">
        <f t="shared" ref="F19" si="8">+(F17-F18)/F17</f>
        <v>0</v>
      </c>
      <c r="G19" s="448">
        <f>+(G17-G18)/G17</f>
        <v>0</v>
      </c>
    </row>
  </sheetData>
  <mergeCells count="3">
    <mergeCell ref="A11:A12"/>
    <mergeCell ref="A14:A15"/>
    <mergeCell ref="A17:A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5"/>
  <sheetViews>
    <sheetView topLeftCell="A24" zoomScale="112" zoomScaleNormal="112" workbookViewId="0">
      <selection activeCell="B30" sqref="B30"/>
    </sheetView>
  </sheetViews>
  <sheetFormatPr defaultRowHeight="15" x14ac:dyDescent="0.25"/>
  <cols>
    <col min="1" max="1" width="31.140625" bestFit="1" customWidth="1"/>
    <col min="2" max="2" width="17.140625" customWidth="1"/>
    <col min="3" max="3" width="15.85546875" bestFit="1" customWidth="1"/>
    <col min="4" max="4" width="15.42578125" bestFit="1" customWidth="1"/>
    <col min="5" max="7" width="15.85546875" bestFit="1" customWidth="1"/>
    <col min="8" max="8" width="14.28515625" bestFit="1" customWidth="1"/>
  </cols>
  <sheetData>
    <row r="1" spans="1:8" ht="21.75" thickBot="1" x14ac:dyDescent="0.4">
      <c r="A1" s="268" t="s">
        <v>483</v>
      </c>
    </row>
    <row r="2" spans="1:8" ht="15.75" thickBot="1" x14ac:dyDescent="0.3">
      <c r="C2" s="291" t="str">
        <f>C8</f>
        <v>2075  (2018)</v>
      </c>
      <c r="D2" s="292" t="str">
        <f t="shared" ref="D2:G2" si="0">D8</f>
        <v>2076  (2019)</v>
      </c>
      <c r="E2" s="292" t="str">
        <f t="shared" si="0"/>
        <v>2077  (2020)</v>
      </c>
      <c r="F2" s="292" t="str">
        <f t="shared" si="0"/>
        <v>2078  (2021)</v>
      </c>
      <c r="G2" s="293" t="str">
        <f t="shared" si="0"/>
        <v>2079  (2022)</v>
      </c>
    </row>
    <row r="3" spans="1:8" x14ac:dyDescent="0.25">
      <c r="A3" t="s">
        <v>279</v>
      </c>
      <c r="C3" s="464">
        <v>0</v>
      </c>
      <c r="D3" s="464">
        <v>0</v>
      </c>
      <c r="E3" s="464">
        <v>0</v>
      </c>
      <c r="F3" s="464">
        <v>0</v>
      </c>
      <c r="G3" s="464">
        <v>0</v>
      </c>
    </row>
    <row r="4" spans="1:8" x14ac:dyDescent="0.25">
      <c r="A4" t="s">
        <v>315</v>
      </c>
      <c r="C4" s="465">
        <v>0</v>
      </c>
      <c r="D4" s="465">
        <v>0</v>
      </c>
      <c r="E4" s="465">
        <v>0</v>
      </c>
      <c r="F4" s="465">
        <v>0</v>
      </c>
      <c r="G4" s="465">
        <v>0</v>
      </c>
    </row>
    <row r="5" spans="1:8" ht="15.75" thickBot="1" x14ac:dyDescent="0.3">
      <c r="A5" t="s">
        <v>280</v>
      </c>
      <c r="C5" s="466">
        <v>0</v>
      </c>
      <c r="D5" s="466">
        <v>0</v>
      </c>
      <c r="E5" s="466">
        <v>0</v>
      </c>
      <c r="F5" s="466">
        <v>0</v>
      </c>
      <c r="G5" s="466">
        <v>0</v>
      </c>
    </row>
    <row r="8" spans="1:8" x14ac:dyDescent="0.25">
      <c r="A8" s="273" t="s">
        <v>1</v>
      </c>
      <c r="C8" s="273" t="str">
        <f>'Profit or Loss'!E7</f>
        <v>2075  (2018)</v>
      </c>
      <c r="D8" s="273" t="str">
        <f>'Profit or Loss'!F7</f>
        <v>2076  (2019)</v>
      </c>
      <c r="E8" s="273" t="str">
        <f>'Profit or Loss'!G7</f>
        <v>2077  (2020)</v>
      </c>
      <c r="F8" s="273" t="str">
        <f>'Profit or Loss'!H7</f>
        <v>2078  (2021)</v>
      </c>
      <c r="G8" s="273" t="str">
        <f>'Profit or Loss'!I7</f>
        <v>2079  (2022)</v>
      </c>
    </row>
    <row r="9" spans="1:8" x14ac:dyDescent="0.25">
      <c r="A9" s="273"/>
      <c r="C9" s="273"/>
      <c r="D9" s="273"/>
      <c r="E9" s="273"/>
      <c r="F9" s="273"/>
      <c r="G9" s="273"/>
    </row>
    <row r="10" spans="1:8" x14ac:dyDescent="0.25">
      <c r="A10" s="490" t="s">
        <v>314</v>
      </c>
      <c r="B10" s="290" t="s">
        <v>308</v>
      </c>
      <c r="C10" s="10">
        <f>'Profit or Loss'!E32</f>
        <v>10573001.467883764</v>
      </c>
      <c r="D10" s="10">
        <f>'Profit or Loss'!F32</f>
        <v>13522066.108027633</v>
      </c>
      <c r="E10" s="10">
        <f>'Profit or Loss'!G32</f>
        <v>19285482.592720129</v>
      </c>
      <c r="F10" s="10">
        <f>'Profit or Loss'!H32</f>
        <v>27752475.624249384</v>
      </c>
      <c r="G10" s="10">
        <f>'Profit or Loss'!I32</f>
        <v>38062478.595712669</v>
      </c>
    </row>
    <row r="11" spans="1:8" x14ac:dyDescent="0.25">
      <c r="A11" s="490"/>
      <c r="B11" s="297" t="s">
        <v>309</v>
      </c>
      <c r="C11" s="298">
        <f>C10-Inventories!M10+Inventories!N10</f>
        <v>10573001.467883766</v>
      </c>
      <c r="D11" s="298">
        <f>D10-Inventories!AA10+Inventories!AB10</f>
        <v>13522066.108027637</v>
      </c>
      <c r="E11" s="298">
        <f>E10-Inventories!AO10+Inventories!AP10</f>
        <v>19285482.592720136</v>
      </c>
      <c r="F11" s="298">
        <f>F10-Inventories!BC10+Inventories!BD10</f>
        <v>27752475.624249384</v>
      </c>
      <c r="G11" s="298">
        <f>G10-Inventories!BQ10+Inventories!BR10</f>
        <v>38062478.595712662</v>
      </c>
    </row>
    <row r="12" spans="1:8" x14ac:dyDescent="0.25">
      <c r="C12" s="372">
        <f>+(C10-C11)/C10*100</f>
        <v>-1.7616995087808063E-14</v>
      </c>
      <c r="D12" s="372">
        <f t="shared" ref="D12:G12" si="1">+(D10-D11)/D10*100</f>
        <v>-2.7549712216318214E-14</v>
      </c>
      <c r="E12" s="372">
        <f t="shared" si="1"/>
        <v>-3.8633104259139821E-14</v>
      </c>
      <c r="F12" s="372">
        <f t="shared" si="1"/>
        <v>0</v>
      </c>
      <c r="G12" s="372">
        <f t="shared" si="1"/>
        <v>1.9574606993048153E-14</v>
      </c>
    </row>
    <row r="13" spans="1:8" x14ac:dyDescent="0.25">
      <c r="A13" s="490" t="s">
        <v>312</v>
      </c>
      <c r="B13" s="290" t="s">
        <v>308</v>
      </c>
      <c r="C13" s="10">
        <f>'Balance Sheet'!E13</f>
        <v>23331650.747883767</v>
      </c>
      <c r="D13" s="10">
        <f>'Balance Sheet'!F13</f>
        <v>36853716.855911404</v>
      </c>
      <c r="E13" s="10">
        <f>'Balance Sheet'!G13</f>
        <v>56139199.448631532</v>
      </c>
      <c r="F13" s="10">
        <f>'Balance Sheet'!H13</f>
        <v>83891675.072880924</v>
      </c>
      <c r="G13" s="10">
        <f>'Balance Sheet'!I13</f>
        <v>121954153.66859359</v>
      </c>
    </row>
    <row r="14" spans="1:8" x14ac:dyDescent="0.25">
      <c r="A14" s="490"/>
      <c r="B14" s="297" t="s">
        <v>309</v>
      </c>
      <c r="C14" s="298">
        <f>C13-C10+C11</f>
        <v>23331650.747883767</v>
      </c>
      <c r="D14" s="298">
        <f>C14+D11</f>
        <v>36853716.855911404</v>
      </c>
      <c r="E14" s="298">
        <f>D14+E11</f>
        <v>56139199.44863154</v>
      </c>
      <c r="F14" s="298">
        <f>E14+F11</f>
        <v>83891675.072880924</v>
      </c>
      <c r="G14" s="298">
        <f>F14+G11</f>
        <v>121954153.66859359</v>
      </c>
      <c r="H14" s="13"/>
    </row>
    <row r="15" spans="1:8" x14ac:dyDescent="0.25">
      <c r="C15" s="372">
        <f>+(C13-C14)/C13</f>
        <v>0</v>
      </c>
      <c r="D15" s="372">
        <f t="shared" ref="D15:G15" si="2">+(D13-D14)/D13</f>
        <v>0</v>
      </c>
      <c r="E15" s="372">
        <f t="shared" si="2"/>
        <v>-1.3271618886801646E-16</v>
      </c>
      <c r="F15" s="372">
        <f t="shared" si="2"/>
        <v>0</v>
      </c>
      <c r="G15" s="372">
        <f t="shared" si="2"/>
        <v>0</v>
      </c>
    </row>
    <row r="16" spans="1:8" x14ac:dyDescent="0.25">
      <c r="A16" s="490" t="s">
        <v>316</v>
      </c>
      <c r="B16" s="290" t="s">
        <v>308</v>
      </c>
      <c r="C16" s="13">
        <f>'Cash Flow'!E50</f>
        <v>31134611.547383774</v>
      </c>
      <c r="D16" s="13">
        <f>'Cash Flow'!F50</f>
        <v>31288014.05834914</v>
      </c>
      <c r="E16" s="13">
        <f>'Cash Flow'!G50</f>
        <v>45119001.529537931</v>
      </c>
      <c r="F16" s="13">
        <f>'Cash Flow'!H50</f>
        <v>70822623.067571282</v>
      </c>
      <c r="G16" s="13">
        <f>'Cash Flow'!I50</f>
        <v>105893051.48609936</v>
      </c>
    </row>
    <row r="17" spans="1:7" x14ac:dyDescent="0.25">
      <c r="A17" s="490"/>
      <c r="B17" s="297" t="s">
        <v>309</v>
      </c>
      <c r="C17" s="298">
        <f>C16-Inventories!M10+Inventories!N10</f>
        <v>31134611.54738377</v>
      </c>
      <c r="D17" s="298">
        <f>D16-Inventories!AA10+Inventories!AB10-Inventories!M10+Inventories!N10</f>
        <v>31288014.05834914</v>
      </c>
      <c r="E17" s="298">
        <f>E16-Inventories!AO10+Inventories!AP10-Inventories!AA10+Inventories!AB10-Inventories!M10+Inventories!N10</f>
        <v>45119001.529537931</v>
      </c>
      <c r="F17" s="298">
        <f>F16-Inventories!BC10+Inventories!BD10-Inventories!AO10+Inventories!AP10-Inventories!AA10+Inventories!AB10-Inventories!M10+Inventories!N10</f>
        <v>70822623.067571282</v>
      </c>
      <c r="G17" s="298">
        <f>G16-Inventories!BQ10+Inventories!BR10-Inventories!BC10+Inventories!BD10-Inventories!AO10+Inventories!AP10-Inventories!AA10+Inventories!AB10-Inventories!M10+Inventories!N10</f>
        <v>105893051.48609936</v>
      </c>
    </row>
    <row r="18" spans="1:7" x14ac:dyDescent="0.25">
      <c r="C18" s="372">
        <f>+(C16-C17)/C16</f>
        <v>1.1965109289359188E-16</v>
      </c>
      <c r="D18" s="372">
        <f t="shared" ref="D18" si="3">+(D16-D17)/D16</f>
        <v>0</v>
      </c>
      <c r="E18" s="372">
        <f t="shared" ref="E18" si="4">+(E16-E17)/E16</f>
        <v>0</v>
      </c>
      <c r="F18" s="372">
        <f t="shared" ref="F18" si="5">+(F16-F17)/F16</f>
        <v>0</v>
      </c>
      <c r="G18" s="372">
        <f t="shared" ref="G18" si="6">+(G16-G17)/G16</f>
        <v>0</v>
      </c>
    </row>
    <row r="19" spans="1:7" x14ac:dyDescent="0.25">
      <c r="A19" s="490" t="s">
        <v>313</v>
      </c>
      <c r="B19" s="290" t="s">
        <v>308</v>
      </c>
      <c r="C19" s="13">
        <f>'Profit or Loss'!E8</f>
        <v>65935030.029624</v>
      </c>
      <c r="D19" s="13">
        <f>'Profit or Loss'!F8</f>
        <v>81494090.612932026</v>
      </c>
      <c r="E19" s="13">
        <f>'Profit or Loss'!G8</f>
        <v>100764260.0687968</v>
      </c>
      <c r="F19" s="13">
        <f>'Profit or Loss'!H8</f>
        <v>124639513.62329516</v>
      </c>
      <c r="G19" s="13">
        <f>'Profit or Loss'!I8</f>
        <v>154231152.66444665</v>
      </c>
    </row>
    <row r="20" spans="1:7" x14ac:dyDescent="0.25">
      <c r="A20" s="490"/>
      <c r="B20" s="297" t="s">
        <v>309</v>
      </c>
      <c r="C20" s="298">
        <f>Inventories!N10</f>
        <v>65935030.029624</v>
      </c>
      <c r="D20" s="298">
        <f>Inventories!AB10</f>
        <v>81494090.612932026</v>
      </c>
      <c r="E20" s="298">
        <f>Inventories!AP10</f>
        <v>100764260.0687968</v>
      </c>
      <c r="F20" s="298">
        <f>Inventories!BD10</f>
        <v>124639513.62329516</v>
      </c>
      <c r="G20" s="298">
        <f>Inventories!BR10</f>
        <v>154231152.66444665</v>
      </c>
    </row>
    <row r="21" spans="1:7" x14ac:dyDescent="0.25">
      <c r="C21" s="372">
        <f>+(C19-C20)/C19</f>
        <v>0</v>
      </c>
      <c r="D21" s="372">
        <f t="shared" ref="D21" si="7">+(D19-D20)/D19</f>
        <v>0</v>
      </c>
      <c r="E21" s="372">
        <f t="shared" ref="E21" si="8">+(E19-E20)/E19</f>
        <v>0</v>
      </c>
      <c r="F21" s="372">
        <f t="shared" ref="F21" si="9">+(F19-F20)/F19</f>
        <v>0</v>
      </c>
      <c r="G21" s="372">
        <f t="shared" ref="G21" si="10">+(G19-G20)/G19</f>
        <v>0</v>
      </c>
    </row>
    <row r="23" spans="1:7" ht="19.5" x14ac:dyDescent="0.3">
      <c r="A23" s="309" t="s">
        <v>344</v>
      </c>
    </row>
    <row r="24" spans="1:7" x14ac:dyDescent="0.25">
      <c r="A24" s="2" t="s">
        <v>320</v>
      </c>
    </row>
    <row r="26" spans="1:7" x14ac:dyDescent="0.25">
      <c r="A26" t="s">
        <v>321</v>
      </c>
      <c r="B26" s="310">
        <v>5</v>
      </c>
    </row>
    <row r="27" spans="1:7" x14ac:dyDescent="0.25">
      <c r="A27" t="s">
        <v>322</v>
      </c>
      <c r="B27" s="310">
        <v>2075</v>
      </c>
    </row>
    <row r="29" spans="1:7" x14ac:dyDescent="0.25">
      <c r="A29" t="s">
        <v>323</v>
      </c>
      <c r="B29" s="311">
        <f>SUMIFS('Fund Position'!C19:BJ19,'Fund Position'!$C$12:$BJ$12,'Impact khadyasansthan'!$B$27,'Fund Position'!$C$13:$BJ$13,'Impact khadyasansthan'!$B$26)</f>
        <v>568071.19999999995</v>
      </c>
    </row>
    <row r="30" spans="1:7" x14ac:dyDescent="0.25">
      <c r="A30" t="s">
        <v>341</v>
      </c>
      <c r="B30" s="311">
        <f>SUMIFS('Fund Position'!C21:BJ21,'Fund Position'!$C$12:$BJ$12,'Impact khadyasansthan'!$B$27,'Fund Position'!$C$13:$BJ$13,'Impact khadyasansthan'!$B$26)</f>
        <v>19235246.939999998</v>
      </c>
    </row>
    <row r="31" spans="1:7" x14ac:dyDescent="0.25">
      <c r="A31" t="s">
        <v>343</v>
      </c>
      <c r="B31" s="311">
        <f>SUMIFS('Fund Position'!C23:BJ23,'Fund Position'!$C$12:$BJ$12,'Impact khadyasansthan'!$B$27,'Fund Position'!$C$13:$BJ$13,'Impact khadyasansthan'!$B$26)</f>
        <v>38202718.68</v>
      </c>
      <c r="C31" s="13"/>
    </row>
    <row r="32" spans="1:7" x14ac:dyDescent="0.25">
      <c r="B32" s="311"/>
    </row>
    <row r="33" spans="1:7" x14ac:dyDescent="0.25">
      <c r="A33" s="276" t="s">
        <v>1</v>
      </c>
      <c r="C33" s="276" t="str">
        <f>C8</f>
        <v>2075  (2018)</v>
      </c>
      <c r="D33" s="276" t="str">
        <f t="shared" ref="D33:G33" si="11">D8</f>
        <v>2076  (2019)</v>
      </c>
      <c r="E33" s="276" t="str">
        <f t="shared" si="11"/>
        <v>2077  (2020)</v>
      </c>
      <c r="F33" s="276" t="str">
        <f t="shared" si="11"/>
        <v>2078  (2021)</v>
      </c>
      <c r="G33" s="276" t="str">
        <f t="shared" si="11"/>
        <v>2079  (2022)</v>
      </c>
    </row>
    <row r="34" spans="1:7" ht="15.75" thickBot="1" x14ac:dyDescent="0.3">
      <c r="A34" s="276"/>
      <c r="C34" s="276"/>
      <c r="D34" s="276"/>
      <c r="E34" s="276"/>
      <c r="F34" s="276"/>
      <c r="G34" s="276"/>
    </row>
    <row r="35" spans="1:7" x14ac:dyDescent="0.25">
      <c r="A35" s="491" t="s">
        <v>314</v>
      </c>
      <c r="B35" s="328" t="s">
        <v>308</v>
      </c>
      <c r="C35" s="329">
        <f>C10</f>
        <v>10573001.467883764</v>
      </c>
      <c r="D35" s="329">
        <f>D10</f>
        <v>13522066.108027633</v>
      </c>
      <c r="E35" s="329">
        <f>E10</f>
        <v>19285482.592720129</v>
      </c>
      <c r="F35" s="329">
        <f>F10</f>
        <v>27752475.624249384</v>
      </c>
      <c r="G35" s="330">
        <f>G10</f>
        <v>38062478.595712669</v>
      </c>
    </row>
    <row r="36" spans="1:7" ht="15.75" thickBot="1" x14ac:dyDescent="0.3">
      <c r="A36" s="492"/>
      <c r="B36" s="331" t="s">
        <v>309</v>
      </c>
      <c r="C36" s="332">
        <f>IF(AND(INT(LEFT(C33,4))=$B$27,$B$26&lt;4),C35-$B$31,IF(AND(INT(LEFT(C33,4))-1=$B$27,$B$26&gt;3),C35-$B$31,C35))</f>
        <v>10573001.467883764</v>
      </c>
      <c r="D36" s="332">
        <f>IF(AND(INT(LEFT(D33,4))=$B$27,$B$26&lt;4),D35-$B$31,IF(AND(INT(LEFT(D33,4))-1=$B$27,$B$26&gt;3),D35-$B$31,D35))</f>
        <v>-24680652.571972366</v>
      </c>
      <c r="E36" s="332">
        <f>IF(AND(INT(LEFT(E33,4))=$B$27,$B$26&lt;4),E35-$B$31,IF(AND(INT(LEFT(E33,4))-1=$B$27,$B$26&gt;3),E35-$B$31,E35))</f>
        <v>19285482.592720129</v>
      </c>
      <c r="F36" s="332">
        <f>IF(AND(INT(LEFT(F33,4))=$B$27,$B$26&lt;4),F35-$B$31,IF(AND(INT(LEFT(F33,4))-1=$B$27,$B$26&gt;3),F35-$B$31,F35))</f>
        <v>27752475.624249384</v>
      </c>
      <c r="G36" s="333">
        <f>IF(AND(INT(LEFT(G33,4))=$B$27,$B$26&lt;4),G35-$B$31,IF(AND(INT(LEFT(G33,4))-1=$B$27,$B$26&gt;3),G35-$B$31,G35))</f>
        <v>38062478.595712669</v>
      </c>
    </row>
    <row r="37" spans="1:7" ht="15.75" thickBot="1" x14ac:dyDescent="0.3">
      <c r="C37" s="10"/>
      <c r="D37" s="10"/>
      <c r="E37" s="10"/>
      <c r="F37" s="10"/>
      <c r="G37" s="10"/>
    </row>
    <row r="38" spans="1:7" x14ac:dyDescent="0.25">
      <c r="A38" s="491" t="s">
        <v>312</v>
      </c>
      <c r="B38" s="328" t="s">
        <v>308</v>
      </c>
      <c r="C38" s="334">
        <f>'Balance Sheet'!E42</f>
        <v>5142240</v>
      </c>
      <c r="D38" s="334">
        <f>'Balance Sheet'!F42</f>
        <v>6042892.895571976</v>
      </c>
      <c r="E38" s="334">
        <f>'Balance Sheet'!G42</f>
        <v>7103671.5534720756</v>
      </c>
      <c r="F38" s="334">
        <f>'Balance Sheet'!H42</f>
        <v>8353457.5093375724</v>
      </c>
      <c r="G38" s="335">
        <f>'Balance Sheet'!I42</f>
        <v>9826413.2797061838</v>
      </c>
    </row>
    <row r="39" spans="1:7" ht="15.75" thickBot="1" x14ac:dyDescent="0.3">
      <c r="A39" s="492"/>
      <c r="B39" s="331" t="s">
        <v>309</v>
      </c>
      <c r="C39" s="336">
        <f>C38-C35+C36</f>
        <v>5142240</v>
      </c>
      <c r="D39" s="336">
        <f>C39+D36</f>
        <v>-19538412.571972366</v>
      </c>
      <c r="E39" s="336">
        <f>D39+E36</f>
        <v>-252929.97925223783</v>
      </c>
      <c r="F39" s="336">
        <f>E39+F36</f>
        <v>27499545.644997146</v>
      </c>
      <c r="G39" s="337">
        <f>F39+G36</f>
        <v>65562024.240709811</v>
      </c>
    </row>
    <row r="40" spans="1:7" ht="15.75" thickBot="1" x14ac:dyDescent="0.3">
      <c r="C40" s="10"/>
      <c r="D40" s="10"/>
      <c r="E40" s="10"/>
      <c r="F40" s="10"/>
      <c r="G40" s="10"/>
    </row>
    <row r="41" spans="1:7" x14ac:dyDescent="0.25">
      <c r="A41" s="491" t="s">
        <v>316</v>
      </c>
      <c r="B41" s="328" t="s">
        <v>308</v>
      </c>
      <c r="C41" s="329">
        <f t="shared" ref="C41:G41" si="12">C16</f>
        <v>31134611.547383774</v>
      </c>
      <c r="D41" s="329">
        <f t="shared" si="12"/>
        <v>31288014.05834914</v>
      </c>
      <c r="E41" s="329">
        <f t="shared" si="12"/>
        <v>45119001.529537931</v>
      </c>
      <c r="F41" s="329">
        <f t="shared" si="12"/>
        <v>70822623.067571282</v>
      </c>
      <c r="G41" s="330">
        <f t="shared" si="12"/>
        <v>105893051.48609936</v>
      </c>
    </row>
    <row r="42" spans="1:7" ht="15.75" thickBot="1" x14ac:dyDescent="0.3">
      <c r="A42" s="492"/>
      <c r="B42" s="331" t="s">
        <v>309</v>
      </c>
      <c r="C42" s="332">
        <f t="shared" ref="C42:G42" si="13">C17</f>
        <v>31134611.54738377</v>
      </c>
      <c r="D42" s="332">
        <f t="shared" si="13"/>
        <v>31288014.05834914</v>
      </c>
      <c r="E42" s="332">
        <f t="shared" si="13"/>
        <v>45119001.529537931</v>
      </c>
      <c r="F42" s="332">
        <f t="shared" si="13"/>
        <v>70822623.067571282</v>
      </c>
      <c r="G42" s="333">
        <f t="shared" si="13"/>
        <v>105893051.48609936</v>
      </c>
    </row>
    <row r="43" spans="1:7" x14ac:dyDescent="0.25">
      <c r="B43" s="311"/>
    </row>
    <row r="45" spans="1:7" x14ac:dyDescent="0.25">
      <c r="A45" s="351"/>
    </row>
  </sheetData>
  <mergeCells count="7">
    <mergeCell ref="A35:A36"/>
    <mergeCell ref="A38:A39"/>
    <mergeCell ref="A41:A42"/>
    <mergeCell ref="A10:A11"/>
    <mergeCell ref="A13:A14"/>
    <mergeCell ref="A16:A17"/>
    <mergeCell ref="A19:A20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zoomScale="106" zoomScaleNormal="106" workbookViewId="0">
      <selection activeCell="D14" sqref="D14"/>
    </sheetView>
  </sheetViews>
  <sheetFormatPr defaultRowHeight="15" x14ac:dyDescent="0.25"/>
  <cols>
    <col min="1" max="1" width="18.7109375" customWidth="1"/>
    <col min="2" max="2" width="24" customWidth="1"/>
    <col min="3" max="3" width="23.42578125" customWidth="1"/>
    <col min="4" max="4" width="21.7109375" customWidth="1"/>
    <col min="5" max="5" width="18.85546875" customWidth="1"/>
    <col min="6" max="6" width="21.7109375" bestFit="1" customWidth="1"/>
    <col min="7" max="7" width="19.7109375" bestFit="1" customWidth="1"/>
    <col min="8" max="8" width="13.28515625" bestFit="1" customWidth="1"/>
  </cols>
  <sheetData>
    <row r="1" spans="1:8" ht="21" x14ac:dyDescent="0.35">
      <c r="A1" s="313" t="s">
        <v>324</v>
      </c>
    </row>
    <row r="2" spans="1:8" ht="15.75" thickBot="1" x14ac:dyDescent="0.3"/>
    <row r="3" spans="1:8" ht="15.75" thickBot="1" x14ac:dyDescent="0.3">
      <c r="C3" s="291" t="str">
        <f>'Impact khadyasansthan'!C2</f>
        <v>2075  (2018)</v>
      </c>
      <c r="D3" s="291" t="str">
        <f>'Impact khadyasansthan'!D2</f>
        <v>2076  (2019)</v>
      </c>
      <c r="E3" s="291" t="str">
        <f>'Impact khadyasansthan'!E2</f>
        <v>2077  (2020)</v>
      </c>
      <c r="F3" s="291" t="str">
        <f>'Impact khadyasansthan'!F2</f>
        <v>2078  (2021)</v>
      </c>
      <c r="G3" s="315" t="str">
        <f>'Impact khadyasansthan'!G2</f>
        <v>2079  (2022)</v>
      </c>
    </row>
    <row r="4" spans="1:8" x14ac:dyDescent="0.25">
      <c r="A4" t="s">
        <v>325</v>
      </c>
      <c r="C4" s="464">
        <v>0.05</v>
      </c>
      <c r="D4" s="464">
        <v>0.05</v>
      </c>
      <c r="E4" s="464">
        <v>0.05</v>
      </c>
      <c r="F4" s="464">
        <v>0.05</v>
      </c>
      <c r="G4" s="314">
        <v>0.05</v>
      </c>
    </row>
    <row r="5" spans="1:8" ht="15.75" thickBot="1" x14ac:dyDescent="0.3">
      <c r="A5" t="s">
        <v>326</v>
      </c>
      <c r="C5" s="466">
        <v>9.5000000000000001E-2</v>
      </c>
      <c r="D5" s="466">
        <v>9.5000000000000001E-2</v>
      </c>
      <c r="E5" s="466">
        <v>9.5000000000000001E-2</v>
      </c>
      <c r="F5" s="466">
        <v>9.5000000000000001E-2</v>
      </c>
      <c r="G5" s="299">
        <v>9.5000000000000001E-2</v>
      </c>
      <c r="H5" t="s">
        <v>328</v>
      </c>
    </row>
    <row r="7" spans="1:8" x14ac:dyDescent="0.25">
      <c r="C7" s="10"/>
    </row>
    <row r="8" spans="1:8" x14ac:dyDescent="0.25">
      <c r="A8" s="276" t="s">
        <v>1</v>
      </c>
      <c r="C8" s="276" t="str">
        <f>'Profit or Loss'!E7</f>
        <v>2075  (2018)</v>
      </c>
      <c r="D8" s="276" t="str">
        <f>'Profit or Loss'!F7</f>
        <v>2076  (2019)</v>
      </c>
      <c r="E8" s="276" t="str">
        <f>'Profit or Loss'!G7</f>
        <v>2077  (2020)</v>
      </c>
      <c r="F8" s="276" t="str">
        <f>'Profit or Loss'!H7</f>
        <v>2078  (2021)</v>
      </c>
      <c r="G8" s="276" t="str">
        <f>'Profit or Loss'!I7</f>
        <v>2079  (2022)</v>
      </c>
    </row>
    <row r="10" spans="1:8" x14ac:dyDescent="0.25">
      <c r="A10" s="490" t="s">
        <v>314</v>
      </c>
      <c r="B10" s="290" t="s">
        <v>338</v>
      </c>
      <c r="C10" s="10">
        <f>('Profit or Loss'!E32-'Profit or Loss'!E20*C5/C4)+'Profit or Loss'!E20+C9</f>
        <v>9223001.4678837638</v>
      </c>
      <c r="D10" s="10">
        <f>('Profit or Loss'!F32-'Profit or Loss'!F20*D5/D4)+'Profit or Loss'!F20+D9</f>
        <v>11527107.022124942</v>
      </c>
      <c r="E10" s="10">
        <f>('Profit or Loss'!G32-'Profit or Loss'!G20*E5/E4)+'Profit or Loss'!G20+E9</f>
        <v>17219273.253560573</v>
      </c>
      <c r="F10" s="10">
        <f>('Profit or Loss'!H32-'Profit or Loss'!H20*F5/F4)+'Profit or Loss'!H20+F9</f>
        <v>25858199.599328749</v>
      </c>
      <c r="G10" s="10">
        <f>('Profit or Loss'!I32-'Profit or Loss'!I20*G5/G4)+'Profit or Loss'!I20+G9</f>
        <v>36348895.085651606</v>
      </c>
    </row>
    <row r="11" spans="1:8" x14ac:dyDescent="0.25">
      <c r="A11" s="490"/>
      <c r="B11" s="312" t="s">
        <v>327</v>
      </c>
      <c r="C11" s="316">
        <f>'Profit or Loss'!E32</f>
        <v>10573001.467883764</v>
      </c>
      <c r="D11" s="316">
        <f>'Profit or Loss'!F32</f>
        <v>13522066.108027633</v>
      </c>
      <c r="E11" s="316">
        <f>'Profit or Loss'!G32</f>
        <v>19285482.592720129</v>
      </c>
      <c r="F11" s="316">
        <f>'Profit or Loss'!H32</f>
        <v>27752475.624249384</v>
      </c>
      <c r="G11" s="316">
        <f>'Profit or Loss'!I32</f>
        <v>38062478.595712669</v>
      </c>
      <c r="H11" s="13"/>
    </row>
    <row r="12" spans="1:8" x14ac:dyDescent="0.25">
      <c r="C12" s="13"/>
    </row>
    <row r="13" spans="1:8" x14ac:dyDescent="0.25">
      <c r="A13" s="490" t="s">
        <v>312</v>
      </c>
      <c r="B13" s="290" t="s">
        <v>308</v>
      </c>
      <c r="C13" s="10">
        <f>'Balance Sheet'!E13</f>
        <v>23331650.747883767</v>
      </c>
      <c r="D13" s="10">
        <f>'Balance Sheet'!F13</f>
        <v>36853716.855911404</v>
      </c>
      <c r="E13" s="10">
        <f>'Balance Sheet'!G13</f>
        <v>56139199.448631532</v>
      </c>
      <c r="F13" s="10">
        <f>'Balance Sheet'!H13</f>
        <v>83891675.072880924</v>
      </c>
      <c r="G13" s="10">
        <f>'Balance Sheet'!I13</f>
        <v>121954153.66859359</v>
      </c>
    </row>
    <row r="14" spans="1:8" x14ac:dyDescent="0.25">
      <c r="A14" s="490"/>
      <c r="B14" s="312" t="s">
        <v>327</v>
      </c>
      <c r="C14" s="317">
        <f>C13-C10+C11</f>
        <v>24681650.747883767</v>
      </c>
      <c r="D14" s="317">
        <f t="shared" ref="D14:G14" si="0">D13-D10+D11</f>
        <v>38848675.941814095</v>
      </c>
      <c r="E14" s="317">
        <f t="shared" si="0"/>
        <v>58205408.787791088</v>
      </c>
      <c r="F14" s="317">
        <f t="shared" si="0"/>
        <v>85785951.097801566</v>
      </c>
      <c r="G14" s="317">
        <f t="shared" si="0"/>
        <v>123667737.17865464</v>
      </c>
      <c r="H14" s="13"/>
    </row>
    <row r="16" spans="1:8" x14ac:dyDescent="0.25">
      <c r="A16" s="490" t="s">
        <v>316</v>
      </c>
      <c r="B16" s="290" t="s">
        <v>308</v>
      </c>
      <c r="C16" s="10">
        <f>'Balance Sheet'!E39</f>
        <v>31134611.547383774</v>
      </c>
      <c r="D16" s="10">
        <f>'Balance Sheet'!F39</f>
        <v>31288014.05834914</v>
      </c>
      <c r="E16" s="10">
        <f>'Balance Sheet'!G39</f>
        <v>45119001.529537931</v>
      </c>
      <c r="F16" s="10">
        <f>'Balance Sheet'!H39</f>
        <v>70822623.067571282</v>
      </c>
      <c r="G16" s="10">
        <f>'Balance Sheet'!I39</f>
        <v>105893051.48609936</v>
      </c>
    </row>
    <row r="17" spans="1:8" x14ac:dyDescent="0.25">
      <c r="A17" s="490"/>
      <c r="B17" s="312" t="s">
        <v>327</v>
      </c>
      <c r="C17" s="317">
        <f>C16+C11-C10</f>
        <v>32484611.54738377</v>
      </c>
      <c r="D17" s="317">
        <f>D16+D11-D10+C17-C16</f>
        <v>34632973.144251823</v>
      </c>
      <c r="E17" s="317">
        <f t="shared" ref="E17:G17" si="1">E16+E11-E10+D17-D16</f>
        <v>50530169.954600178</v>
      </c>
      <c r="F17" s="317">
        <f t="shared" si="1"/>
        <v>78128067.517554179</v>
      </c>
      <c r="G17" s="317">
        <f t="shared" si="1"/>
        <v>114912079.44614333</v>
      </c>
    </row>
    <row r="18" spans="1:8" x14ac:dyDescent="0.25">
      <c r="C18" s="13"/>
      <c r="D18" s="13"/>
      <c r="E18" s="13"/>
      <c r="F18" s="13"/>
      <c r="G18" s="13"/>
      <c r="H18" s="13"/>
    </row>
    <row r="20" spans="1:8" ht="21" x14ac:dyDescent="0.35">
      <c r="A20" t="s">
        <v>329</v>
      </c>
      <c r="C20" s="10"/>
      <c r="D20" s="320">
        <f>G17-G16</f>
        <v>9019027.9600439668</v>
      </c>
    </row>
    <row r="23" spans="1:8" ht="15.75" x14ac:dyDescent="0.25">
      <c r="A23" s="322" t="s">
        <v>339</v>
      </c>
      <c r="C23">
        <v>2074</v>
      </c>
      <c r="D23" s="323">
        <f>'Balance Sheet'!D22+'Balance Sheet'!D16</f>
        <v>21579995.579999998</v>
      </c>
      <c r="F23" s="13"/>
    </row>
    <row r="24" spans="1:8" ht="18.75" x14ac:dyDescent="0.3">
      <c r="A24" s="322" t="s">
        <v>331</v>
      </c>
      <c r="D24" s="321">
        <f>D23*C5/C4</f>
        <v>41001991.601999998</v>
      </c>
      <c r="E24" s="322" t="s">
        <v>330</v>
      </c>
    </row>
    <row r="25" spans="1:8" ht="18.75" x14ac:dyDescent="0.3">
      <c r="A25" s="322"/>
      <c r="D25" s="321"/>
      <c r="E25" s="322"/>
    </row>
    <row r="26" spans="1:8" x14ac:dyDescent="0.25">
      <c r="C26" s="276" t="str">
        <f>C8</f>
        <v>2075  (2018)</v>
      </c>
      <c r="D26" s="276" t="str">
        <f>D8</f>
        <v>2076  (2019)</v>
      </c>
      <c r="E26" s="276" t="str">
        <f>E8</f>
        <v>2077  (2020)</v>
      </c>
      <c r="F26" s="276" t="str">
        <f>F8</f>
        <v>2078  (2021)</v>
      </c>
      <c r="G26" s="276" t="str">
        <f>G8</f>
        <v>2079  (2022)</v>
      </c>
    </row>
    <row r="27" spans="1:8" x14ac:dyDescent="0.25">
      <c r="A27" s="490" t="s">
        <v>333</v>
      </c>
      <c r="B27" s="290" t="s">
        <v>308</v>
      </c>
      <c r="C27" s="13">
        <f>Inventories!H10</f>
        <v>38768619.252719998</v>
      </c>
      <c r="D27" s="13">
        <f>Inventories!V10</f>
        <v>47858082.103812963</v>
      </c>
      <c r="E27" s="13">
        <f>Inventories!AJ10</f>
        <v>59102556.695283189</v>
      </c>
      <c r="F27" s="13">
        <f>Inventories!AX10</f>
        <v>73018299.878040463</v>
      </c>
      <c r="G27" s="13">
        <f>Inventories!BL10</f>
        <v>90246437.143369675</v>
      </c>
    </row>
    <row r="28" spans="1:8" x14ac:dyDescent="0.25">
      <c r="A28" s="490"/>
      <c r="B28" s="312" t="s">
        <v>340</v>
      </c>
      <c r="C28" s="317">
        <f>C27-$D$23+$D$24</f>
        <v>58190615.274719998</v>
      </c>
      <c r="D28" s="317">
        <f t="shared" ref="D28:G28" si="2">D27-$D$23+$D$24</f>
        <v>67280078.125812963</v>
      </c>
      <c r="E28" s="317">
        <f t="shared" si="2"/>
        <v>78524552.717283189</v>
      </c>
      <c r="F28" s="317">
        <f t="shared" si="2"/>
        <v>92440295.900040463</v>
      </c>
      <c r="G28" s="317">
        <f t="shared" si="2"/>
        <v>109668433.16536967</v>
      </c>
    </row>
    <row r="30" spans="1:8" x14ac:dyDescent="0.25">
      <c r="A30" s="493" t="s">
        <v>335</v>
      </c>
      <c r="B30" s="290" t="s">
        <v>308</v>
      </c>
      <c r="C30" s="10">
        <v>0</v>
      </c>
    </row>
    <row r="31" spans="1:8" ht="21" x14ac:dyDescent="0.35">
      <c r="A31" s="493"/>
      <c r="B31" s="312" t="s">
        <v>327</v>
      </c>
      <c r="C31" s="324">
        <f>(SUM(C28:G28)-SUM(C27:G27))*10%</f>
        <v>9710998.0109999962</v>
      </c>
      <c r="D31" s="10"/>
      <c r="E31" s="10"/>
      <c r="F31" s="10"/>
      <c r="G31" s="10"/>
    </row>
    <row r="32" spans="1:8" x14ac:dyDescent="0.25">
      <c r="C32" s="326" t="s">
        <v>334</v>
      </c>
    </row>
    <row r="34" spans="1:7" ht="21" x14ac:dyDescent="0.35">
      <c r="A34" t="s">
        <v>337</v>
      </c>
      <c r="F34" s="325">
        <f>C31+D20</f>
        <v>18730025.971043963</v>
      </c>
      <c r="G34" t="s">
        <v>336</v>
      </c>
    </row>
  </sheetData>
  <mergeCells count="5">
    <mergeCell ref="A10:A11"/>
    <mergeCell ref="A13:A14"/>
    <mergeCell ref="A16:A17"/>
    <mergeCell ref="A27:A28"/>
    <mergeCell ref="A30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M25"/>
  <sheetViews>
    <sheetView topLeftCell="A7" zoomScale="106" zoomScaleNormal="106" workbookViewId="0">
      <selection activeCell="E21" sqref="E21"/>
    </sheetView>
  </sheetViews>
  <sheetFormatPr defaultRowHeight="15" x14ac:dyDescent="0.25"/>
  <cols>
    <col min="1" max="1" width="2.28515625" customWidth="1"/>
    <col min="2" max="2" width="40.28515625" customWidth="1"/>
    <col min="3" max="3" width="12.42578125" hidden="1" customWidth="1"/>
    <col min="4" max="4" width="14.42578125" customWidth="1"/>
    <col min="5" max="5" width="16.5703125" customWidth="1"/>
    <col min="6" max="6" width="15.28515625" customWidth="1"/>
    <col min="7" max="7" width="15" customWidth="1"/>
    <col min="8" max="8" width="15.28515625" bestFit="1" customWidth="1"/>
    <col min="9" max="9" width="15" customWidth="1"/>
    <col min="12" max="12" width="13" customWidth="1"/>
  </cols>
  <sheetData>
    <row r="1" spans="2:13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2:13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2:13" x14ac:dyDescent="0.25">
      <c r="B3" s="482" t="str">
        <f>'General details'!C4</f>
        <v>2073-2074</v>
      </c>
      <c r="C3" s="482"/>
      <c r="D3" s="482"/>
      <c r="E3" s="482"/>
      <c r="F3" s="482"/>
      <c r="G3" s="482"/>
      <c r="H3" s="482"/>
      <c r="I3" s="482"/>
    </row>
    <row r="5" spans="2:13" x14ac:dyDescent="0.25">
      <c r="C5" s="483" t="s">
        <v>3</v>
      </c>
      <c r="D5" s="483"/>
      <c r="E5" s="481" t="s">
        <v>2</v>
      </c>
      <c r="F5" s="481"/>
      <c r="G5" s="481"/>
      <c r="H5" s="481"/>
      <c r="I5" s="481"/>
    </row>
    <row r="6" spans="2:13" x14ac:dyDescent="0.25">
      <c r="C6" s="228">
        <f>RIGHT(B3,4)-1</f>
        <v>2073</v>
      </c>
      <c r="D6" s="228" t="str">
        <f>RIGHT(B3,4)</f>
        <v>2074</v>
      </c>
      <c r="E6" s="228">
        <f>RIGHT(B3,4)+1</f>
        <v>2075</v>
      </c>
      <c r="F6" s="228">
        <f>E6+1</f>
        <v>2076</v>
      </c>
      <c r="G6" s="228">
        <f>F6+1</f>
        <v>2077</v>
      </c>
      <c r="H6" s="228">
        <f>G6+1</f>
        <v>2078</v>
      </c>
      <c r="I6" s="228">
        <f>H6+1</f>
        <v>2079</v>
      </c>
    </row>
    <row r="7" spans="2:13" x14ac:dyDescent="0.25">
      <c r="B7" s="235" t="s">
        <v>227</v>
      </c>
      <c r="C7" s="234"/>
      <c r="D7" s="234"/>
      <c r="E7" s="234"/>
      <c r="F7" s="234"/>
      <c r="G7" s="234"/>
      <c r="H7" s="234"/>
      <c r="I7" s="234"/>
      <c r="K7" s="347" t="s">
        <v>361</v>
      </c>
      <c r="L7" s="348" t="s">
        <v>362</v>
      </c>
      <c r="M7" s="349" t="s">
        <v>363</v>
      </c>
    </row>
    <row r="8" spans="2:13" ht="15.75" customHeight="1" x14ac:dyDescent="0.25">
      <c r="B8" t="s">
        <v>224</v>
      </c>
      <c r="C8" s="236">
        <f>'Balance Sheet'!C43/'Balance Sheet'!C26</f>
        <v>1.6379604851194178</v>
      </c>
      <c r="D8" s="236">
        <f>'Balance Sheet'!D43/'Balance Sheet'!D26</f>
        <v>1.2944862263703556</v>
      </c>
      <c r="E8" s="236">
        <f>'Balance Sheet'!E43/'Balance Sheet'!E26</f>
        <v>1.1562721052513234</v>
      </c>
      <c r="F8" s="236">
        <f>'Balance Sheet'!F43/'Balance Sheet'!F26</f>
        <v>1.1879803227546006</v>
      </c>
      <c r="G8" s="236">
        <f>'Balance Sheet'!G43/'Balance Sheet'!G26</f>
        <v>1.5160221651104651</v>
      </c>
      <c r="H8" s="236">
        <f>'Balance Sheet'!H43/'Balance Sheet'!H26</f>
        <v>2.092796257505201</v>
      </c>
      <c r="I8" s="236">
        <f>'Balance Sheet'!I43/'Balance Sheet'!I26</f>
        <v>2.8550227960708479</v>
      </c>
      <c r="K8" s="343" t="s">
        <v>365</v>
      </c>
      <c r="L8" s="344" t="s">
        <v>366</v>
      </c>
      <c r="M8" s="343" t="s">
        <v>367</v>
      </c>
    </row>
    <row r="9" spans="2:13" x14ac:dyDescent="0.25">
      <c r="B9" s="235" t="s">
        <v>226</v>
      </c>
      <c r="C9" s="235"/>
      <c r="D9" s="235"/>
      <c r="E9" s="235"/>
      <c r="F9" s="235"/>
      <c r="G9" s="235"/>
      <c r="H9" s="235"/>
      <c r="I9" s="235"/>
      <c r="K9" s="345"/>
      <c r="L9" s="345"/>
      <c r="M9" s="345"/>
    </row>
    <row r="10" spans="2:13" x14ac:dyDescent="0.25">
      <c r="B10" t="s">
        <v>225</v>
      </c>
      <c r="C10" s="232" t="e">
        <f>('Balance Sheet'!C20+'Balance Sheet'!C26)/'Balance Sheet'!C44</f>
        <v>#REF!</v>
      </c>
      <c r="D10" s="232">
        <f>('Balance Sheet'!D20+'Balance Sheet'!D26)/'Balance Sheet'!D44</f>
        <v>0.50573272534876468</v>
      </c>
      <c r="E10" s="232">
        <f>('Balance Sheet'!E20+'Balance Sheet'!E26)/'Balance Sheet'!E44</f>
        <v>0.68837142617227487</v>
      </c>
      <c r="F10" s="232">
        <f>('Balance Sheet'!F20+'Balance Sheet'!F26)/'Balance Sheet'!F44</f>
        <v>0.57496299455568012</v>
      </c>
      <c r="G10" s="232">
        <f>('Balance Sheet'!G20+'Balance Sheet'!G26)/'Balance Sheet'!G44</f>
        <v>0.47588659958413276</v>
      </c>
      <c r="H10" s="232">
        <f>('Balance Sheet'!H20+'Balance Sheet'!H26)/'Balance Sheet'!H44</f>
        <v>0.37614275962246407</v>
      </c>
      <c r="I10" s="232">
        <f>('Balance Sheet'!I20+'Balance Sheet'!I26)/'Balance Sheet'!I44</f>
        <v>0.28677013753642555</v>
      </c>
      <c r="K10" s="343" t="s">
        <v>368</v>
      </c>
      <c r="L10" s="344" t="s">
        <v>369</v>
      </c>
      <c r="M10" s="343" t="s">
        <v>370</v>
      </c>
    </row>
    <row r="11" spans="2:13" x14ac:dyDescent="0.25">
      <c r="B11" t="s">
        <v>228</v>
      </c>
      <c r="C11" s="232" t="e">
        <f>'Balance Sheet'!C14/'Balance Sheet'!C44</f>
        <v>#REF!</v>
      </c>
      <c r="D11" s="232">
        <f>'Balance Sheet'!D14/'Balance Sheet'!D44</f>
        <v>0.49426727443405749</v>
      </c>
      <c r="E11" s="232">
        <f>'Balance Sheet'!E14/'Balance Sheet'!E44</f>
        <v>0.31162857373423181</v>
      </c>
      <c r="F11" s="232">
        <f>'Balance Sheet'!F14/'Balance Sheet'!F44</f>
        <v>0.42503700535360422</v>
      </c>
      <c r="G11" s="232">
        <f>'Balance Sheet'!G14/'Balance Sheet'!G44</f>
        <v>0.52411340033662313</v>
      </c>
      <c r="H11" s="232">
        <f>'Balance Sheet'!H14/'Balance Sheet'!H44</f>
        <v>0.62385724031109169</v>
      </c>
      <c r="I11" s="232">
        <f>'Balance Sheet'!I14/'Balance Sheet'!I44</f>
        <v>0.71322986240952302</v>
      </c>
      <c r="K11" s="343" t="s">
        <v>370</v>
      </c>
      <c r="L11" s="344" t="s">
        <v>369</v>
      </c>
      <c r="M11" s="343" t="s">
        <v>368</v>
      </c>
    </row>
    <row r="12" spans="2:13" x14ac:dyDescent="0.25">
      <c r="B12" t="s">
        <v>229</v>
      </c>
      <c r="C12" s="232">
        <f>('Balance Sheet'!C20+'Balance Sheet'!C26)/'Balance Sheet'!C14</f>
        <v>1.0336295561713609</v>
      </c>
      <c r="D12" s="232">
        <f>('Balance Sheet'!D20+'Balance Sheet'!D26)/'Balance Sheet'!D14</f>
        <v>1.0231968643439631</v>
      </c>
      <c r="E12" s="232">
        <f>('Balance Sheet'!E20+'Balance Sheet'!E26)/'Balance Sheet'!E14</f>
        <v>2.208948357730967</v>
      </c>
      <c r="F12" s="232">
        <f>('Balance Sheet'!F20+'Balance Sheet'!F26)/'Balance Sheet'!F14</f>
        <v>1.3527363201642806</v>
      </c>
      <c r="G12" s="232">
        <f>('Balance Sheet'!G20+'Balance Sheet'!G26)/'Balance Sheet'!G14</f>
        <v>0.9079840341393377</v>
      </c>
      <c r="H12" s="232">
        <f>('Balance Sheet'!H20+'Balance Sheet'!H26)/'Balance Sheet'!H14</f>
        <v>0.60293082346034377</v>
      </c>
      <c r="I12" s="232">
        <f>('Balance Sheet'!I20+'Balance Sheet'!I26)/'Balance Sheet'!I14</f>
        <v>0.402072533204965</v>
      </c>
      <c r="K12" s="343" t="s">
        <v>371</v>
      </c>
      <c r="L12" s="344" t="s">
        <v>372</v>
      </c>
      <c r="M12" s="343" t="s">
        <v>373</v>
      </c>
    </row>
    <row r="13" spans="2:13" x14ac:dyDescent="0.25">
      <c r="B13" s="235" t="s">
        <v>230</v>
      </c>
      <c r="C13" s="235"/>
      <c r="D13" s="235"/>
      <c r="E13" s="235"/>
      <c r="F13" s="235"/>
      <c r="G13" s="235"/>
      <c r="H13" s="235"/>
      <c r="I13" s="235"/>
      <c r="K13" s="346"/>
      <c r="L13" s="346"/>
      <c r="M13" s="346"/>
    </row>
    <row r="14" spans="2:13" x14ac:dyDescent="0.25">
      <c r="B14" t="s">
        <v>231</v>
      </c>
      <c r="C14" s="232" t="e">
        <f>'Profit or Loss'!C32/'Balance Sheet'!C44</f>
        <v>#REF!</v>
      </c>
      <c r="D14" s="232">
        <f>'Profit or Loss'!D32/'Balance Sheet'!D44</f>
        <v>5.1894912687724011E-2</v>
      </c>
      <c r="E14" s="232">
        <f>'Profit or Loss'!E32/'Balance Sheet'!E44</f>
        <v>9.8850470756710038E-2</v>
      </c>
      <c r="F14" s="232">
        <f>'Profit or Loss'!F32/'Balance Sheet'!F44</f>
        <v>0.12266643652678326</v>
      </c>
      <c r="G14" s="232">
        <f>'Profit or Loss'!G32/'Balance Sheet'!G44</f>
        <v>0.15282585732918844</v>
      </c>
      <c r="H14" s="232">
        <f>'Profit or Loss'!H32/'Balance Sheet'!H44</f>
        <v>0.18439955237038697</v>
      </c>
      <c r="I14" s="232">
        <f>'Profit or Loss'!I32/'Balance Sheet'!I44</f>
        <v>0.20573279140546594</v>
      </c>
      <c r="K14" s="343" t="s">
        <v>374</v>
      </c>
      <c r="L14" s="344" t="s">
        <v>375</v>
      </c>
      <c r="M14" s="343" t="s">
        <v>376</v>
      </c>
    </row>
    <row r="15" spans="2:13" x14ac:dyDescent="0.25">
      <c r="B15" t="s">
        <v>232</v>
      </c>
      <c r="C15" s="232" t="e">
        <f>'Profit or Loss'!C32/'Balance Sheet'!C14</f>
        <v>#REF!</v>
      </c>
      <c r="D15" s="232">
        <f>'Profit or Loss'!D32/'Balance Sheet'!D14</f>
        <v>0.10499362464800925</v>
      </c>
      <c r="E15" s="411">
        <f>'Profit or Loss'!E32/'Balance Sheet'!E14</f>
        <v>0.31720605582533429</v>
      </c>
      <c r="F15" s="232">
        <f>'Profit or Loss'!F32/'Balance Sheet'!F14</f>
        <v>0.28860178050787005</v>
      </c>
      <c r="G15" s="232">
        <f>'Profit or Loss'!G32/'Balance Sheet'!G14</f>
        <v>0.29158929581085458</v>
      </c>
      <c r="H15" s="232">
        <f>'Profit or Loss'!H32/'Balance Sheet'!H14</f>
        <v>0.29557972634642271</v>
      </c>
      <c r="I15" s="232">
        <f>'Profit or Loss'!I32/'Balance Sheet'!I14</f>
        <v>0.28845229602478151</v>
      </c>
      <c r="K15" s="494" t="s">
        <v>364</v>
      </c>
      <c r="L15" s="494"/>
      <c r="M15" s="494"/>
    </row>
    <row r="16" spans="2:13" x14ac:dyDescent="0.25">
      <c r="B16" s="235" t="s">
        <v>233</v>
      </c>
      <c r="C16" s="233"/>
      <c r="D16" s="233"/>
      <c r="E16" s="233"/>
      <c r="F16" s="233"/>
      <c r="G16" s="233"/>
      <c r="H16" s="233"/>
      <c r="I16" s="233"/>
    </row>
    <row r="17" spans="2:9" x14ac:dyDescent="0.25">
      <c r="B17" t="s">
        <v>281</v>
      </c>
      <c r="D17" s="13">
        <f>('Cost of Sale'!B67+'Profit or Loss'!D20)/(D20-D21)</f>
        <v>869686.34861531656</v>
      </c>
      <c r="E17" s="13">
        <f>('Cost of Sale'!D67+'Profit or Loss'!E20)/(E20-E21)</f>
        <v>429638.34568794805</v>
      </c>
      <c r="F17" s="13">
        <f>('Cost of Sale'!E67+'Profit or Loss'!F20)/(F20-F21)</f>
        <v>474680.32628214289</v>
      </c>
      <c r="G17" s="13">
        <f>('Cost of Sale'!F67+'Profit or Loss'!G20)/(G20-G21)</f>
        <v>476094.95576426556</v>
      </c>
      <c r="H17" s="13">
        <f>('Cost of Sale'!G67+'Profit or Loss'!H20)/(H20-H21)</f>
        <v>465528.04037852812</v>
      </c>
      <c r="I17" s="13">
        <f>('Cost of Sale'!H67+'Profit or Loss'!I20)/(I20-I21)</f>
        <v>459860.98833870806</v>
      </c>
    </row>
    <row r="18" spans="2:9" x14ac:dyDescent="0.25">
      <c r="B18" t="s">
        <v>234</v>
      </c>
      <c r="D18" s="10">
        <f t="shared" ref="D18:I18" si="0">D17*D20</f>
        <v>52146382.058684379</v>
      </c>
      <c r="E18" s="10">
        <f t="shared" si="0"/>
        <v>23702016.891480386</v>
      </c>
      <c r="F18" s="10">
        <f t="shared" si="0"/>
        <v>27536014.780444004</v>
      </c>
      <c r="G18" s="10">
        <f t="shared" si="0"/>
        <v>29042491.999665245</v>
      </c>
      <c r="H18" s="10">
        <f t="shared" si="0"/>
        <v>29863993.443155151</v>
      </c>
      <c r="I18" s="10">
        <f t="shared" si="0"/>
        <v>31024879.698810164</v>
      </c>
    </row>
    <row r="20" spans="2:9" s="23" customFormat="1" x14ac:dyDescent="0.25">
      <c r="B20" s="338" t="s">
        <v>360</v>
      </c>
      <c r="D20" s="339">
        <f>'Profit or Loss'!D8/SUM('General details'!K11:K16)</f>
        <v>59.959986886893169</v>
      </c>
      <c r="E20" s="339">
        <f>Inventories!M10/SUM(Inventories!J5:J8)</f>
        <v>55.167368391031538</v>
      </c>
      <c r="F20" s="339">
        <f>Inventories!AA10/SUM(Inventories!X5:X8)</f>
        <v>58.009597735207187</v>
      </c>
      <c r="G20" s="339">
        <f>Inventories!AO10/SUM(Inventories!AL5:AL8)</f>
        <v>61.001469660698092</v>
      </c>
      <c r="H20" s="339">
        <f>Inventories!BC10/SUM(Inventories!AZ5:AZ8)</f>
        <v>64.150794050713401</v>
      </c>
      <c r="I20" s="339">
        <f>Inventories!BQ10/SUM(Inventories!BN5:BN8)</f>
        <v>67.465778758251531</v>
      </c>
    </row>
    <row r="21" spans="2:9" s="23" customFormat="1" x14ac:dyDescent="0.25">
      <c r="B21" s="338" t="s">
        <v>359</v>
      </c>
      <c r="D21" s="339">
        <f>('Cost of Sale'!B73)/SUM('General details'!K11:K16)+'Cost of Sale'!B6/SUM('General details'!K11:K16)</f>
        <v>52.14708133672741</v>
      </c>
      <c r="E21" s="339">
        <f>('Cost of Sale'!D73)/SUM(Inventories!J5:J8)+Inventories!H10/SUM(Inventories!J5:J8)</f>
        <v>41.645996152485189</v>
      </c>
      <c r="F21" s="339">
        <f>('Cost of Sale'!E73)/SUM(Inventories!X5:X8)+Inventories!V10/SUM(Inventories!X5:X8)</f>
        <v>43.106763875090749</v>
      </c>
      <c r="G21" s="339">
        <f>('Cost of Sale'!F73)/SUM(Inventories!AL5:AL8)+Inventories!AJ10/SUM(Inventories!AL5:AL8)</f>
        <v>44.665484504052884</v>
      </c>
      <c r="H21" s="339">
        <f>('Cost of Sale'!G73)/SUM(Inventories!AZ5:AZ8)+Inventories!AX10/SUM(Inventories!AZ5:AZ8)</f>
        <v>46.325325050898442</v>
      </c>
      <c r="I21" s="339">
        <f>('Cost of Sale'!H73)/SUM(Inventories!BN5:BN8)+Inventories!BL10/SUM(Inventories!BN5:BN8)</f>
        <v>48.089775024494202</v>
      </c>
    </row>
    <row r="22" spans="2:9" x14ac:dyDescent="0.25">
      <c r="E22" s="13"/>
    </row>
    <row r="23" spans="2:9" x14ac:dyDescent="0.25">
      <c r="E23" s="13"/>
    </row>
    <row r="25" spans="2:9" x14ac:dyDescent="0.25">
      <c r="E25" s="13"/>
    </row>
  </sheetData>
  <mergeCells count="6">
    <mergeCell ref="K15:M15"/>
    <mergeCell ref="B1:I1"/>
    <mergeCell ref="B2:I2"/>
    <mergeCell ref="B3:I3"/>
    <mergeCell ref="C5:D5"/>
    <mergeCell ref="E5:I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20"/>
  <sheetViews>
    <sheetView workbookViewId="0">
      <pane xSplit="1" topLeftCell="B1" activePane="topRight" state="frozen"/>
      <selection activeCell="A2" sqref="A2"/>
      <selection pane="topRight" activeCell="H16" sqref="H16"/>
    </sheetView>
  </sheetViews>
  <sheetFormatPr defaultRowHeight="15" x14ac:dyDescent="0.25"/>
  <cols>
    <col min="1" max="1" width="16.85546875" bestFit="1" customWidth="1"/>
    <col min="2" max="2" width="14" bestFit="1" customWidth="1"/>
    <col min="3" max="5" width="15.28515625" bestFit="1" customWidth="1"/>
    <col min="6" max="61" width="16.85546875" bestFit="1" customWidth="1"/>
  </cols>
  <sheetData>
    <row r="1" spans="1:61" ht="15.75" thickBot="1" x14ac:dyDescent="0.3">
      <c r="A1" s="2" t="s">
        <v>110</v>
      </c>
      <c r="B1" s="196" t="str">
        <f>RIGHT('General details'!C4,4)</f>
        <v>2074</v>
      </c>
      <c r="N1">
        <f>B1+1</f>
        <v>2075</v>
      </c>
      <c r="Z1">
        <f>N1+1</f>
        <v>2076</v>
      </c>
      <c r="AL1">
        <f>Z1+1</f>
        <v>2077</v>
      </c>
      <c r="AX1">
        <f>AL1+1</f>
        <v>2078</v>
      </c>
    </row>
    <row r="2" spans="1:61" ht="15.75" thickBot="1" x14ac:dyDescent="0.3">
      <c r="A2" s="196" t="s">
        <v>206</v>
      </c>
      <c r="B2" s="216">
        <v>4</v>
      </c>
      <c r="C2" s="217">
        <v>5</v>
      </c>
      <c r="D2" s="217">
        <v>6</v>
      </c>
      <c r="E2" s="217">
        <v>7</v>
      </c>
      <c r="F2" s="217">
        <v>8</v>
      </c>
      <c r="G2" s="217">
        <v>9</v>
      </c>
      <c r="H2" s="217">
        <v>10</v>
      </c>
      <c r="I2" s="217">
        <v>11</v>
      </c>
      <c r="J2" s="217">
        <v>12</v>
      </c>
      <c r="K2" s="217">
        <v>1</v>
      </c>
      <c r="L2" s="217">
        <v>2</v>
      </c>
      <c r="M2" s="218">
        <v>3</v>
      </c>
      <c r="N2" s="213">
        <v>4</v>
      </c>
      <c r="O2" s="214">
        <v>5</v>
      </c>
      <c r="P2" s="214">
        <v>6</v>
      </c>
      <c r="Q2" s="214">
        <v>7</v>
      </c>
      <c r="R2" s="214">
        <v>8</v>
      </c>
      <c r="S2" s="214">
        <v>9</v>
      </c>
      <c r="T2" s="214">
        <v>10</v>
      </c>
      <c r="U2" s="214">
        <v>11</v>
      </c>
      <c r="V2" s="214">
        <v>12</v>
      </c>
      <c r="W2" s="214">
        <v>1</v>
      </c>
      <c r="X2" s="214">
        <v>2</v>
      </c>
      <c r="Y2" s="215">
        <v>3</v>
      </c>
      <c r="Z2" s="219">
        <v>4</v>
      </c>
      <c r="AA2" s="220">
        <v>5</v>
      </c>
      <c r="AB2" s="220">
        <v>6</v>
      </c>
      <c r="AC2" s="220">
        <v>7</v>
      </c>
      <c r="AD2" s="220">
        <v>8</v>
      </c>
      <c r="AE2" s="220">
        <v>9</v>
      </c>
      <c r="AF2" s="220">
        <v>10</v>
      </c>
      <c r="AG2" s="220">
        <v>11</v>
      </c>
      <c r="AH2" s="220">
        <v>12</v>
      </c>
      <c r="AI2" s="220">
        <v>1</v>
      </c>
      <c r="AJ2" s="220">
        <v>2</v>
      </c>
      <c r="AK2" s="221">
        <v>3</v>
      </c>
      <c r="AL2" s="222">
        <v>4</v>
      </c>
      <c r="AM2" s="223">
        <v>5</v>
      </c>
      <c r="AN2" s="223">
        <v>6</v>
      </c>
      <c r="AO2" s="223">
        <v>7</v>
      </c>
      <c r="AP2" s="223">
        <v>8</v>
      </c>
      <c r="AQ2" s="223">
        <v>9</v>
      </c>
      <c r="AR2" s="223">
        <v>10</v>
      </c>
      <c r="AS2" s="223">
        <v>11</v>
      </c>
      <c r="AT2" s="223">
        <v>12</v>
      </c>
      <c r="AU2" s="223">
        <v>1</v>
      </c>
      <c r="AV2" s="223">
        <v>2</v>
      </c>
      <c r="AW2" s="224">
        <v>3</v>
      </c>
      <c r="AX2" s="225">
        <v>4</v>
      </c>
      <c r="AY2" s="226">
        <v>5</v>
      </c>
      <c r="AZ2" s="226">
        <v>6</v>
      </c>
      <c r="BA2" s="226">
        <v>7</v>
      </c>
      <c r="BB2" s="226">
        <v>8</v>
      </c>
      <c r="BC2" s="226">
        <v>9</v>
      </c>
      <c r="BD2" s="226">
        <v>10</v>
      </c>
      <c r="BE2" s="226">
        <v>11</v>
      </c>
      <c r="BF2" s="226">
        <v>12</v>
      </c>
      <c r="BG2" s="226">
        <v>1</v>
      </c>
      <c r="BH2" s="226">
        <v>2</v>
      </c>
      <c r="BI2" s="227">
        <v>3</v>
      </c>
    </row>
    <row r="3" spans="1:61" x14ac:dyDescent="0.25">
      <c r="B3" s="200"/>
      <c r="C3" s="66"/>
      <c r="D3" s="66"/>
      <c r="E3" s="66"/>
      <c r="F3" s="66"/>
      <c r="G3" s="66"/>
      <c r="H3" s="66"/>
      <c r="I3" s="66"/>
      <c r="J3" s="66"/>
      <c r="K3" s="66"/>
      <c r="L3" s="66"/>
      <c r="M3" s="68"/>
      <c r="N3" s="200"/>
      <c r="O3" s="66"/>
      <c r="P3" s="66"/>
      <c r="Q3" s="66"/>
      <c r="R3" s="66"/>
      <c r="S3" s="66"/>
      <c r="T3" s="66"/>
      <c r="U3" s="66"/>
      <c r="V3" s="66"/>
      <c r="W3" s="66"/>
      <c r="X3" s="66"/>
      <c r="Y3" s="68"/>
      <c r="Z3" s="200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8"/>
      <c r="AL3" s="200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8"/>
      <c r="AX3" s="200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8"/>
    </row>
    <row r="4" spans="1:61" x14ac:dyDescent="0.25">
      <c r="A4" s="35" t="s">
        <v>212</v>
      </c>
      <c r="B4" s="212">
        <f>SUMIF('Fund Position'!C5:C8,"&gt;0",'Fund Position'!C5:C8)</f>
        <v>0</v>
      </c>
      <c r="C4" s="61">
        <f>SUMIF('Fund Position'!D5:D8,"&gt;0",'Fund Position'!D5:D8)</f>
        <v>0</v>
      </c>
      <c r="D4" s="61">
        <f>SUMIF('Fund Position'!E5:E8,"&gt;0",'Fund Position'!E5:E8)</f>
        <v>0</v>
      </c>
      <c r="E4" s="61">
        <f>SUMIF('Fund Position'!F5:F8,"&gt;0",'Fund Position'!F5:F8)</f>
        <v>8434945.2599999998</v>
      </c>
      <c r="F4" s="61">
        <f>SUMIF('Fund Position'!G5:G8,"&gt;0",'Fund Position'!G5:G8)</f>
        <v>16372593.719999999</v>
      </c>
      <c r="G4" s="61">
        <f>SUMIF('Fund Position'!H5:H8,"&gt;0",'Fund Position'!H5:H8)</f>
        <v>7937648.459999999</v>
      </c>
      <c r="H4" s="61">
        <f>SUMIF('Fund Position'!I5:I8,"&gt;0",'Fund Position'!I5:I8)</f>
        <v>0</v>
      </c>
      <c r="I4" s="61">
        <f>SUMIF('Fund Position'!J5:J8,"&gt;0",'Fund Position'!J5:J8)</f>
        <v>0</v>
      </c>
      <c r="J4" s="61">
        <f>SUMIF('Fund Position'!K5:K8,"&gt;0",'Fund Position'!K5:K8)</f>
        <v>0</v>
      </c>
      <c r="K4" s="61">
        <f>SUMIF('Fund Position'!L5:L8,"&gt;0",'Fund Position'!L5:L8)</f>
        <v>16594921.294812001</v>
      </c>
      <c r="L4" s="61">
        <f>SUMIF('Fund Position'!M5:M8,"&gt;0",'Fund Position'!M5:M8)</f>
        <v>16594921.294812001</v>
      </c>
      <c r="M4" s="69">
        <f>SUMIF('Fund Position'!N5:N8,"&gt;0",'Fund Position'!N5:N8)</f>
        <v>0</v>
      </c>
      <c r="N4" s="212">
        <f>SUMIF('Fund Position'!O5:O8,"&gt;0",'Fund Position'!O5:O8)</f>
        <v>0</v>
      </c>
      <c r="O4" s="61">
        <f>SUMIF('Fund Position'!P5:P8,"&gt;0",'Fund Position'!P5:P8)</f>
        <v>0</v>
      </c>
      <c r="P4" s="61">
        <f>SUMIF('Fund Position'!Q5:Q8,"&gt;0",'Fund Position'!Q5:Q8)</f>
        <v>0</v>
      </c>
      <c r="Q4" s="61">
        <f>SUMIF('Fund Position'!R5:R8,"&gt;0",'Fund Position'!R5:R8)</f>
        <v>20577251.923200004</v>
      </c>
      <c r="R4" s="61">
        <f>SUMIF('Fund Position'!S5:S8,"&gt;0",'Fund Position'!S5:S8)</f>
        <v>20577251.923200004</v>
      </c>
      <c r="S4" s="61">
        <f>SUMIF('Fund Position'!T5:T8,"&gt;0",'Fund Position'!T5:T8)</f>
        <v>0</v>
      </c>
      <c r="T4" s="61">
        <f>SUMIF('Fund Position'!U5:U8,"&gt;0",'Fund Position'!U5:U8)</f>
        <v>0</v>
      </c>
      <c r="U4" s="61">
        <f>SUMIF('Fund Position'!V5:V8,"&gt;0",'Fund Position'!V5:V8)</f>
        <v>0</v>
      </c>
      <c r="V4" s="61">
        <f>SUMIF('Fund Position'!W5:W8,"&gt;0",'Fund Position'!W5:W8)</f>
        <v>0</v>
      </c>
      <c r="W4" s="61">
        <f>SUMIF('Fund Position'!X5:X8,"&gt;0",'Fund Position'!X5:X8)</f>
        <v>20169793.383266017</v>
      </c>
      <c r="X4" s="61">
        <f>SUMIF('Fund Position'!Y5:Y8,"&gt;0",'Fund Position'!Y5:Y8)</f>
        <v>20169793.383266017</v>
      </c>
      <c r="Y4" s="69">
        <f>SUMIF('Fund Position'!Z5:Z8,"&gt;0",'Fund Position'!Z5:Z8)</f>
        <v>0</v>
      </c>
      <c r="Z4" s="212">
        <f>SUMIF('Fund Position'!AA5:AA8,"&gt;0",'Fund Position'!AA5:AA8)</f>
        <v>0</v>
      </c>
      <c r="AA4" s="61">
        <f>SUMIF('Fund Position'!AB5:AB8,"&gt;0",'Fund Position'!AB5:AB8)</f>
        <v>0</v>
      </c>
      <c r="AB4" s="61">
        <f>SUMIF('Fund Position'!AC5:AC8,"&gt;0",'Fund Position'!AC5:AC8)</f>
        <v>0</v>
      </c>
      <c r="AC4" s="61">
        <f>SUMIF('Fund Position'!AD5:AD8,"&gt;0",'Fund Position'!AD5:AD8)</f>
        <v>25867027.753812004</v>
      </c>
      <c r="AD4" s="61">
        <f>SUMIF('Fund Position'!AE5:AE8,"&gt;0",'Fund Position'!AE5:AE8)</f>
        <v>25867027.753812004</v>
      </c>
      <c r="AE4" s="61">
        <f>SUMIF('Fund Position'!AF5:AF8,"&gt;0",'Fund Position'!AF5:AF8)</f>
        <v>0</v>
      </c>
      <c r="AF4" s="61">
        <f>SUMIF('Fund Position'!AG5:AG8,"&gt;0",'Fund Position'!AG5:AG8)</f>
        <v>0</v>
      </c>
      <c r="AG4" s="61">
        <f>SUMIF('Fund Position'!AH5:AH8,"&gt;0",'Fund Position'!AH5:AH8)</f>
        <v>0</v>
      </c>
      <c r="AH4" s="61">
        <f>SUMIF('Fund Position'!AI5:AI8,"&gt;0",'Fund Position'!AI5:AI8)</f>
        <v>0</v>
      </c>
      <c r="AI4" s="61">
        <f>SUMIF('Fund Position'!AJ5:AJ8,"&gt;0",'Fund Position'!AJ5:AJ8)</f>
        <v>24515102.280586399</v>
      </c>
      <c r="AJ4" s="61">
        <f>SUMIF('Fund Position'!AK5:AK8,"&gt;0",'Fund Position'!AK5:AK8)</f>
        <v>24515102.280586399</v>
      </c>
      <c r="AK4" s="69">
        <f>SUMIF('Fund Position'!AL5:AL8,"&gt;0",'Fund Position'!AL5:AL8)</f>
        <v>0</v>
      </c>
      <c r="AL4" s="212">
        <f>SUMIF('Fund Position'!AM5:AM8,"&gt;0",'Fund Position'!AM5:AM8)</f>
        <v>0</v>
      </c>
      <c r="AM4" s="61">
        <f>SUMIF('Fund Position'!AN5:AN8,"&gt;0",'Fund Position'!AN5:AN8)</f>
        <v>0</v>
      </c>
      <c r="AN4" s="61">
        <f>SUMIF('Fund Position'!AO5:AO8,"&gt;0",'Fund Position'!AO5:AO8)</f>
        <v>0</v>
      </c>
      <c r="AO4" s="61">
        <f>SUMIF('Fund Position'!AP5:AP8,"&gt;0",'Fund Position'!AP5:AP8)</f>
        <v>32522797.301623024</v>
      </c>
      <c r="AP4" s="61">
        <f>SUMIF('Fund Position'!AQ5:AQ8,"&gt;0",'Fund Position'!AQ5:AQ8)</f>
        <v>32522797.301623024</v>
      </c>
      <c r="AQ4" s="61">
        <f>SUMIF('Fund Position'!AR5:AR8,"&gt;0",'Fund Position'!AR5:AR8)</f>
        <v>0</v>
      </c>
      <c r="AR4" s="61">
        <f>SUMIF('Fund Position'!AS5:AS8,"&gt;0",'Fund Position'!AS5:AS8)</f>
        <v>0</v>
      </c>
      <c r="AS4" s="61">
        <f>SUMIF('Fund Position'!AT5:AT8,"&gt;0",'Fund Position'!AT5:AT8)</f>
        <v>0</v>
      </c>
      <c r="AT4" s="61">
        <f>SUMIF('Fund Position'!AU5:AU8,"&gt;0",'Fund Position'!AU5:AU8)</f>
        <v>0</v>
      </c>
      <c r="AU4" s="61">
        <f>SUMIF('Fund Position'!AV5:AV8,"&gt;0",'Fund Position'!AV5:AV8)</f>
        <v>29796959.510024559</v>
      </c>
      <c r="AV4" s="61">
        <f>SUMIF('Fund Position'!AW5:AW8,"&gt;0",'Fund Position'!AW5:AW8)</f>
        <v>29796959.510024559</v>
      </c>
      <c r="AW4" s="69">
        <f>SUMIF('Fund Position'!AX5:AX8,"&gt;0",'Fund Position'!AX5:AX8)</f>
        <v>0</v>
      </c>
      <c r="AX4" s="212">
        <f>SUMIF('Fund Position'!AY5:AY8,"&gt;0",'Fund Position'!AY5:AY8)</f>
        <v>0</v>
      </c>
      <c r="AY4" s="61">
        <f>SUMIF('Fund Position'!AZ5:AZ8,"&gt;0",'Fund Position'!AZ5:AZ8)</f>
        <v>0</v>
      </c>
      <c r="AZ4" s="61">
        <f>SUMIF('Fund Position'!BA5:BA8,"&gt;0",'Fund Position'!BA5:BA8)</f>
        <v>0</v>
      </c>
      <c r="BA4" s="61">
        <f>SUMIF('Fund Position'!BB5:BB8,"&gt;0",'Fund Position'!BB5:BB8)</f>
        <v>40898269.993296988</v>
      </c>
      <c r="BB4" s="61">
        <f>SUMIF('Fund Position'!BC5:BC8,"&gt;0",'Fund Position'!BC5:BC8)</f>
        <v>40898269.993296988</v>
      </c>
      <c r="BC4" s="61">
        <f>SUMIF('Fund Position'!BD5:BD8,"&gt;0",'Fund Position'!BD5:BD8)</f>
        <v>0</v>
      </c>
      <c r="BD4" s="61">
        <f>SUMIF('Fund Position'!BE5:BE8,"&gt;0",'Fund Position'!BE5:BE8)</f>
        <v>0</v>
      </c>
      <c r="BE4" s="61">
        <f>SUMIF('Fund Position'!BF5:BF8,"&gt;0",'Fund Position'!BF5:BF8)</f>
        <v>0</v>
      </c>
      <c r="BF4" s="61">
        <f>SUMIF('Fund Position'!BG5:BG8,"&gt;0",'Fund Position'!BG5:BG8)</f>
        <v>0</v>
      </c>
      <c r="BG4" s="61">
        <f>SUMIF('Fund Position'!BH5:BH8,"&gt;0",'Fund Position'!BH5:BH8)</f>
        <v>36217306.33892633</v>
      </c>
      <c r="BH4" s="61">
        <f>SUMIF('Fund Position'!BI5:BI8,"&gt;0",'Fund Position'!BI5:BI8)</f>
        <v>36217306.33892633</v>
      </c>
      <c r="BI4" s="69">
        <f>SUMIF('Fund Position'!BJ5:BJ8,"&gt;0",'Fund Position'!BJ5:BJ8)</f>
        <v>0</v>
      </c>
    </row>
    <row r="5" spans="1:61" x14ac:dyDescent="0.25">
      <c r="A5" s="35" t="s">
        <v>213</v>
      </c>
      <c r="B5" s="212">
        <f>SUMIF('Fund Position'!C5:C8,"&lt;0",'Fund Position'!C5:C8)</f>
        <v>-1534741.133686489</v>
      </c>
      <c r="C5" s="61">
        <f>SUMIF('Fund Position'!D5:D8,"&lt;0",'Fund Position'!D5:D8)</f>
        <v>-1534741.133686489</v>
      </c>
      <c r="D5" s="61">
        <f>SUMIF('Fund Position'!E5:E8,"&lt;0",'Fund Position'!E5:E8)</f>
        <v>-1534741.133686489</v>
      </c>
      <c r="E5" s="61">
        <f>SUMIF('Fund Position'!F5:F8,"&lt;0",'Fund Position'!F5:F8)</f>
        <v>-7362796.6263599992</v>
      </c>
      <c r="F5" s="61">
        <f>SUMIF('Fund Position'!G5:G8,"&lt;0",'Fund Position'!G5:G8)</f>
        <v>-13086539.826359998</v>
      </c>
      <c r="G5" s="61">
        <f>SUMIF('Fund Position'!H5:H8,"&lt;0",'Fund Position'!H5:H8)</f>
        <v>-1216737.3413135109</v>
      </c>
      <c r="H5" s="61">
        <f>SUMIF('Fund Position'!I5:I8,"&lt;0",'Fund Position'!I5:I8)</f>
        <v>-1216737.3413135109</v>
      </c>
      <c r="I5" s="61">
        <f>SUMIF('Fund Position'!J5:J8,"&lt;0",'Fund Position'!J5:J8)</f>
        <v>-1216737.3413135109</v>
      </c>
      <c r="J5" s="61">
        <f>SUMIF('Fund Position'!K5:K8,"&lt;0",'Fund Position'!K5:K8)</f>
        <v>-1216737.3413135109</v>
      </c>
      <c r="K5" s="61">
        <f>SUMIF('Fund Position'!L5:L8,"&lt;0",'Fund Position'!L5:L8)</f>
        <v>-9159641.3999999985</v>
      </c>
      <c r="L5" s="61">
        <f>SUMIF('Fund Position'!M5:M8,"&lt;0",'Fund Position'!M5:M8)</f>
        <v>-9159641.3999999985</v>
      </c>
      <c r="M5" s="69">
        <f>SUMIF('Fund Position'!N5:N8,"&lt;0",'Fund Position'!N5:N8)</f>
        <v>-1534741.133686489</v>
      </c>
      <c r="N5" s="212">
        <f>SUMIF('Fund Position'!O5:O8,"&lt;0",'Fund Position'!O5:O8)</f>
        <v>0</v>
      </c>
      <c r="O5" s="61">
        <f>SUMIF('Fund Position'!P5:P8,"&lt;0",'Fund Position'!P5:P8)</f>
        <v>0</v>
      </c>
      <c r="P5" s="61">
        <f>SUMIF('Fund Position'!Q5:Q8,"&lt;0",'Fund Position'!Q5:Q8)</f>
        <v>0</v>
      </c>
      <c r="Q5" s="61">
        <f>SUMIF('Fund Position'!R5:R8,"&lt;0",'Fund Position'!R5:R8)</f>
        <v>-15879306.20490648</v>
      </c>
      <c r="R5" s="61">
        <f>SUMIF('Fund Position'!S5:S8,"&lt;0",'Fund Position'!S5:S8)</f>
        <v>-8967886.2909064796</v>
      </c>
      <c r="S5" s="61">
        <f>SUMIF('Fund Position'!T5:T8,"&lt;0",'Fund Position'!T5:T8)</f>
        <v>-1141355.3747775306</v>
      </c>
      <c r="T5" s="61">
        <f>SUMIF('Fund Position'!U5:U8,"&lt;0",'Fund Position'!U5:U8)</f>
        <v>-1141355.3747775306</v>
      </c>
      <c r="U5" s="61">
        <f>SUMIF('Fund Position'!V5:V8,"&lt;0",'Fund Position'!V5:V8)</f>
        <v>-1141355.3747775306</v>
      </c>
      <c r="V5" s="61">
        <f>SUMIF('Fund Position'!W5:W8,"&lt;0",'Fund Position'!W5:W8)</f>
        <v>-1141355.3747775306</v>
      </c>
      <c r="W5" s="61">
        <f>SUMIF('Fund Position'!X5:X8,"&lt;0",'Fund Position'!X5:X8)</f>
        <v>-11505444.804000001</v>
      </c>
      <c r="X5" s="61">
        <f>SUMIF('Fund Position'!Y5:Y8,"&lt;0",'Fund Position'!Y5:Y8)</f>
        <v>-11505444.804000001</v>
      </c>
      <c r="Y5" s="69">
        <f>SUMIF('Fund Position'!Z5:Z8,"&lt;0",'Fund Position'!Z5:Z8)</f>
        <v>-1797230.2116847115</v>
      </c>
      <c r="Z5" s="212">
        <f>SUMIF('Fund Position'!AA5:AA8,"&lt;0",'Fund Position'!AA5:AA8)</f>
        <v>-2041473.7941475257</v>
      </c>
      <c r="AA5" s="61">
        <f>SUMIF('Fund Position'!AB5:AB8,"&lt;0",'Fund Position'!AB5:AB8)</f>
        <v>-25265.51340912969</v>
      </c>
      <c r="AB5" s="61">
        <f>SUMIF('Fund Position'!AC5:AC8,"&lt;0",'Fund Position'!AC5:AC8)</f>
        <v>-25265.51340912969</v>
      </c>
      <c r="AC5" s="61">
        <f>SUMIF('Fund Position'!AD5:AD8,"&lt;0",'Fund Position'!AD5:AD8)</f>
        <v>-19268425.048479095</v>
      </c>
      <c r="AD5" s="61">
        <f>SUMIF('Fund Position'!AE5:AE8,"&lt;0",'Fund Position'!AE5:AE8)</f>
        <v>-10922885.502324093</v>
      </c>
      <c r="AE5" s="61">
        <f>SUMIF('Fund Position'!AF5:AF8,"&lt;0",'Fund Position'!AF5:AF8)</f>
        <v>0</v>
      </c>
      <c r="AF5" s="61">
        <f>SUMIF('Fund Position'!AG5:AG8,"&lt;0",'Fund Position'!AG5:AG8)</f>
        <v>0</v>
      </c>
      <c r="AG5" s="61">
        <f>SUMIF('Fund Position'!AH5:AH8,"&lt;0",'Fund Position'!AH5:AH8)</f>
        <v>0</v>
      </c>
      <c r="AH5" s="61">
        <f>SUMIF('Fund Position'!AI5:AI8,"&lt;0",'Fund Position'!AI5:AI8)</f>
        <v>0</v>
      </c>
      <c r="AI5" s="61">
        <f>SUMIF('Fund Position'!AJ5:AJ8,"&lt;0",'Fund Position'!AJ5:AJ8)</f>
        <v>-14455623.072240001</v>
      </c>
      <c r="AJ5" s="61">
        <f>SUMIF('Fund Position'!AK5:AK8,"&lt;0",'Fund Position'!AK5:AK8)</f>
        <v>-14455623.072240001</v>
      </c>
      <c r="AK5" s="69">
        <f>SUMIF('Fund Position'!AL5:AL8,"&lt;0",'Fund Position'!AL5:AL8)</f>
        <v>0</v>
      </c>
      <c r="AL5" s="212">
        <f>SUMIF('Fund Position'!AM5:AM8,"&lt;0",'Fund Position'!AM5:AM8)</f>
        <v>0</v>
      </c>
      <c r="AM5" s="61">
        <f>SUMIF('Fund Position'!AN5:AN8,"&lt;0",'Fund Position'!AN5:AN8)</f>
        <v>0</v>
      </c>
      <c r="AN5" s="61">
        <f>SUMIF('Fund Position'!AO5:AO8,"&lt;0",'Fund Position'!AO5:AO8)</f>
        <v>0</v>
      </c>
      <c r="AO5" s="61">
        <f>SUMIF('Fund Position'!AP5:AP8,"&lt;0",'Fund Position'!AP5:AP8)</f>
        <v>-23381313.543812908</v>
      </c>
      <c r="AP5" s="61">
        <f>SUMIF('Fund Position'!AQ5:AQ8,"&lt;0",'Fund Position'!AQ5:AQ8)</f>
        <v>-13304074.541830745</v>
      </c>
      <c r="AQ5" s="61">
        <f>SUMIF('Fund Position'!AR5:AR8,"&lt;0",'Fund Position'!AR5:AR8)</f>
        <v>0</v>
      </c>
      <c r="AR5" s="61">
        <f>SUMIF('Fund Position'!AS5:AS8,"&lt;0",'Fund Position'!AS5:AS8)</f>
        <v>0</v>
      </c>
      <c r="AS5" s="61">
        <f>SUMIF('Fund Position'!AT5:AT8,"&lt;0",'Fund Position'!AT5:AT8)</f>
        <v>0</v>
      </c>
      <c r="AT5" s="61">
        <f>SUMIF('Fund Position'!AU5:AU8,"&lt;0",'Fund Position'!AU5:AU8)</f>
        <v>0</v>
      </c>
      <c r="AU5" s="61">
        <f>SUMIF('Fund Position'!AV5:AV8,"&lt;0",'Fund Position'!AV5:AV8)</f>
        <v>-18166455.896198403</v>
      </c>
      <c r="AV5" s="61">
        <f>SUMIF('Fund Position'!AW5:AW8,"&lt;0",'Fund Position'!AW5:AW8)</f>
        <v>-18166455.896198403</v>
      </c>
      <c r="AW5" s="69">
        <f>SUMIF('Fund Position'!AX5:AX8,"&lt;0",'Fund Position'!AX5:AX8)</f>
        <v>0</v>
      </c>
      <c r="AX5" s="212">
        <f>SUMIF('Fund Position'!AY5:AY8,"&lt;0",'Fund Position'!AY5:AY8)</f>
        <v>0</v>
      </c>
      <c r="AY5" s="61">
        <f>SUMIF('Fund Position'!AZ5:AZ8,"&lt;0",'Fund Position'!AZ5:AZ8)</f>
        <v>0</v>
      </c>
      <c r="AZ5" s="61">
        <f>SUMIF('Fund Position'!BA5:BA8,"&lt;0",'Fund Position'!BA5:BA8)</f>
        <v>0</v>
      </c>
      <c r="BA5" s="61">
        <f>SUMIF('Fund Position'!BB5:BB8,"&lt;0",'Fund Position'!BB5:BB8)</f>
        <v>-28372628.886843309</v>
      </c>
      <c r="BB5" s="61">
        <f>SUMIF('Fund Position'!BC5:BC8,"&lt;0",'Fund Position'!BC5:BC8)</f>
        <v>-16204362.791949848</v>
      </c>
      <c r="BC5" s="61">
        <f>SUMIF('Fund Position'!BD5:BD8,"&lt;0",'Fund Position'!BD5:BD8)</f>
        <v>0</v>
      </c>
      <c r="BD5" s="61">
        <f>SUMIF('Fund Position'!BE5:BE8,"&lt;0",'Fund Position'!BE5:BE8)</f>
        <v>0</v>
      </c>
      <c r="BE5" s="61">
        <f>SUMIF('Fund Position'!BF5:BF8,"&lt;0",'Fund Position'!BF5:BF8)</f>
        <v>0</v>
      </c>
      <c r="BF5" s="61">
        <f>SUMIF('Fund Position'!BG5:BG8,"&lt;0",'Fund Position'!BG5:BG8)</f>
        <v>0</v>
      </c>
      <c r="BG5" s="61">
        <f>SUMIF('Fund Position'!BH5:BH8,"&lt;0",'Fund Position'!BH5:BH8)</f>
        <v>-22834722.732288267</v>
      </c>
      <c r="BH5" s="61">
        <f>SUMIF('Fund Position'!BI5:BI8,"&lt;0",'Fund Position'!BI5:BI8)</f>
        <v>-22834722.732288267</v>
      </c>
      <c r="BI5" s="69">
        <f>SUMIF('Fund Position'!BJ5:BJ8,"&lt;0",'Fund Position'!BJ5:BJ8)</f>
        <v>0</v>
      </c>
    </row>
    <row r="6" spans="1:61" x14ac:dyDescent="0.25">
      <c r="A6" s="35" t="s">
        <v>215</v>
      </c>
      <c r="B6" s="78">
        <f>-'Cost of Sale'!$D$67/12</f>
        <v>-359108.33333333331</v>
      </c>
      <c r="C6" s="70">
        <f>-'Cost of Sale'!$D$67/12</f>
        <v>-359108.33333333331</v>
      </c>
      <c r="D6" s="70">
        <f>-'Cost of Sale'!$D$67/12</f>
        <v>-359108.33333333331</v>
      </c>
      <c r="E6" s="70">
        <f>-'Cost of Sale'!$D$67/12</f>
        <v>-359108.33333333331</v>
      </c>
      <c r="F6" s="70">
        <f>-'Cost of Sale'!$D$67/12</f>
        <v>-359108.33333333331</v>
      </c>
      <c r="G6" s="70">
        <f>-'Cost of Sale'!$D$67/12</f>
        <v>-359108.33333333331</v>
      </c>
      <c r="H6" s="70">
        <f>-'Cost of Sale'!$D$67/12</f>
        <v>-359108.33333333331</v>
      </c>
      <c r="I6" s="70">
        <f>-'Cost of Sale'!$D$67/12</f>
        <v>-359108.33333333331</v>
      </c>
      <c r="J6" s="70">
        <f>-'Cost of Sale'!$D$67/12</f>
        <v>-359108.33333333331</v>
      </c>
      <c r="K6" s="70">
        <f>-'Cost of Sale'!$D$67/12</f>
        <v>-359108.33333333331</v>
      </c>
      <c r="L6" s="70">
        <f>-'Cost of Sale'!$D$67/12</f>
        <v>-359108.33333333331</v>
      </c>
      <c r="M6" s="71">
        <f>-'Cost of Sale'!$D$67/12</f>
        <v>-359108.33333333331</v>
      </c>
      <c r="N6" s="78">
        <f>-'Cost of Sale'!$E$67/12</f>
        <v>-404788.40272417414</v>
      </c>
      <c r="O6" s="70">
        <f>-'Cost of Sale'!$E$67/12</f>
        <v>-404788.40272417414</v>
      </c>
      <c r="P6" s="70">
        <f>-'Cost of Sale'!$E$67/12</f>
        <v>-404788.40272417414</v>
      </c>
      <c r="Q6" s="70">
        <f>-'Cost of Sale'!$E$67/12</f>
        <v>-404788.40272417414</v>
      </c>
      <c r="R6" s="70">
        <f>-'Cost of Sale'!$E$67/12</f>
        <v>-404788.40272417414</v>
      </c>
      <c r="S6" s="70">
        <f>-'Cost of Sale'!$E$67/12</f>
        <v>-404788.40272417414</v>
      </c>
      <c r="T6" s="70">
        <f>-'Cost of Sale'!$E$67/12</f>
        <v>-404788.40272417414</v>
      </c>
      <c r="U6" s="70">
        <f>-'Cost of Sale'!$E$67/12</f>
        <v>-404788.40272417414</v>
      </c>
      <c r="V6" s="70">
        <f>-'Cost of Sale'!$E$67/12</f>
        <v>-404788.40272417414</v>
      </c>
      <c r="W6" s="70">
        <f>-'Cost of Sale'!$E$67/12</f>
        <v>-404788.40272417414</v>
      </c>
      <c r="X6" s="70">
        <f>-'Cost of Sale'!$E$67/12</f>
        <v>-404788.40272417414</v>
      </c>
      <c r="Y6" s="71">
        <f>-'Cost of Sale'!$E$67/12</f>
        <v>-404788.40272417414</v>
      </c>
      <c r="Z6" s="78">
        <f>-'Cost of Sale'!$F$67/12</f>
        <v>-456807.66465808096</v>
      </c>
      <c r="AA6" s="70">
        <f>-'Cost of Sale'!$F$67/12</f>
        <v>-456807.66465808096</v>
      </c>
      <c r="AB6" s="70">
        <f>-'Cost of Sale'!$F$67/12</f>
        <v>-456807.66465808096</v>
      </c>
      <c r="AC6" s="70">
        <f>-'Cost of Sale'!$F$67/12</f>
        <v>-456807.66465808096</v>
      </c>
      <c r="AD6" s="70">
        <f>-'Cost of Sale'!$F$67/12</f>
        <v>-456807.66465808096</v>
      </c>
      <c r="AE6" s="70">
        <f>-'Cost of Sale'!$F$67/12</f>
        <v>-456807.66465808096</v>
      </c>
      <c r="AF6" s="70">
        <f>-'Cost of Sale'!$F$67/12</f>
        <v>-456807.66465808096</v>
      </c>
      <c r="AG6" s="70">
        <f>-'Cost of Sale'!$F$67/12</f>
        <v>-456807.66465808096</v>
      </c>
      <c r="AH6" s="70">
        <f>-'Cost of Sale'!$F$67/12</f>
        <v>-456807.66465808096</v>
      </c>
      <c r="AI6" s="70">
        <f>-'Cost of Sale'!$F$67/12</f>
        <v>-456807.66465808096</v>
      </c>
      <c r="AJ6" s="70">
        <f>-'Cost of Sale'!$F$67/12</f>
        <v>-456807.66465808096</v>
      </c>
      <c r="AK6" s="71">
        <f>-'Cost of Sale'!$F$67/12</f>
        <v>-456807.66465808096</v>
      </c>
      <c r="AL6" s="78">
        <f>-'Cost of Sale'!$G$67/12</f>
        <v>-516125.37612594612</v>
      </c>
      <c r="AM6" s="70">
        <f>-'Cost of Sale'!$G$67/12</f>
        <v>-516125.37612594612</v>
      </c>
      <c r="AN6" s="70">
        <f>-'Cost of Sale'!$G$67/12</f>
        <v>-516125.37612594612</v>
      </c>
      <c r="AO6" s="70">
        <f>-'Cost of Sale'!$G$67/12</f>
        <v>-516125.37612594612</v>
      </c>
      <c r="AP6" s="70">
        <f>-'Cost of Sale'!$G$67/12</f>
        <v>-516125.37612594612</v>
      </c>
      <c r="AQ6" s="70">
        <f>-'Cost of Sale'!$G$67/12</f>
        <v>-516125.37612594612</v>
      </c>
      <c r="AR6" s="70">
        <f>-'Cost of Sale'!$G$67/12</f>
        <v>-516125.37612594612</v>
      </c>
      <c r="AS6" s="70">
        <f>-'Cost of Sale'!$G$67/12</f>
        <v>-516125.37612594612</v>
      </c>
      <c r="AT6" s="70">
        <f>-'Cost of Sale'!$G$67/12</f>
        <v>-516125.37612594612</v>
      </c>
      <c r="AU6" s="70">
        <f>-'Cost of Sale'!$G$67/12</f>
        <v>-516125.37612594612</v>
      </c>
      <c r="AV6" s="70">
        <f>-'Cost of Sale'!$G$67/12</f>
        <v>-516125.37612594612</v>
      </c>
      <c r="AW6" s="71">
        <f>-'Cost of Sale'!$G$67/12</f>
        <v>-516125.37612594612</v>
      </c>
      <c r="AX6" s="78">
        <f>-'Cost of Sale'!$H$67/12</f>
        <v>-583857.21243454318</v>
      </c>
      <c r="AY6" s="70">
        <f>-'Cost of Sale'!$H$67/12</f>
        <v>-583857.21243454318</v>
      </c>
      <c r="AZ6" s="70">
        <f>-'Cost of Sale'!$H$67/12</f>
        <v>-583857.21243454318</v>
      </c>
      <c r="BA6" s="70">
        <f>-'Cost of Sale'!$H$67/12</f>
        <v>-583857.21243454318</v>
      </c>
      <c r="BB6" s="70">
        <f>-'Cost of Sale'!$H$67/12</f>
        <v>-583857.21243454318</v>
      </c>
      <c r="BC6" s="70">
        <f>-'Cost of Sale'!$H$67/12</f>
        <v>-583857.21243454318</v>
      </c>
      <c r="BD6" s="70">
        <f>-'Cost of Sale'!$H$67/12</f>
        <v>-583857.21243454318</v>
      </c>
      <c r="BE6" s="70">
        <f>-'Cost of Sale'!$H$67/12</f>
        <v>-583857.21243454318</v>
      </c>
      <c r="BF6" s="70">
        <f>-'Cost of Sale'!$H$67/12</f>
        <v>-583857.21243454318</v>
      </c>
      <c r="BG6" s="70">
        <f>-'Cost of Sale'!$H$67/12</f>
        <v>-583857.21243454318</v>
      </c>
      <c r="BH6" s="70">
        <f>-'Cost of Sale'!$H$67/12</f>
        <v>-583857.21243454318</v>
      </c>
      <c r="BI6" s="71">
        <f>-'Cost of Sale'!$H$67/12</f>
        <v>-583857.21243454318</v>
      </c>
    </row>
    <row r="7" spans="1:61" x14ac:dyDescent="0.25">
      <c r="A7" s="35" t="s">
        <v>220</v>
      </c>
      <c r="B7" s="78">
        <f>'Loan working'!B25+'Loan working'!B29</f>
        <v>20000000</v>
      </c>
      <c r="C7" s="70">
        <f>'Loan working'!C25+'Loan working'!C29</f>
        <v>0</v>
      </c>
      <c r="D7" s="70">
        <f>'Loan working'!D25+'Loan working'!D29</f>
        <v>0</v>
      </c>
      <c r="E7" s="70">
        <f>'Loan working'!E25+'Loan working'!E29</f>
        <v>0</v>
      </c>
      <c r="F7" s="70">
        <f>'Loan working'!F25+'Loan working'!F29</f>
        <v>0</v>
      </c>
      <c r="G7" s="70">
        <f>'Loan working'!G25+'Loan working'!G29</f>
        <v>0</v>
      </c>
      <c r="H7" s="70">
        <f>'Loan working'!H25+'Loan working'!H29</f>
        <v>0</v>
      </c>
      <c r="I7" s="70">
        <f>'Loan working'!I25+'Loan working'!I29</f>
        <v>0</v>
      </c>
      <c r="J7" s="70">
        <f>'Loan working'!J25+'Loan working'!J29</f>
        <v>30000000</v>
      </c>
      <c r="K7" s="70">
        <f>'Loan working'!K25+'Loan working'!K29</f>
        <v>0</v>
      </c>
      <c r="L7" s="70">
        <f>'Loan working'!L25+'Loan working'!L29</f>
        <v>0</v>
      </c>
      <c r="M7" s="70">
        <f>'Loan working'!M25+'Loan working'!M29</f>
        <v>0</v>
      </c>
      <c r="N7" s="78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78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1"/>
      <c r="AL7" s="78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1"/>
      <c r="AX7" s="78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1"/>
    </row>
    <row r="8" spans="1:61" x14ac:dyDescent="0.25">
      <c r="A8" s="35" t="s">
        <v>99</v>
      </c>
      <c r="B8" s="78"/>
      <c r="C8" s="70"/>
      <c r="D8" s="70"/>
      <c r="E8" s="70"/>
      <c r="F8" s="70"/>
      <c r="G8" s="70"/>
      <c r="H8" s="70">
        <f>-SUM('General details'!E96:E101)</f>
        <v>-31700000</v>
      </c>
      <c r="I8" s="70"/>
      <c r="J8" s="70"/>
      <c r="K8" s="70"/>
      <c r="L8" s="70"/>
      <c r="M8" s="71"/>
      <c r="N8" s="78"/>
      <c r="O8" s="70"/>
      <c r="P8" s="70"/>
      <c r="Q8" s="70"/>
      <c r="R8" s="70"/>
      <c r="S8" s="70"/>
      <c r="T8" s="70"/>
      <c r="U8" s="70"/>
      <c r="V8" s="70"/>
      <c r="W8" s="70"/>
      <c r="X8" s="70"/>
      <c r="Y8" s="71"/>
      <c r="Z8" s="78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1"/>
      <c r="AL8" s="78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1"/>
      <c r="AX8" s="78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1"/>
    </row>
    <row r="9" spans="1:61" x14ac:dyDescent="0.25">
      <c r="A9" s="35" t="s">
        <v>307</v>
      </c>
      <c r="B9" s="78">
        <f>SUM('Cash Flow'!$E$23:$E$24)/12</f>
        <v>-42976.94999999999</v>
      </c>
      <c r="C9" s="70">
        <f>SUM('Cash Flow'!$E$23:$E$24)/12</f>
        <v>-42976.94999999999</v>
      </c>
      <c r="D9" s="70">
        <f>SUM('Cash Flow'!$E$23:$E$24)/12</f>
        <v>-42976.94999999999</v>
      </c>
      <c r="E9" s="70">
        <f>SUM('Cash Flow'!$E$23:$E$24)/12</f>
        <v>-42976.94999999999</v>
      </c>
      <c r="F9" s="70">
        <f>SUM('Cash Flow'!$E$23:$E$24)/12</f>
        <v>-42976.94999999999</v>
      </c>
      <c r="G9" s="70">
        <f>SUM('Cash Flow'!$E$23:$E$24)/12</f>
        <v>-42976.94999999999</v>
      </c>
      <c r="H9" s="70">
        <f>SUM('Cash Flow'!$E$23:$E$24)/12</f>
        <v>-42976.94999999999</v>
      </c>
      <c r="I9" s="70">
        <f>SUM('Cash Flow'!$E$23:$E$24)/12</f>
        <v>-42976.94999999999</v>
      </c>
      <c r="J9" s="70">
        <f>SUM('Cash Flow'!$E$23:$E$24)/12</f>
        <v>-42976.94999999999</v>
      </c>
      <c r="K9" s="70">
        <f>SUM('Cash Flow'!$E$23:$E$24)/12</f>
        <v>-42976.94999999999</v>
      </c>
      <c r="L9" s="70">
        <f>SUM('Cash Flow'!$E$23:$E$24)/12</f>
        <v>-42976.94999999999</v>
      </c>
      <c r="M9" s="71">
        <f>SUM('Cash Flow'!$E$23:$E$24)/12</f>
        <v>-42976.94999999999</v>
      </c>
      <c r="N9" s="78">
        <f>SUM('Cash Flow'!$F$23:$F$24)/12</f>
        <v>-45163.953211462744</v>
      </c>
      <c r="O9" s="70">
        <f>SUM('Cash Flow'!$F$23:$F$24)/12</f>
        <v>-45163.953211462744</v>
      </c>
      <c r="P9" s="70">
        <f>SUM('Cash Flow'!$F$23:$F$24)/12</f>
        <v>-45163.953211462744</v>
      </c>
      <c r="Q9" s="70">
        <f>SUM('Cash Flow'!$F$23:$F$24)/12</f>
        <v>-45163.953211462744</v>
      </c>
      <c r="R9" s="70">
        <f>SUM('Cash Flow'!$F$23:$F$24)/12</f>
        <v>-45163.953211462744</v>
      </c>
      <c r="S9" s="70">
        <f>SUM('Cash Flow'!$F$23:$F$24)/12</f>
        <v>-45163.953211462744</v>
      </c>
      <c r="T9" s="70">
        <f>SUM('Cash Flow'!$F$23:$F$24)/12</f>
        <v>-45163.953211462744</v>
      </c>
      <c r="U9" s="70">
        <f>SUM('Cash Flow'!$F$23:$F$24)/12</f>
        <v>-45163.953211462744</v>
      </c>
      <c r="V9" s="70">
        <f>SUM('Cash Flow'!$F$23:$F$24)/12</f>
        <v>-45163.953211462744</v>
      </c>
      <c r="W9" s="70">
        <f>SUM('Cash Flow'!$F$23:$F$24)/12</f>
        <v>-45163.953211462744</v>
      </c>
      <c r="X9" s="70">
        <f>SUM('Cash Flow'!$F$23:$F$24)/12</f>
        <v>-45163.953211462744</v>
      </c>
      <c r="Y9" s="71">
        <f>SUM('Cash Flow'!$F$23:$F$24)/12</f>
        <v>-45163.953211462744</v>
      </c>
      <c r="Z9" s="78">
        <f>SUM('Cash Flow'!$G$23:$G$24)/12</f>
        <v>-53193.586462288433</v>
      </c>
      <c r="AA9" s="70">
        <f>SUM('Cash Flow'!$G$23:$G$24)/12</f>
        <v>-53193.586462288433</v>
      </c>
      <c r="AB9" s="70">
        <f>SUM('Cash Flow'!$G$23:$G$24)/12</f>
        <v>-53193.586462288433</v>
      </c>
      <c r="AC9" s="70">
        <f>SUM('Cash Flow'!$G$23:$G$24)/12</f>
        <v>-53193.586462288433</v>
      </c>
      <c r="AD9" s="70">
        <f>SUM('Cash Flow'!$G$23:$G$24)/12</f>
        <v>-53193.586462288433</v>
      </c>
      <c r="AE9" s="70">
        <f>SUM('Cash Flow'!$G$23:$G$24)/12</f>
        <v>-53193.586462288433</v>
      </c>
      <c r="AF9" s="70">
        <f>SUM('Cash Flow'!$G$23:$G$24)/12</f>
        <v>-53193.586462288433</v>
      </c>
      <c r="AG9" s="70">
        <f>SUM('Cash Flow'!$G$23:$G$24)/12</f>
        <v>-53193.586462288433</v>
      </c>
      <c r="AH9" s="70">
        <f>SUM('Cash Flow'!$G$23:$G$24)/12</f>
        <v>-53193.586462288433</v>
      </c>
      <c r="AI9" s="70">
        <f>SUM('Cash Flow'!$G$23:$G$24)/12</f>
        <v>-53193.586462288433</v>
      </c>
      <c r="AJ9" s="70">
        <f>SUM('Cash Flow'!$G$23:$G$24)/12</f>
        <v>-53193.586462288433</v>
      </c>
      <c r="AK9" s="71">
        <f>SUM('Cash Flow'!$G$23:$G$24)/12</f>
        <v>-53193.586462288433</v>
      </c>
      <c r="AL9" s="78">
        <f>SUM('Cash Flow'!$H$23:$H$24)/12</f>
        <v>-62671.507206120645</v>
      </c>
      <c r="AM9" s="70">
        <f>SUM('Cash Flow'!$H$23:$H$24)/12</f>
        <v>-62671.507206120645</v>
      </c>
      <c r="AN9" s="70">
        <f>SUM('Cash Flow'!$H$23:$H$24)/12</f>
        <v>-62671.507206120645</v>
      </c>
      <c r="AO9" s="70">
        <f>SUM('Cash Flow'!$H$23:$H$24)/12</f>
        <v>-62671.507206120645</v>
      </c>
      <c r="AP9" s="70">
        <f>SUM('Cash Flow'!$H$23:$H$24)/12</f>
        <v>-62671.507206120645</v>
      </c>
      <c r="AQ9" s="70">
        <f>SUM('Cash Flow'!$H$23:$H$24)/12</f>
        <v>-62671.507206120645</v>
      </c>
      <c r="AR9" s="70">
        <f>SUM('Cash Flow'!$H$23:$H$24)/12</f>
        <v>-62671.507206120645</v>
      </c>
      <c r="AS9" s="70">
        <f>SUM('Cash Flow'!$H$23:$H$24)/12</f>
        <v>-62671.507206120645</v>
      </c>
      <c r="AT9" s="70">
        <f>SUM('Cash Flow'!$H$23:$H$24)/12</f>
        <v>-62671.507206120645</v>
      </c>
      <c r="AU9" s="70">
        <f>SUM('Cash Flow'!$H$23:$H$24)/12</f>
        <v>-62671.507206120645</v>
      </c>
      <c r="AV9" s="70">
        <f>SUM('Cash Flow'!$H$23:$H$24)/12</f>
        <v>-62671.507206120645</v>
      </c>
      <c r="AW9" s="71">
        <f>SUM('Cash Flow'!$H$23:$H$24)/12</f>
        <v>-62671.507206120645</v>
      </c>
      <c r="AX9" s="78">
        <f>SUM('Cash Flow'!$I$23:$I$24)/12</f>
        <v>-73862.534415363683</v>
      </c>
      <c r="AY9" s="70">
        <f>SUM('Cash Flow'!$I$23:$I$24)/12</f>
        <v>-73862.534415363683</v>
      </c>
      <c r="AZ9" s="70">
        <f>SUM('Cash Flow'!$I$23:$I$24)/12</f>
        <v>-73862.534415363683</v>
      </c>
      <c r="BA9" s="70">
        <f>SUM('Cash Flow'!$I$23:$I$24)/12</f>
        <v>-73862.534415363683</v>
      </c>
      <c r="BB9" s="70">
        <f>SUM('Cash Flow'!$I$23:$I$24)/12</f>
        <v>-73862.534415363683</v>
      </c>
      <c r="BC9" s="70">
        <f>SUM('Cash Flow'!$I$23:$I$24)/12</f>
        <v>-73862.534415363683</v>
      </c>
      <c r="BD9" s="70">
        <f>SUM('Cash Flow'!$I$23:$I$24)/12</f>
        <v>-73862.534415363683</v>
      </c>
      <c r="BE9" s="70">
        <f>SUM('Cash Flow'!$I$23:$I$24)/12</f>
        <v>-73862.534415363683</v>
      </c>
      <c r="BF9" s="70">
        <f>SUM('Cash Flow'!$I$23:$I$24)/12</f>
        <v>-73862.534415363683</v>
      </c>
      <c r="BG9" s="70">
        <f>SUM('Cash Flow'!$I$23:$I$24)/12</f>
        <v>-73862.534415363683</v>
      </c>
      <c r="BH9" s="70">
        <f>SUM('Cash Flow'!$I$23:$I$24)/12</f>
        <v>-73862.534415363683</v>
      </c>
      <c r="BI9" s="71">
        <f>SUM('Cash Flow'!$I$23:$I$24)/12</f>
        <v>-73862.534415363683</v>
      </c>
    </row>
    <row r="10" spans="1:61" s="10" customFormat="1" x14ac:dyDescent="0.25">
      <c r="A10" s="284" t="s">
        <v>218</v>
      </c>
      <c r="B10" s="212">
        <f>-'Profit or Loss'!$E$20/12</f>
        <v>-125000</v>
      </c>
      <c r="C10" s="61">
        <f>-'Profit or Loss'!$E$20/12</f>
        <v>-125000</v>
      </c>
      <c r="D10" s="61">
        <f>-'Profit or Loss'!$E$20/12</f>
        <v>-125000</v>
      </c>
      <c r="E10" s="61">
        <f>-'Profit or Loss'!$E$20/12</f>
        <v>-125000</v>
      </c>
      <c r="F10" s="61">
        <f>-'Profit or Loss'!$E$20/12</f>
        <v>-125000</v>
      </c>
      <c r="G10" s="61">
        <f>-'Profit or Loss'!$E$20/12</f>
        <v>-125000</v>
      </c>
      <c r="H10" s="61">
        <f>-'Profit or Loss'!$E$20/12</f>
        <v>-125000</v>
      </c>
      <c r="I10" s="61">
        <f>-'Profit or Loss'!$E$20/12</f>
        <v>-125000</v>
      </c>
      <c r="J10" s="61">
        <f>-'Profit or Loss'!$E$20/12</f>
        <v>-125000</v>
      </c>
      <c r="K10" s="61">
        <f>-'Profit or Loss'!$E$20/12</f>
        <v>-125000</v>
      </c>
      <c r="L10" s="61">
        <f>-'Profit or Loss'!$E$20/12</f>
        <v>-125000</v>
      </c>
      <c r="M10" s="69">
        <f>-'Profit or Loss'!$E$20/12</f>
        <v>-125000</v>
      </c>
      <c r="N10" s="212">
        <f>-'Profit or Loss'!$F$20/12</f>
        <v>-184718.43387987895</v>
      </c>
      <c r="O10" s="61">
        <f>-'Profit or Loss'!$F$20/12</f>
        <v>-184718.43387987895</v>
      </c>
      <c r="P10" s="61">
        <f>-'Profit or Loss'!$F$20/12</f>
        <v>-184718.43387987895</v>
      </c>
      <c r="Q10" s="61">
        <f>-'Profit or Loss'!$F$20/12</f>
        <v>-184718.43387987895</v>
      </c>
      <c r="R10" s="61">
        <f>-'Profit or Loss'!$F$20/12</f>
        <v>-184718.43387987895</v>
      </c>
      <c r="S10" s="61">
        <f>-'Profit or Loss'!$F$20/12</f>
        <v>-184718.43387987895</v>
      </c>
      <c r="T10" s="61">
        <f>-'Profit or Loss'!$F$20/12</f>
        <v>-184718.43387987895</v>
      </c>
      <c r="U10" s="61">
        <f>-'Profit or Loss'!$F$20/12</f>
        <v>-184718.43387987895</v>
      </c>
      <c r="V10" s="61">
        <f>-'Profit or Loss'!$F$20/12</f>
        <v>-184718.43387987895</v>
      </c>
      <c r="W10" s="61">
        <f>-'Profit or Loss'!$F$20/12</f>
        <v>-184718.43387987895</v>
      </c>
      <c r="X10" s="61">
        <f>-'Profit or Loss'!$F$20/12</f>
        <v>-184718.43387987895</v>
      </c>
      <c r="Y10" s="69">
        <f>-'Profit or Loss'!$F$20/12</f>
        <v>-184718.43387987895</v>
      </c>
      <c r="Z10" s="212">
        <f>-'Profit or Loss'!$G$20/12</f>
        <v>-191315.6795518107</v>
      </c>
      <c r="AA10" s="61">
        <f>-'Profit or Loss'!$G$20/12</f>
        <v>-191315.6795518107</v>
      </c>
      <c r="AB10" s="61">
        <f>-'Profit or Loss'!$G$20/12</f>
        <v>-191315.6795518107</v>
      </c>
      <c r="AC10" s="61">
        <f>-'Profit or Loss'!$G$20/12</f>
        <v>-191315.6795518107</v>
      </c>
      <c r="AD10" s="61">
        <f>-'Profit or Loss'!$G$20/12</f>
        <v>-191315.6795518107</v>
      </c>
      <c r="AE10" s="61">
        <f>-'Profit or Loss'!$G$20/12</f>
        <v>-191315.6795518107</v>
      </c>
      <c r="AF10" s="61">
        <f>-'Profit or Loss'!$G$20/12</f>
        <v>-191315.6795518107</v>
      </c>
      <c r="AG10" s="61">
        <f>-'Profit or Loss'!$G$20/12</f>
        <v>-191315.6795518107</v>
      </c>
      <c r="AH10" s="61">
        <f>-'Profit or Loss'!$G$20/12</f>
        <v>-191315.6795518107</v>
      </c>
      <c r="AI10" s="61">
        <f>-'Profit or Loss'!$G$20/12</f>
        <v>-191315.6795518107</v>
      </c>
      <c r="AJ10" s="61">
        <f>-'Profit or Loss'!$G$20/12</f>
        <v>-191315.6795518107</v>
      </c>
      <c r="AK10" s="69">
        <f>-'Profit or Loss'!$G$20/12</f>
        <v>-191315.6795518107</v>
      </c>
      <c r="AL10" s="212">
        <f>-'Profit or Loss'!$H$20/12</f>
        <v>-175395.92823339219</v>
      </c>
      <c r="AM10" s="61">
        <f>-'Profit or Loss'!$H$20/12</f>
        <v>-175395.92823339219</v>
      </c>
      <c r="AN10" s="61">
        <f>-'Profit or Loss'!$H$20/12</f>
        <v>-175395.92823339219</v>
      </c>
      <c r="AO10" s="61">
        <f>-'Profit or Loss'!$H$20/12</f>
        <v>-175395.92823339219</v>
      </c>
      <c r="AP10" s="61">
        <f>-'Profit or Loss'!$H$20/12</f>
        <v>-175395.92823339219</v>
      </c>
      <c r="AQ10" s="61">
        <f>-'Profit or Loss'!$H$20/12</f>
        <v>-175395.92823339219</v>
      </c>
      <c r="AR10" s="61">
        <f>-'Profit or Loss'!$H$20/12</f>
        <v>-175395.92823339219</v>
      </c>
      <c r="AS10" s="61">
        <f>-'Profit or Loss'!$H$20/12</f>
        <v>-175395.92823339219</v>
      </c>
      <c r="AT10" s="61">
        <f>-'Profit or Loss'!$H$20/12</f>
        <v>-175395.92823339219</v>
      </c>
      <c r="AU10" s="61">
        <f>-'Profit or Loss'!$H$20/12</f>
        <v>-175395.92823339219</v>
      </c>
      <c r="AV10" s="61">
        <f>-'Profit or Loss'!$H$20/12</f>
        <v>-175395.92823339219</v>
      </c>
      <c r="AW10" s="69">
        <f>-'Profit or Loss'!$H$20/12</f>
        <v>-175395.92823339219</v>
      </c>
      <c r="AX10" s="212">
        <f>-'Profit or Loss'!$I$20/12</f>
        <v>-158665.13982046873</v>
      </c>
      <c r="AY10" s="61">
        <f>-'Profit or Loss'!$I$20/12</f>
        <v>-158665.13982046873</v>
      </c>
      <c r="AZ10" s="61">
        <f>-'Profit or Loss'!$I$20/12</f>
        <v>-158665.13982046873</v>
      </c>
      <c r="BA10" s="61">
        <f>-'Profit or Loss'!$I$20/12</f>
        <v>-158665.13982046873</v>
      </c>
      <c r="BB10" s="61">
        <f>-'Profit or Loss'!$I$20/12</f>
        <v>-158665.13982046873</v>
      </c>
      <c r="BC10" s="61">
        <f>-'Profit or Loss'!$I$20/12</f>
        <v>-158665.13982046873</v>
      </c>
      <c r="BD10" s="61">
        <f>-'Profit or Loss'!$I$20/12</f>
        <v>-158665.13982046873</v>
      </c>
      <c r="BE10" s="61">
        <f>-'Profit or Loss'!$I$20/12</f>
        <v>-158665.13982046873</v>
      </c>
      <c r="BF10" s="61">
        <f>-'Profit or Loss'!$I$20/12</f>
        <v>-158665.13982046873</v>
      </c>
      <c r="BG10" s="61">
        <f>-'Profit or Loss'!$I$20/12</f>
        <v>-158665.13982046873</v>
      </c>
      <c r="BH10" s="61">
        <f>-'Profit or Loss'!$I$20/12</f>
        <v>-158665.13982046873</v>
      </c>
      <c r="BI10" s="69">
        <f>-'Profit or Loss'!$I$20/12</f>
        <v>-158665.13982046873</v>
      </c>
    </row>
    <row r="11" spans="1:61" s="10" customFormat="1" x14ac:dyDescent="0.25">
      <c r="A11" s="284" t="s">
        <v>306</v>
      </c>
      <c r="B11" s="212">
        <f>('Profit or Loss'!$E$13-'Profit or Loss'!$E$15)/12</f>
        <v>236721.4712166666</v>
      </c>
      <c r="C11" s="61">
        <f>('Profit or Loss'!$E$13-'Profit or Loss'!$E$15)/12</f>
        <v>236721.4712166666</v>
      </c>
      <c r="D11" s="61">
        <f>('Profit or Loss'!$E$13-'Profit or Loss'!$E$15)/12</f>
        <v>236721.4712166666</v>
      </c>
      <c r="E11" s="61">
        <f>('Profit or Loss'!$E$13-'Profit or Loss'!$E$15)/12</f>
        <v>236721.4712166666</v>
      </c>
      <c r="F11" s="61">
        <f>('Profit or Loss'!$E$13-'Profit or Loss'!$E$15)/12</f>
        <v>236721.4712166666</v>
      </c>
      <c r="G11" s="61">
        <f>('Profit or Loss'!$E$13-'Profit or Loss'!$E$15)/12</f>
        <v>236721.4712166666</v>
      </c>
      <c r="H11" s="61">
        <f>('Profit or Loss'!$E$13-'Profit or Loss'!$E$15)/12</f>
        <v>236721.4712166666</v>
      </c>
      <c r="I11" s="61">
        <f>('Profit or Loss'!$E$13-'Profit or Loss'!$E$15)/12</f>
        <v>236721.4712166666</v>
      </c>
      <c r="J11" s="61">
        <f>('Profit or Loss'!$E$13-'Profit or Loss'!$E$15)/12</f>
        <v>236721.4712166666</v>
      </c>
      <c r="K11" s="61">
        <f>('Profit or Loss'!$E$13-'Profit or Loss'!$E$15)/12</f>
        <v>236721.4712166666</v>
      </c>
      <c r="L11" s="61">
        <f>('Profit or Loss'!$E$13-'Profit or Loss'!$E$15)/12</f>
        <v>236721.4712166666</v>
      </c>
      <c r="M11" s="69">
        <f>('Profit or Loss'!$E$13-'Profit or Loss'!$E$15)/12</f>
        <v>236721.4712166666</v>
      </c>
      <c r="N11" s="212">
        <f>('Profit or Loss'!$F$13-'Profit or Loss'!$F$15)/12</f>
        <v>308529.21064916655</v>
      </c>
      <c r="O11" s="61">
        <f>('Profit or Loss'!$F$13-'Profit or Loss'!$F$15)/12</f>
        <v>308529.21064916655</v>
      </c>
      <c r="P11" s="61">
        <f>('Profit or Loss'!$F$13-'Profit or Loss'!$F$15)/12</f>
        <v>308529.21064916655</v>
      </c>
      <c r="Q11" s="61">
        <f>('Profit or Loss'!$F$13-'Profit or Loss'!$F$15)/12</f>
        <v>308529.21064916655</v>
      </c>
      <c r="R11" s="61">
        <f>('Profit or Loss'!$F$13-'Profit or Loss'!$F$15)/12</f>
        <v>308529.21064916655</v>
      </c>
      <c r="S11" s="61">
        <f>('Profit or Loss'!$F$13-'Profit or Loss'!$F$15)/12</f>
        <v>308529.21064916655</v>
      </c>
      <c r="T11" s="61">
        <f>('Profit or Loss'!$F$13-'Profit or Loss'!$F$15)/12</f>
        <v>308529.21064916655</v>
      </c>
      <c r="U11" s="61">
        <f>('Profit or Loss'!$F$13-'Profit or Loss'!$F$15)/12</f>
        <v>308529.21064916655</v>
      </c>
      <c r="V11" s="61">
        <f>('Profit or Loss'!$F$13-'Profit or Loss'!$F$15)/12</f>
        <v>308529.21064916655</v>
      </c>
      <c r="W11" s="61">
        <f>('Profit or Loss'!$F$13-'Profit or Loss'!$F$15)/12</f>
        <v>308529.21064916655</v>
      </c>
      <c r="X11" s="61">
        <f>('Profit or Loss'!$F$13-'Profit or Loss'!$F$15)/12</f>
        <v>308529.21064916655</v>
      </c>
      <c r="Y11" s="69">
        <f>('Profit or Loss'!$F$13-'Profit or Loss'!$F$15)/12</f>
        <v>308529.21064916655</v>
      </c>
      <c r="Z11" s="212">
        <f>('Profit or Loss'!$G$13-'Profit or Loss'!$G$15)/12</f>
        <v>391108.11099654151</v>
      </c>
      <c r="AA11" s="61">
        <f>('Profit or Loss'!$G$13-'Profit or Loss'!$G$15)/12</f>
        <v>391108.11099654151</v>
      </c>
      <c r="AB11" s="61">
        <f>('Profit or Loss'!$G$13-'Profit or Loss'!$G$15)/12</f>
        <v>391108.11099654151</v>
      </c>
      <c r="AC11" s="61">
        <f>('Profit or Loss'!$G$13-'Profit or Loss'!$G$15)/12</f>
        <v>391108.11099654151</v>
      </c>
      <c r="AD11" s="61">
        <f>('Profit or Loss'!$G$13-'Profit or Loss'!$G$15)/12</f>
        <v>391108.11099654151</v>
      </c>
      <c r="AE11" s="61">
        <f>('Profit or Loss'!$G$13-'Profit or Loss'!$G$15)/12</f>
        <v>391108.11099654151</v>
      </c>
      <c r="AF11" s="61">
        <f>('Profit or Loss'!$G$13-'Profit or Loss'!$G$15)/12</f>
        <v>391108.11099654151</v>
      </c>
      <c r="AG11" s="61">
        <f>('Profit or Loss'!$G$13-'Profit or Loss'!$G$15)/12</f>
        <v>391108.11099654151</v>
      </c>
      <c r="AH11" s="61">
        <f>('Profit or Loss'!$G$13-'Profit or Loss'!$G$15)/12</f>
        <v>391108.11099654151</v>
      </c>
      <c r="AI11" s="61">
        <f>('Profit or Loss'!$G$13-'Profit or Loss'!$G$15)/12</f>
        <v>391108.11099654151</v>
      </c>
      <c r="AJ11" s="61">
        <f>('Profit or Loss'!$G$13-'Profit or Loss'!$G$15)/12</f>
        <v>391108.11099654151</v>
      </c>
      <c r="AK11" s="69">
        <f>('Profit or Loss'!$G$13-'Profit or Loss'!$G$15)/12</f>
        <v>391108.11099654151</v>
      </c>
      <c r="AL11" s="212">
        <f>('Profit or Loss'!$H$13-'Profit or Loss'!$H$15)/12</f>
        <v>486073.84639602265</v>
      </c>
      <c r="AM11" s="61">
        <f>('Profit or Loss'!$H$13-'Profit or Loss'!$H$15)/12</f>
        <v>486073.84639602265</v>
      </c>
      <c r="AN11" s="61">
        <f>('Profit or Loss'!$H$13-'Profit or Loss'!$H$15)/12</f>
        <v>486073.84639602265</v>
      </c>
      <c r="AO11" s="61">
        <f>('Profit or Loss'!$H$13-'Profit or Loss'!$H$15)/12</f>
        <v>486073.84639602265</v>
      </c>
      <c r="AP11" s="61">
        <f>('Profit or Loss'!$H$13-'Profit or Loss'!$H$15)/12</f>
        <v>486073.84639602265</v>
      </c>
      <c r="AQ11" s="61">
        <f>('Profit or Loss'!$H$13-'Profit or Loss'!$H$15)/12</f>
        <v>486073.84639602265</v>
      </c>
      <c r="AR11" s="61">
        <f>('Profit or Loss'!$H$13-'Profit or Loss'!$H$15)/12</f>
        <v>486073.84639602265</v>
      </c>
      <c r="AS11" s="61">
        <f>('Profit or Loss'!$H$13-'Profit or Loss'!$H$15)/12</f>
        <v>486073.84639602265</v>
      </c>
      <c r="AT11" s="61">
        <f>('Profit or Loss'!$H$13-'Profit or Loss'!$H$15)/12</f>
        <v>486073.84639602265</v>
      </c>
      <c r="AU11" s="61">
        <f>('Profit or Loss'!$H$13-'Profit or Loss'!$H$15)/12</f>
        <v>486073.84639602265</v>
      </c>
      <c r="AV11" s="61">
        <f>('Profit or Loss'!$H$13-'Profit or Loss'!$H$15)/12</f>
        <v>486073.84639602265</v>
      </c>
      <c r="AW11" s="69">
        <f>('Profit or Loss'!$H$13-'Profit or Loss'!$H$15)/12</f>
        <v>486073.84639602265</v>
      </c>
      <c r="AX11" s="212">
        <f>('Profit or Loss'!$I$13-'Profit or Loss'!$I$15)/12</f>
        <v>595284.44210542599</v>
      </c>
      <c r="AY11" s="61">
        <f>('Profit or Loss'!$I$13-'Profit or Loss'!$I$15)/12</f>
        <v>595284.44210542599</v>
      </c>
      <c r="AZ11" s="61">
        <f>('Profit or Loss'!$I$13-'Profit or Loss'!$I$15)/12</f>
        <v>595284.44210542599</v>
      </c>
      <c r="BA11" s="61">
        <f>('Profit or Loss'!$I$13-'Profit or Loss'!$I$15)/12</f>
        <v>595284.44210542599</v>
      </c>
      <c r="BB11" s="61">
        <f>('Profit or Loss'!$I$13-'Profit or Loss'!$I$15)/12</f>
        <v>595284.44210542599</v>
      </c>
      <c r="BC11" s="61">
        <f>('Profit or Loss'!$I$13-'Profit or Loss'!$I$15)/12</f>
        <v>595284.44210542599</v>
      </c>
      <c r="BD11" s="61">
        <f>('Profit or Loss'!$I$13-'Profit or Loss'!$I$15)/12</f>
        <v>595284.44210542599</v>
      </c>
      <c r="BE11" s="61">
        <f>('Profit or Loss'!$I$13-'Profit or Loss'!$I$15)/12</f>
        <v>595284.44210542599</v>
      </c>
      <c r="BF11" s="61">
        <f>('Profit or Loss'!$I$13-'Profit or Loss'!$I$15)/12</f>
        <v>595284.44210542599</v>
      </c>
      <c r="BG11" s="61">
        <f>('Profit or Loss'!$I$13-'Profit or Loss'!$I$15)/12</f>
        <v>595284.44210542599</v>
      </c>
      <c r="BH11" s="61">
        <f>('Profit or Loss'!$I$13-'Profit or Loss'!$I$15)/12</f>
        <v>595284.44210542599</v>
      </c>
      <c r="BI11" s="69">
        <f>('Profit or Loss'!$I$13-'Profit or Loss'!$I$15)/12</f>
        <v>595284.44210542599</v>
      </c>
    </row>
    <row r="12" spans="1:61" s="10" customFormat="1" x14ac:dyDescent="0.25">
      <c r="A12" s="284" t="s">
        <v>222</v>
      </c>
      <c r="B12" s="212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9">
        <f>-'Profit or Loss'!E29</f>
        <v>-674872.43412024016</v>
      </c>
      <c r="N12" s="212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9">
        <f>-'Profit or Loss'!F29</f>
        <v>-863110.60264006176</v>
      </c>
      <c r="Z12" s="212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9">
        <f>-'Profit or Loss'!G29</f>
        <v>-1230988.2505991571</v>
      </c>
      <c r="AL12" s="212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9">
        <f>-'Profit or Loss'!H29</f>
        <v>-1771434.6143137903</v>
      </c>
      <c r="AX12" s="212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9">
        <f>-'Profit or Loss'!I29</f>
        <v>-2429519.9103646381</v>
      </c>
    </row>
    <row r="13" spans="1:61" s="10" customFormat="1" x14ac:dyDescent="0.25">
      <c r="A13" s="284" t="s">
        <v>219</v>
      </c>
      <c r="B13" s="212">
        <f>-'Loan working'!$E$5/12+('General details'!$E$74-'General details'!$D$74)/12</f>
        <v>0</v>
      </c>
      <c r="C13" s="61">
        <f>-'Loan working'!$E$5/12+('General details'!$E$74-'General details'!$D$74)/12</f>
        <v>0</v>
      </c>
      <c r="D13" s="61">
        <f>-'Loan working'!$E$5/12+('General details'!$E$74-'General details'!$D$74)/12</f>
        <v>0</v>
      </c>
      <c r="E13" s="61">
        <f>-'Loan working'!$E$5/12+('General details'!$E$74-'General details'!$D$74)/12</f>
        <v>0</v>
      </c>
      <c r="F13" s="61">
        <f>-'Loan working'!$E$5/12+('General details'!$E$74-'General details'!$D$74)/12</f>
        <v>0</v>
      </c>
      <c r="G13" s="61">
        <f>-'Loan working'!$E$5/12+('General details'!$E$74-'General details'!$D$74)/12</f>
        <v>0</v>
      </c>
      <c r="H13" s="61">
        <f>-'Loan working'!$E$5/12+('General details'!$E$74-'General details'!$D$74)/12</f>
        <v>0</v>
      </c>
      <c r="I13" s="61">
        <f>-'Loan working'!$E$5/12+('General details'!$E$74-'General details'!$D$74)/12</f>
        <v>0</v>
      </c>
      <c r="J13" s="61">
        <f>-'Loan working'!$E$5/12+('General details'!$E$74-'General details'!$D$74)/12</f>
        <v>0</v>
      </c>
      <c r="K13" s="61">
        <f>-'Loan working'!$E$5/12+('General details'!$E$74-'General details'!$D$74)/12</f>
        <v>0</v>
      </c>
      <c r="L13" s="61">
        <f>-'Loan working'!$E$5/12+('General details'!$E$74-'General details'!$D$74)/12</f>
        <v>0</v>
      </c>
      <c r="M13" s="69">
        <f>-'Loan working'!$E$5/12+('General details'!$E$74-'General details'!$D$74)/12</f>
        <v>0</v>
      </c>
      <c r="N13" s="212">
        <f>-'Loan working'!$E$6/12+('General details'!$F$74-'General details'!$E$74)/12</f>
        <v>-883821.34261247632</v>
      </c>
      <c r="O13" s="61">
        <f>-'Loan working'!$E$6/12+('General details'!$F$74-'General details'!$E$74)/12</f>
        <v>-883821.34261247632</v>
      </c>
      <c r="P13" s="61">
        <f>-'Loan working'!$E$6/12+('General details'!$F$74-'General details'!$E$74)/12</f>
        <v>-883821.34261247632</v>
      </c>
      <c r="Q13" s="61">
        <f>-'Loan working'!$E$6/12+('General details'!$F$74-'General details'!$E$74)/12</f>
        <v>-883821.34261247632</v>
      </c>
      <c r="R13" s="61">
        <f>-'Loan working'!$E$6/12+('General details'!$F$74-'General details'!$E$74)/12</f>
        <v>-883821.34261247632</v>
      </c>
      <c r="S13" s="61">
        <f>-'Loan working'!$E$6/12+('General details'!$F$74-'General details'!$E$74)/12</f>
        <v>-883821.34261247632</v>
      </c>
      <c r="T13" s="61">
        <f>-'Loan working'!$E$6/12+('General details'!$F$74-'General details'!$E$74)/12</f>
        <v>-883821.34261247632</v>
      </c>
      <c r="U13" s="61">
        <f>-'Loan working'!$E$6/12+('General details'!$F$74-'General details'!$E$74)/12</f>
        <v>-883821.34261247632</v>
      </c>
      <c r="V13" s="61">
        <f>-'Loan working'!$E$6/12+('General details'!$F$74-'General details'!$E$74)/12</f>
        <v>-883821.34261247632</v>
      </c>
      <c r="W13" s="61">
        <f>-'Loan working'!$E$6/12+('General details'!$F$74-'General details'!$E$74)/12</f>
        <v>-883821.34261247632</v>
      </c>
      <c r="X13" s="61">
        <f>-'Loan working'!$E$6/12+('General details'!$F$74-'General details'!$E$74)/12</f>
        <v>-883821.34261247632</v>
      </c>
      <c r="Y13" s="69">
        <f>-'Loan working'!$E$6/12+('General details'!$F$74-'General details'!$E$74)/12</f>
        <v>-883821.34261247632</v>
      </c>
      <c r="Z13" s="212">
        <f>-'Loan working'!$E$7/12+('General details'!$G$74-'General details'!$F$74)/12</f>
        <v>-312486.91799355188</v>
      </c>
      <c r="AA13" s="61">
        <f>-'Loan working'!$E$7/12+('General details'!$G$74-'General details'!$F$74)/12</f>
        <v>-312486.91799355188</v>
      </c>
      <c r="AB13" s="61">
        <f>-'Loan working'!$E$7/12+('General details'!$G$74-'General details'!$F$74)/12</f>
        <v>-312486.91799355188</v>
      </c>
      <c r="AC13" s="61">
        <f>-'Loan working'!$E$7/12+('General details'!$G$74-'General details'!$F$74)/12</f>
        <v>-312486.91799355188</v>
      </c>
      <c r="AD13" s="61">
        <f>-'Loan working'!$E$7/12+('General details'!$G$74-'General details'!$F$74)/12</f>
        <v>-312486.91799355188</v>
      </c>
      <c r="AE13" s="61">
        <f>-'Loan working'!$E$7/12+('General details'!$G$74-'General details'!$F$74)/12</f>
        <v>-312486.91799355188</v>
      </c>
      <c r="AF13" s="61">
        <f>-'Loan working'!$E$7/12+('General details'!$G$74-'General details'!$F$74)/12</f>
        <v>-312486.91799355188</v>
      </c>
      <c r="AG13" s="61">
        <f>-'Loan working'!$E$7/12+('General details'!$G$74-'General details'!$F$74)/12</f>
        <v>-312486.91799355188</v>
      </c>
      <c r="AH13" s="61">
        <f>-'Loan working'!$E$7/12+('General details'!$G$74-'General details'!$F$74)/12</f>
        <v>-312486.91799355188</v>
      </c>
      <c r="AI13" s="61">
        <f>-'Loan working'!$E$7/12+('General details'!$G$74-'General details'!$F$74)/12</f>
        <v>-312486.91799355188</v>
      </c>
      <c r="AJ13" s="61">
        <f>-'Loan working'!$E$7/12+('General details'!$G$74-'General details'!$F$74)/12</f>
        <v>-312486.91799355188</v>
      </c>
      <c r="AK13" s="69">
        <f>-'Loan working'!$E$7/12+('General details'!$G$74-'General details'!$F$74)/12</f>
        <v>-312486.91799355188</v>
      </c>
      <c r="AL13" s="212">
        <f>-'Loan working'!$E$8/12+('General details'!$H$74-'General details'!$G$74)/12</f>
        <v>-328406.66931197041</v>
      </c>
      <c r="AM13" s="61">
        <f>-'Loan working'!$E$8/12+('General details'!$H$74-'General details'!$G$74)/12</f>
        <v>-328406.66931197041</v>
      </c>
      <c r="AN13" s="61">
        <f>-'Loan working'!$E$8/12+('General details'!$H$74-'General details'!$G$74)/12</f>
        <v>-328406.66931197041</v>
      </c>
      <c r="AO13" s="61">
        <f>-'Loan working'!$E$8/12+('General details'!$H$74-'General details'!$G$74)/12</f>
        <v>-328406.66931197041</v>
      </c>
      <c r="AP13" s="61">
        <f>-'Loan working'!$E$8/12+('General details'!$H$74-'General details'!$G$74)/12</f>
        <v>-328406.66931197041</v>
      </c>
      <c r="AQ13" s="61">
        <f>-'Loan working'!$E$8/12+('General details'!$H$74-'General details'!$G$74)/12</f>
        <v>-328406.66931197041</v>
      </c>
      <c r="AR13" s="61">
        <f>-'Loan working'!$E$8/12+('General details'!$H$74-'General details'!$G$74)/12</f>
        <v>-328406.66931197041</v>
      </c>
      <c r="AS13" s="61">
        <f>-'Loan working'!$E$8/12+('General details'!$H$74-'General details'!$G$74)/12</f>
        <v>-328406.66931197041</v>
      </c>
      <c r="AT13" s="61">
        <f>-'Loan working'!$E$8/12+('General details'!$H$74-'General details'!$G$74)/12</f>
        <v>-328406.66931197041</v>
      </c>
      <c r="AU13" s="61">
        <f>-'Loan working'!$E$8/12+('General details'!$H$74-'General details'!$G$74)/12</f>
        <v>-328406.66931197041</v>
      </c>
      <c r="AV13" s="61">
        <f>-'Loan working'!$E$8/12+('General details'!$H$74-'General details'!$G$74)/12</f>
        <v>-328406.66931197041</v>
      </c>
      <c r="AW13" s="69">
        <f>-'Loan working'!$E$8/12+('General details'!$H$74-'General details'!$G$74)/12</f>
        <v>-328406.66931197041</v>
      </c>
      <c r="AX13" s="212">
        <f>-'Loan working'!$E$9/12+('General details'!$I$74-'General details'!$H$74)/12</f>
        <v>-345137.45772489393</v>
      </c>
      <c r="AY13" s="61">
        <f>-'Loan working'!$E$9/12+('General details'!$I$74-'General details'!$H$74)/12</f>
        <v>-345137.45772489393</v>
      </c>
      <c r="AZ13" s="61">
        <f>-'Loan working'!$E$9/12+('General details'!$I$74-'General details'!$H$74)/12</f>
        <v>-345137.45772489393</v>
      </c>
      <c r="BA13" s="61">
        <f>-'Loan working'!$E$9/12+('General details'!$I$74-'General details'!$H$74)/12</f>
        <v>-345137.45772489393</v>
      </c>
      <c r="BB13" s="61">
        <f>-'Loan working'!$E$9/12+('General details'!$I$74-'General details'!$H$74)/12</f>
        <v>-345137.45772489393</v>
      </c>
      <c r="BC13" s="61">
        <f>-'Loan working'!$E$9/12+('General details'!$I$74-'General details'!$H$74)/12</f>
        <v>-345137.45772489393</v>
      </c>
      <c r="BD13" s="61">
        <f>-'Loan working'!$E$9/12+('General details'!$I$74-'General details'!$H$74)/12</f>
        <v>-345137.45772489393</v>
      </c>
      <c r="BE13" s="61">
        <f>-'Loan working'!$E$9/12+('General details'!$I$74-'General details'!$H$74)/12</f>
        <v>-345137.45772489393</v>
      </c>
      <c r="BF13" s="61">
        <f>-'Loan working'!$E$9/12+('General details'!$I$74-'General details'!$H$74)/12</f>
        <v>-345137.45772489393</v>
      </c>
      <c r="BG13" s="61">
        <f>-'Loan working'!$E$9/12+('General details'!$I$74-'General details'!$H$74)/12</f>
        <v>-345137.45772489393</v>
      </c>
      <c r="BH13" s="61">
        <f>-'Loan working'!$E$9/12+('General details'!$I$74-'General details'!$H$74)/12</f>
        <v>-345137.45772489393</v>
      </c>
      <c r="BI13" s="69">
        <f>-'Loan working'!$E$9/12+('General details'!$I$74-'General details'!$H$74)/12</f>
        <v>-345137.45772489393</v>
      </c>
    </row>
    <row r="14" spans="1:61" x14ac:dyDescent="0.25">
      <c r="A14" s="35" t="s">
        <v>214</v>
      </c>
      <c r="B14" s="78">
        <f>SUM(B4:B13)</f>
        <v>18174895.054196846</v>
      </c>
      <c r="C14" s="70">
        <f t="shared" ref="C14:AG14" si="0">SUM(C4:C13)</f>
        <v>-1825104.9458031557</v>
      </c>
      <c r="D14" s="70">
        <f t="shared" si="0"/>
        <v>-1825104.9458031557</v>
      </c>
      <c r="E14" s="70">
        <f t="shared" si="0"/>
        <v>781784.82152333402</v>
      </c>
      <c r="F14" s="70">
        <f t="shared" si="0"/>
        <v>2995690.0815233332</v>
      </c>
      <c r="G14" s="70">
        <f t="shared" si="0"/>
        <v>6430547.3065698212</v>
      </c>
      <c r="H14" s="70">
        <f t="shared" si="0"/>
        <v>-33207101.153430175</v>
      </c>
      <c r="I14" s="70">
        <f t="shared" si="0"/>
        <v>-1507101.1534301776</v>
      </c>
      <c r="J14" s="70">
        <f t="shared" si="0"/>
        <v>28492898.846569825</v>
      </c>
      <c r="K14" s="70">
        <f t="shared" si="0"/>
        <v>7144916.0826953361</v>
      </c>
      <c r="L14" s="70">
        <f t="shared" si="0"/>
        <v>7144916.0826953361</v>
      </c>
      <c r="M14" s="71">
        <f t="shared" si="0"/>
        <v>-2499977.3799233958</v>
      </c>
      <c r="N14" s="78">
        <f t="shared" si="0"/>
        <v>-1209962.9217788256</v>
      </c>
      <c r="O14" s="70">
        <f t="shared" si="0"/>
        <v>-1209962.9217788256</v>
      </c>
      <c r="P14" s="70">
        <f t="shared" si="0"/>
        <v>-1209962.9217788256</v>
      </c>
      <c r="Q14" s="70">
        <f t="shared" si="0"/>
        <v>3487982.7965146983</v>
      </c>
      <c r="R14" s="70">
        <f t="shared" si="0"/>
        <v>10399402.710514698</v>
      </c>
      <c r="S14" s="70">
        <f t="shared" si="0"/>
        <v>-2351318.2965563564</v>
      </c>
      <c r="T14" s="70">
        <f t="shared" si="0"/>
        <v>-2351318.2965563564</v>
      </c>
      <c r="U14" s="70">
        <f t="shared" si="0"/>
        <v>-2351318.2965563564</v>
      </c>
      <c r="V14" s="70">
        <f t="shared" si="0"/>
        <v>-2351318.2965563564</v>
      </c>
      <c r="W14" s="70">
        <f t="shared" si="0"/>
        <v>7454385.6574871894</v>
      </c>
      <c r="X14" s="70">
        <f t="shared" si="0"/>
        <v>7454385.6574871894</v>
      </c>
      <c r="Y14" s="71">
        <f t="shared" si="0"/>
        <v>-3870303.736103598</v>
      </c>
      <c r="Z14" s="78">
        <f t="shared" si="0"/>
        <v>-2664169.5318167163</v>
      </c>
      <c r="AA14" s="70">
        <f t="shared" si="0"/>
        <v>-647961.2510783202</v>
      </c>
      <c r="AB14" s="70">
        <f t="shared" si="0"/>
        <v>-647961.2510783202</v>
      </c>
      <c r="AC14" s="70">
        <f t="shared" si="0"/>
        <v>5975906.9676637184</v>
      </c>
      <c r="AD14" s="70">
        <f t="shared" si="0"/>
        <v>14321446.51381872</v>
      </c>
      <c r="AE14" s="70">
        <f t="shared" si="0"/>
        <v>-622695.73766919051</v>
      </c>
      <c r="AF14" s="70">
        <f t="shared" si="0"/>
        <v>-622695.73766919051</v>
      </c>
      <c r="AG14" s="70">
        <f t="shared" si="0"/>
        <v>-622695.73766919051</v>
      </c>
      <c r="AH14" s="70">
        <f t="shared" ref="AH14:BI14" si="1">SUM(AH4:AH13)</f>
        <v>-622695.73766919051</v>
      </c>
      <c r="AI14" s="70">
        <f t="shared" si="1"/>
        <v>9436783.4706772082</v>
      </c>
      <c r="AJ14" s="70">
        <f t="shared" si="1"/>
        <v>9436783.4706772082</v>
      </c>
      <c r="AK14" s="71">
        <f t="shared" si="1"/>
        <v>-1853683.9882683475</v>
      </c>
      <c r="AL14" s="78">
        <f t="shared" si="1"/>
        <v>-596525.63448140665</v>
      </c>
      <c r="AM14" s="70">
        <f t="shared" si="1"/>
        <v>-596525.63448140665</v>
      </c>
      <c r="AN14" s="70">
        <f t="shared" si="1"/>
        <v>-596525.63448140665</v>
      </c>
      <c r="AO14" s="70">
        <f t="shared" si="1"/>
        <v>8544958.1233287081</v>
      </c>
      <c r="AP14" s="70">
        <f t="shared" si="1"/>
        <v>18622197.125310872</v>
      </c>
      <c r="AQ14" s="70">
        <f t="shared" si="1"/>
        <v>-596525.63448140665</v>
      </c>
      <c r="AR14" s="70">
        <f t="shared" si="1"/>
        <v>-596525.63448140665</v>
      </c>
      <c r="AS14" s="70">
        <f t="shared" si="1"/>
        <v>-596525.63448140665</v>
      </c>
      <c r="AT14" s="70">
        <f t="shared" si="1"/>
        <v>-596525.63448140665</v>
      </c>
      <c r="AU14" s="70">
        <f t="shared" si="1"/>
        <v>11033977.979344748</v>
      </c>
      <c r="AV14" s="70">
        <f t="shared" si="1"/>
        <v>11033977.979344748</v>
      </c>
      <c r="AW14" s="71">
        <f t="shared" si="1"/>
        <v>-2367960.2487951969</v>
      </c>
      <c r="AX14" s="78">
        <f t="shared" si="1"/>
        <v>-566237.90228984354</v>
      </c>
      <c r="AY14" s="70">
        <f t="shared" si="1"/>
        <v>-566237.90228984354</v>
      </c>
      <c r="AZ14" s="70">
        <f t="shared" si="1"/>
        <v>-566237.90228984354</v>
      </c>
      <c r="BA14" s="70">
        <f t="shared" si="1"/>
        <v>11959403.204163834</v>
      </c>
      <c r="BB14" s="70">
        <f t="shared" si="1"/>
        <v>24127669.299057301</v>
      </c>
      <c r="BC14" s="70">
        <f t="shared" si="1"/>
        <v>-566237.90228984354</v>
      </c>
      <c r="BD14" s="70">
        <f t="shared" si="1"/>
        <v>-566237.90228984354</v>
      </c>
      <c r="BE14" s="70">
        <f t="shared" si="1"/>
        <v>-566237.90228984354</v>
      </c>
      <c r="BF14" s="70">
        <f t="shared" si="1"/>
        <v>-566237.90228984354</v>
      </c>
      <c r="BG14" s="70">
        <f t="shared" si="1"/>
        <v>12816345.704348218</v>
      </c>
      <c r="BH14" s="70">
        <f t="shared" si="1"/>
        <v>12816345.704348218</v>
      </c>
      <c r="BI14" s="71">
        <f t="shared" si="1"/>
        <v>-2995757.8126544817</v>
      </c>
    </row>
    <row r="15" spans="1:61" ht="15.75" thickBot="1" x14ac:dyDescent="0.3">
      <c r="A15" s="35" t="s">
        <v>217</v>
      </c>
      <c r="B15" s="287">
        <f>'Balance Sheet'!D39</f>
        <v>833352.85000000615</v>
      </c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287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96"/>
      <c r="Z15" s="95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96"/>
      <c r="AL15" s="95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96"/>
      <c r="AX15" s="95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96"/>
    </row>
    <row r="16" spans="1:61" s="2" customFormat="1" x14ac:dyDescent="0.25">
      <c r="A16" s="285" t="s">
        <v>216</v>
      </c>
      <c r="B16" s="286">
        <f>B14+B15</f>
        <v>19008247.904196851</v>
      </c>
      <c r="C16" s="286">
        <f>C14+B16</f>
        <v>17183142.958393697</v>
      </c>
      <c r="D16" s="286">
        <f t="shared" ref="D16:M16" si="2">D14+C16</f>
        <v>15358038.012590541</v>
      </c>
      <c r="E16" s="286">
        <f t="shared" si="2"/>
        <v>16139822.834113875</v>
      </c>
      <c r="F16" s="286">
        <f t="shared" si="2"/>
        <v>19135512.91563721</v>
      </c>
      <c r="G16" s="286">
        <f t="shared" si="2"/>
        <v>25566060.222207032</v>
      </c>
      <c r="H16" s="286">
        <f t="shared" si="2"/>
        <v>-7641040.9312231429</v>
      </c>
      <c r="I16" s="286">
        <f t="shared" si="2"/>
        <v>-9148142.0846533198</v>
      </c>
      <c r="J16" s="286">
        <f t="shared" si="2"/>
        <v>19344756.761916503</v>
      </c>
      <c r="K16" s="286">
        <f>K14+J16</f>
        <v>26489672.844611838</v>
      </c>
      <c r="L16" s="286">
        <f t="shared" si="2"/>
        <v>33634588.927307174</v>
      </c>
      <c r="M16" s="286">
        <f t="shared" si="2"/>
        <v>31134611.547383778</v>
      </c>
      <c r="N16" s="286">
        <f t="shared" ref="N16" si="3">N14+M16</f>
        <v>29924648.625604954</v>
      </c>
      <c r="O16" s="286">
        <f t="shared" ref="O16" si="4">O14+N16</f>
        <v>28714685.703826129</v>
      </c>
      <c r="P16" s="286">
        <f t="shared" ref="P16" si="5">P14+O16</f>
        <v>27504722.782047305</v>
      </c>
      <c r="Q16" s="286">
        <f t="shared" ref="Q16" si="6">Q14+P16</f>
        <v>30992705.578562003</v>
      </c>
      <c r="R16" s="286">
        <f t="shared" ref="R16" si="7">R14+Q16</f>
        <v>41392108.289076701</v>
      </c>
      <c r="S16" s="286">
        <f t="shared" ref="S16" si="8">S14+R16</f>
        <v>39040789.992520347</v>
      </c>
      <c r="T16" s="286">
        <f t="shared" ref="T16" si="9">T14+S16</f>
        <v>36689471.695963994</v>
      </c>
      <c r="U16" s="286">
        <f t="shared" ref="U16" si="10">U14+T16</f>
        <v>34338153.39940764</v>
      </c>
      <c r="V16" s="286">
        <f t="shared" ref="V16" si="11">V14+U16</f>
        <v>31986835.102851283</v>
      </c>
      <c r="W16" s="286">
        <f t="shared" ref="W16" si="12">W14+V16</f>
        <v>39441220.76033847</v>
      </c>
      <c r="X16" s="286">
        <f t="shared" ref="X16" si="13">X14+W16</f>
        <v>46895606.417825662</v>
      </c>
      <c r="Y16" s="286">
        <f t="shared" ref="Y16" si="14">Y14+X16</f>
        <v>43025302.68172206</v>
      </c>
      <c r="Z16" s="286">
        <f t="shared" ref="Z16" si="15">Z14+Y16</f>
        <v>40361133.149905346</v>
      </c>
      <c r="AA16" s="286">
        <f t="shared" ref="AA16" si="16">AA14+Z16</f>
        <v>39713171.898827024</v>
      </c>
      <c r="AB16" s="286">
        <f t="shared" ref="AB16" si="17">AB14+AA16</f>
        <v>39065210.647748701</v>
      </c>
      <c r="AC16" s="286">
        <f t="shared" ref="AC16" si="18">AC14+AB16</f>
        <v>45041117.615412422</v>
      </c>
      <c r="AD16" s="286">
        <f t="shared" ref="AD16" si="19">AD14+AC16</f>
        <v>59362564.12923114</v>
      </c>
      <c r="AE16" s="286">
        <f t="shared" ref="AE16" si="20">AE14+AD16</f>
        <v>58739868.391561948</v>
      </c>
      <c r="AF16" s="286">
        <f t="shared" ref="AF16" si="21">AF14+AE16</f>
        <v>58117172.653892756</v>
      </c>
      <c r="AG16" s="286">
        <f t="shared" ref="AG16" si="22">AG14+AF16</f>
        <v>57494476.916223563</v>
      </c>
      <c r="AH16" s="286">
        <f t="shared" ref="AH16" si="23">AH14+AG16</f>
        <v>56871781.178554371</v>
      </c>
      <c r="AI16" s="286">
        <f t="shared" ref="AI16" si="24">AI14+AH16</f>
        <v>66308564.649231583</v>
      </c>
      <c r="AJ16" s="286">
        <f t="shared" ref="AJ16" si="25">AJ14+AI16</f>
        <v>75745348.119908795</v>
      </c>
      <c r="AK16" s="286">
        <f t="shared" ref="AK16" si="26">AK14+AJ16</f>
        <v>73891664.131640449</v>
      </c>
      <c r="AL16" s="286">
        <f t="shared" ref="AL16" si="27">AL14+AK16</f>
        <v>73295138.497159049</v>
      </c>
      <c r="AM16" s="286">
        <f t="shared" ref="AM16" si="28">AM14+AL16</f>
        <v>72698612.862677649</v>
      </c>
      <c r="AN16" s="286">
        <f t="shared" ref="AN16" si="29">AN14+AM16</f>
        <v>72102087.228196248</v>
      </c>
      <c r="AO16" s="286">
        <f t="shared" ref="AO16" si="30">AO14+AN16</f>
        <v>80647045.351524949</v>
      </c>
      <c r="AP16" s="286">
        <f t="shared" ref="AP16" si="31">AP14+AO16</f>
        <v>99269242.476835817</v>
      </c>
      <c r="AQ16" s="286">
        <f t="shared" ref="AQ16" si="32">AQ14+AP16</f>
        <v>98672716.842354417</v>
      </c>
      <c r="AR16" s="286">
        <f t="shared" ref="AR16" si="33">AR14+AQ16</f>
        <v>98076191.207873017</v>
      </c>
      <c r="AS16" s="286">
        <f t="shared" ref="AS16" si="34">AS14+AR16</f>
        <v>97479665.573391616</v>
      </c>
      <c r="AT16" s="286">
        <f t="shared" ref="AT16" si="35">AT14+AS16</f>
        <v>96883139.938910216</v>
      </c>
      <c r="AU16" s="286">
        <f t="shared" ref="AU16" si="36">AU14+AT16</f>
        <v>107917117.91825497</v>
      </c>
      <c r="AV16" s="286">
        <f t="shared" ref="AV16" si="37">AV14+AU16</f>
        <v>118951095.89759973</v>
      </c>
      <c r="AW16" s="286">
        <f t="shared" ref="AW16" si="38">AW14+AV16</f>
        <v>116583135.64880453</v>
      </c>
      <c r="AX16" s="286">
        <f t="shared" ref="AX16" si="39">AX14+AW16</f>
        <v>116016897.74651469</v>
      </c>
      <c r="AY16" s="286">
        <f t="shared" ref="AY16" si="40">AY14+AX16</f>
        <v>115450659.84422486</v>
      </c>
      <c r="AZ16" s="286">
        <f t="shared" ref="AZ16" si="41">AZ14+AY16</f>
        <v>114884421.94193502</v>
      </c>
      <c r="BA16" s="286">
        <f t="shared" ref="BA16" si="42">BA14+AZ16</f>
        <v>126843825.14609885</v>
      </c>
      <c r="BB16" s="286">
        <f t="shared" ref="BB16" si="43">BB14+BA16</f>
        <v>150971494.44515616</v>
      </c>
      <c r="BC16" s="286">
        <f t="shared" ref="BC16" si="44">BC14+BB16</f>
        <v>150405256.54286632</v>
      </c>
      <c r="BD16" s="286">
        <f t="shared" ref="BD16" si="45">BD14+BC16</f>
        <v>149839018.64057648</v>
      </c>
      <c r="BE16" s="286">
        <f t="shared" ref="BE16" si="46">BE14+BD16</f>
        <v>149272780.73828664</v>
      </c>
      <c r="BF16" s="286">
        <f t="shared" ref="BF16" si="47">BF14+BE16</f>
        <v>148706542.83599681</v>
      </c>
      <c r="BG16" s="286">
        <f t="shared" ref="BG16" si="48">BG14+BF16</f>
        <v>161522888.54034501</v>
      </c>
      <c r="BH16" s="286">
        <f t="shared" ref="BH16" si="49">BH14+BG16</f>
        <v>174339234.24469322</v>
      </c>
      <c r="BI16" s="286">
        <f t="shared" ref="BI16" si="50">BI14+BH16</f>
        <v>171343476.43203872</v>
      </c>
    </row>
    <row r="17" spans="1:25" x14ac:dyDescent="0.25">
      <c r="M17" s="10">
        <f>'Balance Sheet'!E39</f>
        <v>31134611.547383774</v>
      </c>
      <c r="Y17">
        <f>'Balance Sheet'!F39</f>
        <v>31288014.05834914</v>
      </c>
    </row>
    <row r="18" spans="1:25" x14ac:dyDescent="0.25">
      <c r="A18" s="2"/>
      <c r="M18" s="10">
        <f>M16-M17</f>
        <v>0</v>
      </c>
      <c r="Y18" s="13">
        <f>Y16-Y17</f>
        <v>11737288.62337292</v>
      </c>
    </row>
    <row r="19" spans="1:25" x14ac:dyDescent="0.25">
      <c r="M19" s="13"/>
    </row>
    <row r="20" spans="1:25" x14ac:dyDescent="0.25">
      <c r="M20" s="13"/>
    </row>
  </sheetData>
  <sheetProtection selectLockedCells="1"/>
  <conditionalFormatting sqref="B2:BI16">
    <cfRule type="expression" dxfId="6" priority="1" stopIfTrue="1">
      <formula>E$16&lt;0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J24"/>
  <sheetViews>
    <sheetView topLeftCell="B8" zoomScaleNormal="100" workbookViewId="0">
      <selection activeCell="B23" sqref="B23"/>
    </sheetView>
  </sheetViews>
  <sheetFormatPr defaultRowHeight="15" x14ac:dyDescent="0.25"/>
  <cols>
    <col min="1" max="1" width="2" style="35" hidden="1" customWidth="1"/>
    <col min="2" max="2" width="23.42578125" style="35" customWidth="1"/>
    <col min="3" max="4" width="14.28515625" style="35" bestFit="1" customWidth="1"/>
    <col min="5" max="5" width="14" style="35" bestFit="1" customWidth="1"/>
    <col min="6" max="6" width="17" style="35" customWidth="1"/>
    <col min="7" max="8" width="14.7109375" style="35" bestFit="1" customWidth="1"/>
    <col min="9" max="11" width="14.28515625" style="35" bestFit="1" customWidth="1"/>
    <col min="12" max="12" width="15.42578125" style="35" customWidth="1"/>
    <col min="13" max="13" width="17.140625" style="35" customWidth="1"/>
    <col min="14" max="17" width="14.28515625" style="35" bestFit="1" customWidth="1"/>
    <col min="18" max="19" width="15.5703125" style="35" customWidth="1"/>
    <col min="20" max="23" width="14.28515625" style="35" bestFit="1" customWidth="1"/>
    <col min="24" max="25" width="15" style="35" bestFit="1" customWidth="1"/>
    <col min="26" max="26" width="15.28515625" style="35" bestFit="1" customWidth="1"/>
    <col min="27" max="28" width="14.28515625" style="35" bestFit="1" customWidth="1"/>
    <col min="29" max="30" width="15.28515625" style="35" bestFit="1" customWidth="1"/>
    <col min="31" max="31" width="15" style="35" bestFit="1" customWidth="1"/>
    <col min="32" max="35" width="14.28515625" style="35" bestFit="1" customWidth="1"/>
    <col min="36" max="36" width="15.28515625" style="35" bestFit="1" customWidth="1"/>
    <col min="37" max="38" width="14.28515625" style="35" bestFit="1" customWidth="1"/>
    <col min="39" max="40" width="15.28515625" style="35" bestFit="1" customWidth="1"/>
    <col min="41" max="45" width="14.28515625" style="35" bestFit="1" customWidth="1"/>
    <col min="46" max="46" width="15.28515625" style="35" bestFit="1" customWidth="1"/>
    <col min="47" max="48" width="14.28515625" style="35" bestFit="1" customWidth="1"/>
    <col min="49" max="50" width="15.28515625" style="35" bestFit="1" customWidth="1"/>
    <col min="51" max="60" width="14.28515625" style="35" bestFit="1" customWidth="1"/>
    <col min="61" max="61" width="15.5703125" style="35" customWidth="1"/>
    <col min="62" max="62" width="16.28515625" style="35" customWidth="1"/>
    <col min="63" max="16384" width="9.140625" style="35"/>
  </cols>
  <sheetData>
    <row r="1" spans="1:62" ht="21" x14ac:dyDescent="0.35">
      <c r="B1" s="327" t="s">
        <v>356</v>
      </c>
    </row>
    <row r="2" spans="1:62" x14ac:dyDescent="0.25">
      <c r="H2" s="70"/>
    </row>
    <row r="3" spans="1:62" ht="15.75" thickBot="1" x14ac:dyDescent="0.3">
      <c r="B3" s="40"/>
      <c r="C3" s="300" t="s">
        <v>57</v>
      </c>
      <c r="D3" s="301" t="s">
        <v>196</v>
      </c>
      <c r="E3" s="302" t="s">
        <v>198</v>
      </c>
      <c r="F3" s="303" t="s">
        <v>200</v>
      </c>
      <c r="G3" s="40"/>
      <c r="H3" s="40"/>
      <c r="I3" s="40"/>
    </row>
    <row r="4" spans="1:62" ht="15.75" thickBot="1" x14ac:dyDescent="0.3">
      <c r="C4" s="207">
        <v>4</v>
      </c>
      <c r="D4" s="208">
        <v>5</v>
      </c>
      <c r="E4" s="208">
        <v>6</v>
      </c>
      <c r="F4" s="208">
        <v>7</v>
      </c>
      <c r="G4" s="208">
        <v>8</v>
      </c>
      <c r="H4" s="208">
        <v>9</v>
      </c>
      <c r="I4" s="208">
        <v>10</v>
      </c>
      <c r="J4" s="208">
        <v>11</v>
      </c>
      <c r="K4" s="208">
        <v>12</v>
      </c>
      <c r="L4" s="208">
        <v>1</v>
      </c>
      <c r="M4" s="208">
        <v>2</v>
      </c>
      <c r="N4" s="209">
        <v>3</v>
      </c>
      <c r="O4" s="207">
        <v>4</v>
      </c>
      <c r="P4" s="208">
        <v>5</v>
      </c>
      <c r="Q4" s="208">
        <v>6</v>
      </c>
      <c r="R4" s="208">
        <v>7</v>
      </c>
      <c r="S4" s="208">
        <v>8</v>
      </c>
      <c r="T4" s="208">
        <v>9</v>
      </c>
      <c r="U4" s="208">
        <v>10</v>
      </c>
      <c r="V4" s="208">
        <v>11</v>
      </c>
      <c r="W4" s="208">
        <v>12</v>
      </c>
      <c r="X4" s="208">
        <v>1</v>
      </c>
      <c r="Y4" s="208">
        <v>2</v>
      </c>
      <c r="Z4" s="209">
        <v>3</v>
      </c>
      <c r="AA4" s="207">
        <v>4</v>
      </c>
      <c r="AB4" s="208">
        <v>5</v>
      </c>
      <c r="AC4" s="208">
        <v>6</v>
      </c>
      <c r="AD4" s="208">
        <v>7</v>
      </c>
      <c r="AE4" s="208">
        <v>8</v>
      </c>
      <c r="AF4" s="208">
        <v>9</v>
      </c>
      <c r="AG4" s="208">
        <v>10</v>
      </c>
      <c r="AH4" s="208">
        <v>11</v>
      </c>
      <c r="AI4" s="208">
        <v>12</v>
      </c>
      <c r="AJ4" s="208">
        <v>1</v>
      </c>
      <c r="AK4" s="208">
        <v>2</v>
      </c>
      <c r="AL4" s="209">
        <v>3</v>
      </c>
      <c r="AM4" s="207">
        <v>4</v>
      </c>
      <c r="AN4" s="208">
        <v>5</v>
      </c>
      <c r="AO4" s="208">
        <v>6</v>
      </c>
      <c r="AP4" s="208">
        <v>7</v>
      </c>
      <c r="AQ4" s="208">
        <v>8</v>
      </c>
      <c r="AR4" s="208">
        <v>9</v>
      </c>
      <c r="AS4" s="208">
        <v>10</v>
      </c>
      <c r="AT4" s="208">
        <v>11</v>
      </c>
      <c r="AU4" s="208">
        <v>12</v>
      </c>
      <c r="AV4" s="208">
        <v>1</v>
      </c>
      <c r="AW4" s="208">
        <v>2</v>
      </c>
      <c r="AX4" s="209">
        <v>3</v>
      </c>
      <c r="AY4" s="207">
        <v>4</v>
      </c>
      <c r="AZ4" s="208">
        <v>5</v>
      </c>
      <c r="BA4" s="208">
        <v>6</v>
      </c>
      <c r="BB4" s="208">
        <v>7</v>
      </c>
      <c r="BC4" s="208">
        <v>8</v>
      </c>
      <c r="BD4" s="208">
        <v>9</v>
      </c>
      <c r="BE4" s="208">
        <v>10</v>
      </c>
      <c r="BF4" s="208">
        <v>11</v>
      </c>
      <c r="BG4" s="208">
        <v>12</v>
      </c>
      <c r="BH4" s="208">
        <v>1</v>
      </c>
      <c r="BI4" s="208">
        <v>2</v>
      </c>
      <c r="BJ4" s="209">
        <v>3</v>
      </c>
    </row>
    <row r="5" spans="1:62" x14ac:dyDescent="0.25">
      <c r="A5" s="35" t="s">
        <v>282</v>
      </c>
      <c r="B5" s="35" t="str">
        <f>'General details'!C11</f>
        <v>Rice (improved)</v>
      </c>
      <c r="C5" s="230"/>
      <c r="D5" s="202"/>
      <c r="E5" s="202"/>
      <c r="F5" s="203">
        <f>-Inventories!$H5/2</f>
        <v>-7362796.6263599992</v>
      </c>
      <c r="G5" s="203">
        <f>-Inventories!$H5/2</f>
        <v>-7362796.6263599992</v>
      </c>
      <c r="H5" s="204">
        <f>-('Cost of Sale'!$D$73*(Inventories!$E5+Inventories!$D5)/(Inventories!$E$10+Inventories!$D$10))/4</f>
        <v>-1006464.0647507152</v>
      </c>
      <c r="I5" s="204">
        <f>-('Cost of Sale'!$D$73*(Inventories!$E5+Inventories!$D5)/(Inventories!$E$10+Inventories!$D$10))/4</f>
        <v>-1006464.0647507152</v>
      </c>
      <c r="J5" s="204">
        <f>-('Cost of Sale'!$D$73*(Inventories!$E5+Inventories!$D5)/(Inventories!$E$10+Inventories!$D$10))/4</f>
        <v>-1006464.0647507152</v>
      </c>
      <c r="K5" s="204">
        <f>-('Cost of Sale'!$D$73*(Inventories!$E5+Inventories!$D5)/(Inventories!$E$10+Inventories!$D$10))/4</f>
        <v>-1006464.0647507152</v>
      </c>
      <c r="L5" s="201">
        <f>Inventories!$M5/2</f>
        <v>12516754.264812</v>
      </c>
      <c r="M5" s="201">
        <f>Inventories!$M5/2</f>
        <v>12516754.264812</v>
      </c>
      <c r="N5" s="206"/>
      <c r="O5" s="230"/>
      <c r="P5" s="202"/>
      <c r="Q5" s="202"/>
      <c r="R5" s="203">
        <f>-Inventories!$V5/2</f>
        <v>-8967886.2909064796</v>
      </c>
      <c r="S5" s="203">
        <f>-Inventories!$V5/2</f>
        <v>-8967886.2909064796</v>
      </c>
      <c r="T5" s="204">
        <f>-('Cost of Sale'!$E$73*(Inventories!$Q5+Inventories!$S5)/(Inventories!$Q$10+Inventories!$S$10))/4</f>
        <v>-1141355.3747775306</v>
      </c>
      <c r="U5" s="204">
        <f>-('Cost of Sale'!$E$73*(Inventories!$Q5+Inventories!$S5)/(Inventories!$Q$10+Inventories!$S$10))/4</f>
        <v>-1141355.3747775306</v>
      </c>
      <c r="V5" s="204">
        <f>-('Cost of Sale'!$E$73*(Inventories!$Q5+Inventories!$S5)/(Inventories!$Q$10+Inventories!$S$10))/4</f>
        <v>-1141355.3747775306</v>
      </c>
      <c r="W5" s="204">
        <f>-('Cost of Sale'!$E$73*(Inventories!$Q5+Inventories!$S5)/(Inventories!$Q$10+Inventories!$S$10))/4</f>
        <v>-1141355.3747775306</v>
      </c>
      <c r="X5" s="201">
        <f>Inventories!$AA5/2</f>
        <v>15245406.694541015</v>
      </c>
      <c r="Y5" s="201">
        <f>Inventories!$AA5/2</f>
        <v>15245406.694541015</v>
      </c>
      <c r="Z5" s="206"/>
      <c r="AA5" s="230"/>
      <c r="AB5" s="202"/>
      <c r="AC5" s="202"/>
      <c r="AD5" s="203">
        <f>-Inventories!$AJ5/2</f>
        <v>-10922885.502324093</v>
      </c>
      <c r="AE5" s="203">
        <f>-Inventories!$AJ5/2</f>
        <v>-10922885.502324093</v>
      </c>
      <c r="AF5" s="204"/>
      <c r="AG5" s="204"/>
      <c r="AH5" s="204"/>
      <c r="AI5" s="204"/>
      <c r="AJ5" s="201">
        <f>Inventories!$AO5/2</f>
        <v>18568905.353950959</v>
      </c>
      <c r="AK5" s="201">
        <f>Inventories!$AO5/2</f>
        <v>18568905.353950959</v>
      </c>
      <c r="AL5" s="206"/>
      <c r="AM5" s="230"/>
      <c r="AN5" s="202"/>
      <c r="AO5" s="202"/>
      <c r="AP5" s="203">
        <f>-Inventories!$AX5/2</f>
        <v>-13304074.541830745</v>
      </c>
      <c r="AQ5" s="203">
        <f>-Inventories!$AX5/2</f>
        <v>-13304074.541830745</v>
      </c>
      <c r="AR5" s="204"/>
      <c r="AS5" s="204"/>
      <c r="AT5" s="204"/>
      <c r="AU5" s="204"/>
      <c r="AV5" s="201">
        <f>Inventories!$BC5/2</f>
        <v>22616926.721112266</v>
      </c>
      <c r="AW5" s="201">
        <f>Inventories!$BC5/2</f>
        <v>22616926.721112266</v>
      </c>
      <c r="AX5" s="206"/>
      <c r="AY5" s="230"/>
      <c r="AZ5" s="202"/>
      <c r="BA5" s="202"/>
      <c r="BB5" s="203">
        <f>-Inventories!$BL5/2</f>
        <v>-16204362.791949848</v>
      </c>
      <c r="BC5" s="203">
        <f>-Inventories!$BL5/2</f>
        <v>-16204362.791949848</v>
      </c>
      <c r="BD5" s="204"/>
      <c r="BE5" s="204"/>
      <c r="BF5" s="204"/>
      <c r="BG5" s="204"/>
      <c r="BH5" s="201">
        <f>Inventories!$BQ5/2</f>
        <v>27547416.746314742</v>
      </c>
      <c r="BI5" s="201">
        <f>Inventories!$BQ5/2</f>
        <v>27547416.746314742</v>
      </c>
      <c r="BJ5" s="206"/>
    </row>
    <row r="6" spans="1:62" x14ac:dyDescent="0.25">
      <c r="A6" s="35" t="s">
        <v>283</v>
      </c>
      <c r="B6" s="35" t="str">
        <f>'General details'!C12</f>
        <v>Wheat (improved)</v>
      </c>
      <c r="C6" s="204">
        <f>-('Cost of Sale'!$D$73*(Inventories!$E6+Inventories!$D6)/(Inventories!$E$10+Inventories!$D$10))/4</f>
        <v>-1512028.8375614318</v>
      </c>
      <c r="D6" s="204">
        <f>-('Cost of Sale'!$D$73*(Inventories!$E6+Inventories!$D6)/(Inventories!$E$10+Inventories!$D$10))/4</f>
        <v>-1512028.8375614318</v>
      </c>
      <c r="E6" s="204">
        <f>-('Cost of Sale'!$D$73*(Inventories!$E6+Inventories!$D6)/(Inventories!$E$10+Inventories!$D$10))/4</f>
        <v>-1512028.8375614318</v>
      </c>
      <c r="F6" s="201">
        <f>Inventories!$M6/4</f>
        <v>7937648.459999999</v>
      </c>
      <c r="G6" s="201">
        <f>Inventories!$M6/2</f>
        <v>15875296.919999998</v>
      </c>
      <c r="H6" s="201">
        <f>F6</f>
        <v>7937648.459999999</v>
      </c>
      <c r="I6" s="202"/>
      <c r="J6" s="202"/>
      <c r="K6" s="202"/>
      <c r="L6" s="203">
        <f>-Inventories!$H6/2</f>
        <v>-8819609.3999999985</v>
      </c>
      <c r="M6" s="203">
        <f>-Inventories!$H6/2</f>
        <v>-8819609.3999999985</v>
      </c>
      <c r="N6" s="204">
        <f>-('Cost of Sale'!$D$73*(Inventories!$E6+Inventories!$D6)/(Inventories!$E$10+Inventories!$D$10))/4</f>
        <v>-1512028.8375614318</v>
      </c>
      <c r="O6" s="231"/>
      <c r="P6" s="204"/>
      <c r="Q6" s="204"/>
      <c r="R6" s="201">
        <f>Inventories!$AA6/2</f>
        <v>20002874.119200002</v>
      </c>
      <c r="S6" s="201">
        <f>Inventories!$AA6/2</f>
        <v>20002874.119200002</v>
      </c>
      <c r="T6" s="202"/>
      <c r="U6" s="202"/>
      <c r="V6" s="202"/>
      <c r="W6" s="202"/>
      <c r="X6" s="203">
        <f>-Inventories!$V6/2</f>
        <v>-11112707.844000001</v>
      </c>
      <c r="Y6" s="203">
        <f>-Inventories!$V6/2</f>
        <v>-11112707.844000001</v>
      </c>
      <c r="Z6" s="204">
        <f>-('Cost of Sale'!$E$73*(Inventories!$S6+Inventories!$Q6)/(Inventories!$S$10+Inventories!$Q$10))/4</f>
        <v>-1773805.2910908435</v>
      </c>
      <c r="AA6" s="231">
        <f>-('Cost of Sale'!$F$73*(Inventories!$AG6+Inventories!$AE6)/(Inventories!$AG$10+Inventories!$AE$10))/4</f>
        <v>-2016208.2807383961</v>
      </c>
      <c r="AB6" s="204"/>
      <c r="AC6" s="204"/>
      <c r="AD6" s="201">
        <f>Inventories!$AO6/2</f>
        <v>25203621.390192002</v>
      </c>
      <c r="AE6" s="201">
        <f>Inventories!$AO6/2</f>
        <v>25203621.390192002</v>
      </c>
      <c r="AF6" s="202"/>
      <c r="AG6" s="202"/>
      <c r="AH6" s="202"/>
      <c r="AI6" s="202"/>
      <c r="AJ6" s="203">
        <f>-Inventories!$AJ6/2</f>
        <v>-14002011.883440001</v>
      </c>
      <c r="AK6" s="203">
        <f>-Inventories!$AJ6/2</f>
        <v>-14002011.883440001</v>
      </c>
      <c r="AL6" s="205"/>
      <c r="AM6" s="231"/>
      <c r="AN6" s="204"/>
      <c r="AO6" s="204"/>
      <c r="AP6" s="201">
        <f>Inventories!$BC6/2</f>
        <v>31756562.951641925</v>
      </c>
      <c r="AQ6" s="201">
        <f>Inventories!$BC6/2</f>
        <v>31756562.951641925</v>
      </c>
      <c r="AR6" s="202"/>
      <c r="AS6" s="202"/>
      <c r="AT6" s="202"/>
      <c r="AU6" s="202"/>
      <c r="AV6" s="203">
        <f>-Inventories!$AX6/2</f>
        <v>-17642534.973134402</v>
      </c>
      <c r="AW6" s="203">
        <f>-Inventories!$AX6/2</f>
        <v>-17642534.973134402</v>
      </c>
      <c r="AX6" s="204"/>
      <c r="AY6" s="204"/>
      <c r="AZ6" s="204"/>
      <c r="BA6" s="204"/>
      <c r="BB6" s="201">
        <f>Inventories!$BQ6/2</f>
        <v>40013269.319068819</v>
      </c>
      <c r="BC6" s="201">
        <f>Inventories!$BQ6/2</f>
        <v>40013269.319068819</v>
      </c>
      <c r="BD6" s="202"/>
      <c r="BE6" s="202"/>
      <c r="BF6" s="202"/>
      <c r="BG6" s="202"/>
      <c r="BH6" s="203">
        <f>-Inventories!$BL6/2</f>
        <v>-22229594.066149347</v>
      </c>
      <c r="BI6" s="203">
        <f>-Inventories!$BL6/2</f>
        <v>-22229594.066149347</v>
      </c>
      <c r="BJ6" s="204"/>
    </row>
    <row r="7" spans="1:62" x14ac:dyDescent="0.25">
      <c r="A7" s="40" t="s">
        <v>284</v>
      </c>
      <c r="B7" s="35" t="str">
        <f>'General details'!C13</f>
        <v>Maize (Open-pollinated)</v>
      </c>
      <c r="C7" s="230"/>
      <c r="D7" s="202"/>
      <c r="E7" s="202"/>
      <c r="F7" s="229"/>
      <c r="G7" s="463">
        <f>-Inventories!$H7</f>
        <v>-5723743.2000000002</v>
      </c>
      <c r="H7" s="204">
        <f>-('Cost of Sale'!$D$73*(Inventories!$E7+Inventories!$D7)/(Inventories!$E$10+Inventories!$D$10))/4</f>
        <v>-210273.27656279565</v>
      </c>
      <c r="I7" s="204">
        <f>-('Cost of Sale'!$D$73*(Inventories!$E7+Inventories!$D7)/(Inventories!$E$10+Inventories!$D$10))/4</f>
        <v>-210273.27656279565</v>
      </c>
      <c r="J7" s="204">
        <f>-('Cost of Sale'!$D$73*(Inventories!$E7+Inventories!$D7)/(Inventories!$E$10+Inventories!$D$10))/4</f>
        <v>-210273.27656279565</v>
      </c>
      <c r="K7" s="204">
        <f>-('Cost of Sale'!$D$73*(Inventories!$E7+Inventories!$D7)/(Inventories!$E$10+Inventories!$D$10))/4</f>
        <v>-210273.27656279565</v>
      </c>
      <c r="L7" s="201">
        <f>Inventories!$M7/2</f>
        <v>4078167.0300000003</v>
      </c>
      <c r="M7" s="201">
        <f>Inventories!$M7/2</f>
        <v>4078167.0300000003</v>
      </c>
      <c r="N7" s="206"/>
      <c r="O7" s="230"/>
      <c r="P7" s="202"/>
      <c r="Q7" s="202"/>
      <c r="R7" s="203">
        <f>-Inventories!$V7</f>
        <v>-6911419.9140000008</v>
      </c>
      <c r="S7" s="204"/>
      <c r="T7" s="204"/>
      <c r="U7" s="204"/>
      <c r="V7" s="204"/>
      <c r="W7" s="204"/>
      <c r="X7" s="201">
        <f>Inventories!$AA7/2</f>
        <v>4924386.6887250012</v>
      </c>
      <c r="Y7" s="201">
        <f>Inventories!$AA7/2</f>
        <v>4924386.6887250012</v>
      </c>
      <c r="Z7" s="206"/>
      <c r="AA7" s="230"/>
      <c r="AB7" s="202"/>
      <c r="AC7" s="202"/>
      <c r="AD7" s="203">
        <f>-Inventories!$AJ7</f>
        <v>-8345539.546155002</v>
      </c>
      <c r="AE7" s="204"/>
      <c r="AF7" s="204"/>
      <c r="AG7" s="204"/>
      <c r="AH7" s="204"/>
      <c r="AI7" s="204"/>
      <c r="AJ7" s="201">
        <f>Inventories!$AO7/2</f>
        <v>5946196.9266354386</v>
      </c>
      <c r="AK7" s="201">
        <f>Inventories!$AO7/2</f>
        <v>5946196.9266354386</v>
      </c>
      <c r="AL7" s="206"/>
      <c r="AM7" s="230"/>
      <c r="AN7" s="202"/>
      <c r="AO7" s="202"/>
      <c r="AP7" s="203">
        <f>-Inventories!$AX7</f>
        <v>-10077239.001982164</v>
      </c>
      <c r="AQ7" s="204"/>
      <c r="AR7" s="204"/>
      <c r="AS7" s="204"/>
      <c r="AT7" s="204"/>
      <c r="AU7" s="204"/>
      <c r="AV7" s="201">
        <f>Inventories!$BC7/2</f>
        <v>7180032.7889122916</v>
      </c>
      <c r="AW7" s="201">
        <f>Inventories!$BC7/2</f>
        <v>7180032.7889122916</v>
      </c>
      <c r="AX7" s="206"/>
      <c r="AY7" s="230"/>
      <c r="AZ7" s="202"/>
      <c r="BA7" s="202"/>
      <c r="BB7" s="203">
        <f>-Inventories!$BL7</f>
        <v>-12168266.094893463</v>
      </c>
      <c r="BC7" s="204"/>
      <c r="BD7" s="204"/>
      <c r="BE7" s="204"/>
      <c r="BF7" s="204"/>
      <c r="BG7" s="204"/>
      <c r="BH7" s="201">
        <f>Inventories!$BQ7/2</f>
        <v>8669889.5926115923</v>
      </c>
      <c r="BI7" s="201">
        <f>Inventories!$BQ7/2</f>
        <v>8669889.5926115923</v>
      </c>
      <c r="BJ7" s="206"/>
    </row>
    <row r="8" spans="1:62" ht="15.75" thickBot="1" x14ac:dyDescent="0.3">
      <c r="A8" s="40" t="s">
        <v>285</v>
      </c>
      <c r="B8" s="35" t="str">
        <f>'General details'!C14</f>
        <v>Lentil</v>
      </c>
      <c r="C8" s="204">
        <f>-('Cost of Sale'!$D$73*(Inventories!$E8+Inventories!$D8)/(Inventories!$E$10+Inventories!$D$10))/4</f>
        <v>-22712.296125057248</v>
      </c>
      <c r="D8" s="204">
        <f>-('Cost of Sale'!$D$73*(Inventories!$E8+Inventories!$D8)/(Inventories!$E$10+Inventories!$D$10))/4</f>
        <v>-22712.296125057248</v>
      </c>
      <c r="E8" s="204">
        <f>-('Cost of Sale'!$D$73*(Inventories!$E8+Inventories!$D8)/(Inventories!$E$10+Inventories!$D$10))/4</f>
        <v>-22712.296125057248</v>
      </c>
      <c r="F8" s="201">
        <f>Inventories!$M8/2</f>
        <v>497296.8</v>
      </c>
      <c r="G8" s="201">
        <f>Inventories!$M8/2</f>
        <v>497296.8</v>
      </c>
      <c r="H8" s="202"/>
      <c r="I8" s="202"/>
      <c r="J8" s="202"/>
      <c r="K8" s="202"/>
      <c r="L8" s="203">
        <f>-Inventories!$H8/2</f>
        <v>-340032</v>
      </c>
      <c r="M8" s="203">
        <f>-Inventories!$H8/2</f>
        <v>-340032</v>
      </c>
      <c r="N8" s="204">
        <f>-('Cost of Sale'!$D$73*(Inventories!$E8+Inventories!$D8)/(Inventories!$E$10+Inventories!$D$10))/4</f>
        <v>-22712.296125057248</v>
      </c>
      <c r="O8" s="231"/>
      <c r="P8" s="231"/>
      <c r="Q8" s="231"/>
      <c r="R8" s="201">
        <f>Inventories!$AA8/2</f>
        <v>574377.80400000012</v>
      </c>
      <c r="S8" s="201">
        <f>Inventories!$AA8/2</f>
        <v>574377.80400000012</v>
      </c>
      <c r="T8" s="202"/>
      <c r="U8" s="202"/>
      <c r="V8" s="202"/>
      <c r="W8" s="202"/>
      <c r="X8" s="203">
        <f>-Inventories!$V8/2</f>
        <v>-392736.96</v>
      </c>
      <c r="Y8" s="203">
        <f>-Inventories!$V8/2</f>
        <v>-392736.96</v>
      </c>
      <c r="Z8" s="231">
        <f>-('Cost of Sale'!$E$73*(Inventories!$S8+Inventories!$Q8)/(Inventories!$S$10+Inventories!$Q$10))/4</f>
        <v>-23424.920593868108</v>
      </c>
      <c r="AA8" s="231">
        <f>-('Cost of Sale'!$F$73*(Inventories!$AG8+Inventories!$AE8)/(Inventories!$AG$10+Inventories!$AE$10))/4</f>
        <v>-25265.51340912969</v>
      </c>
      <c r="AB8" s="204">
        <f>-('Cost of Sale'!$F$73*(Inventories!$AG8+Inventories!$AE8)/(Inventories!$AG$10+Inventories!$AE$10))/4</f>
        <v>-25265.51340912969</v>
      </c>
      <c r="AC8" s="204">
        <f>-('Cost of Sale'!$F$73*(Inventories!$AG8+Inventories!$AE8)/(Inventories!$AG$10+Inventories!$AE$10))/4</f>
        <v>-25265.51340912969</v>
      </c>
      <c r="AD8" s="201">
        <f>Inventories!$AO8/2</f>
        <v>663406.36362000019</v>
      </c>
      <c r="AE8" s="201">
        <f>Inventories!$AO8/2</f>
        <v>663406.36362000019</v>
      </c>
      <c r="AF8" s="202"/>
      <c r="AG8" s="202"/>
      <c r="AH8" s="202"/>
      <c r="AI8" s="202"/>
      <c r="AJ8" s="203">
        <f>-Inventories!$AJ8/2</f>
        <v>-453611.18880000006</v>
      </c>
      <c r="AK8" s="203">
        <f>-Inventories!$AJ8/2</f>
        <v>-453611.18880000006</v>
      </c>
      <c r="AL8" s="204"/>
      <c r="AM8" s="231"/>
      <c r="AN8" s="204"/>
      <c r="AO8" s="204"/>
      <c r="AP8" s="201">
        <f>Inventories!$BC8/2</f>
        <v>766234.34998110018</v>
      </c>
      <c r="AQ8" s="201">
        <f>Inventories!$BC8/2</f>
        <v>766234.34998110018</v>
      </c>
      <c r="AR8" s="202"/>
      <c r="AS8" s="202"/>
      <c r="AT8" s="202"/>
      <c r="AU8" s="202"/>
      <c r="AV8" s="203">
        <f>-Inventories!$AX8/2</f>
        <v>-523920.92306400003</v>
      </c>
      <c r="AW8" s="203">
        <f>-Inventories!$AX8/2</f>
        <v>-523920.92306400003</v>
      </c>
      <c r="AX8" s="204"/>
      <c r="AY8" s="204"/>
      <c r="AZ8" s="204"/>
      <c r="BA8" s="204"/>
      <c r="BB8" s="201">
        <f>Inventories!$BQ8/2</f>
        <v>885000.67422817089</v>
      </c>
      <c r="BC8" s="201">
        <f>Inventories!$BQ8/2</f>
        <v>885000.67422817089</v>
      </c>
      <c r="BD8" s="202"/>
      <c r="BE8" s="202"/>
      <c r="BF8" s="202"/>
      <c r="BG8" s="202"/>
      <c r="BH8" s="203">
        <f>-Inventories!$BL8/2</f>
        <v>-605128.66613892012</v>
      </c>
      <c r="BI8" s="203">
        <f>-Inventories!$BL8/2</f>
        <v>-605128.66613892012</v>
      </c>
      <c r="BJ8" s="204"/>
    </row>
    <row r="9" spans="1:62" s="40" customFormat="1" ht="15.75" thickBot="1" x14ac:dyDescent="0.3">
      <c r="B9" s="40" t="s">
        <v>54</v>
      </c>
      <c r="C9" s="211">
        <f t="shared" ref="C9:AH9" si="0">SUM(C5:C8)</f>
        <v>-1534741.133686489</v>
      </c>
      <c r="D9" s="211">
        <f t="shared" si="0"/>
        <v>-1534741.133686489</v>
      </c>
      <c r="E9" s="211">
        <f t="shared" si="0"/>
        <v>-1534741.133686489</v>
      </c>
      <c r="F9" s="211">
        <f t="shared" si="0"/>
        <v>1072148.6336399999</v>
      </c>
      <c r="G9" s="211">
        <f t="shared" si="0"/>
        <v>3286053.8936399985</v>
      </c>
      <c r="H9" s="211">
        <f t="shared" si="0"/>
        <v>6720911.1186864879</v>
      </c>
      <c r="I9" s="211">
        <f t="shared" si="0"/>
        <v>-1216737.3413135109</v>
      </c>
      <c r="J9" s="211">
        <f t="shared" si="0"/>
        <v>-1216737.3413135109</v>
      </c>
      <c r="K9" s="211">
        <f t="shared" si="0"/>
        <v>-1216737.3413135109</v>
      </c>
      <c r="L9" s="211">
        <f t="shared" si="0"/>
        <v>7435279.8948120018</v>
      </c>
      <c r="M9" s="211">
        <f t="shared" si="0"/>
        <v>7435279.8948120018</v>
      </c>
      <c r="N9" s="211">
        <f t="shared" si="0"/>
        <v>-1534741.133686489</v>
      </c>
      <c r="O9" s="211">
        <f t="shared" si="0"/>
        <v>0</v>
      </c>
      <c r="P9" s="211">
        <f t="shared" si="0"/>
        <v>0</v>
      </c>
      <c r="Q9" s="211">
        <f t="shared" si="0"/>
        <v>0</v>
      </c>
      <c r="R9" s="211">
        <f t="shared" si="0"/>
        <v>4697945.7182935225</v>
      </c>
      <c r="S9" s="211">
        <f t="shared" si="0"/>
        <v>11609365.632293522</v>
      </c>
      <c r="T9" s="211">
        <f t="shared" si="0"/>
        <v>-1141355.3747775306</v>
      </c>
      <c r="U9" s="211">
        <f t="shared" si="0"/>
        <v>-1141355.3747775306</v>
      </c>
      <c r="V9" s="211">
        <f t="shared" si="0"/>
        <v>-1141355.3747775306</v>
      </c>
      <c r="W9" s="211">
        <f t="shared" si="0"/>
        <v>-1141355.3747775306</v>
      </c>
      <c r="X9" s="211">
        <f t="shared" si="0"/>
        <v>8664348.5792660154</v>
      </c>
      <c r="Y9" s="211">
        <f t="shared" si="0"/>
        <v>8664348.5792660154</v>
      </c>
      <c r="Z9" s="211">
        <f t="shared" si="0"/>
        <v>-1797230.2116847115</v>
      </c>
      <c r="AA9" s="211">
        <f t="shared" si="0"/>
        <v>-2041473.7941475257</v>
      </c>
      <c r="AB9" s="211">
        <f t="shared" si="0"/>
        <v>-25265.51340912969</v>
      </c>
      <c r="AC9" s="211">
        <f t="shared" si="0"/>
        <v>-25265.51340912969</v>
      </c>
      <c r="AD9" s="211">
        <f t="shared" si="0"/>
        <v>6598602.7053329069</v>
      </c>
      <c r="AE9" s="211">
        <f t="shared" si="0"/>
        <v>14944142.251487909</v>
      </c>
      <c r="AF9" s="211">
        <f t="shared" si="0"/>
        <v>0</v>
      </c>
      <c r="AG9" s="211">
        <f t="shared" si="0"/>
        <v>0</v>
      </c>
      <c r="AH9" s="211">
        <f t="shared" si="0"/>
        <v>0</v>
      </c>
      <c r="AI9" s="211">
        <f t="shared" ref="AI9:BJ9" si="1">SUM(AI5:AI8)</f>
        <v>0</v>
      </c>
      <c r="AJ9" s="211">
        <f t="shared" si="1"/>
        <v>10059479.208346397</v>
      </c>
      <c r="AK9" s="211">
        <f t="shared" si="1"/>
        <v>10059479.208346397</v>
      </c>
      <c r="AL9" s="211">
        <f t="shared" si="1"/>
        <v>0</v>
      </c>
      <c r="AM9" s="211">
        <f t="shared" si="1"/>
        <v>0</v>
      </c>
      <c r="AN9" s="211">
        <f t="shared" si="1"/>
        <v>0</v>
      </c>
      <c r="AO9" s="211">
        <f t="shared" si="1"/>
        <v>0</v>
      </c>
      <c r="AP9" s="211">
        <f t="shared" si="1"/>
        <v>9141483.7578101158</v>
      </c>
      <c r="AQ9" s="211">
        <f t="shared" si="1"/>
        <v>19218722.759792279</v>
      </c>
      <c r="AR9" s="211">
        <f t="shared" si="1"/>
        <v>0</v>
      </c>
      <c r="AS9" s="211">
        <f t="shared" si="1"/>
        <v>0</v>
      </c>
      <c r="AT9" s="211">
        <f t="shared" si="1"/>
        <v>0</v>
      </c>
      <c r="AU9" s="211">
        <f t="shared" si="1"/>
        <v>0</v>
      </c>
      <c r="AV9" s="211">
        <f t="shared" si="1"/>
        <v>11630503.613826156</v>
      </c>
      <c r="AW9" s="211">
        <f t="shared" si="1"/>
        <v>11630503.613826156</v>
      </c>
      <c r="AX9" s="211">
        <f t="shared" si="1"/>
        <v>0</v>
      </c>
      <c r="AY9" s="211">
        <f t="shared" si="1"/>
        <v>0</v>
      </c>
      <c r="AZ9" s="211">
        <f t="shared" si="1"/>
        <v>0</v>
      </c>
      <c r="BA9" s="211">
        <f t="shared" si="1"/>
        <v>0</v>
      </c>
      <c r="BB9" s="211">
        <f t="shared" si="1"/>
        <v>12525641.106453681</v>
      </c>
      <c r="BC9" s="211">
        <f t="shared" si="1"/>
        <v>24693907.201347142</v>
      </c>
      <c r="BD9" s="211">
        <f t="shared" si="1"/>
        <v>0</v>
      </c>
      <c r="BE9" s="211">
        <f t="shared" si="1"/>
        <v>0</v>
      </c>
      <c r="BF9" s="211">
        <f t="shared" si="1"/>
        <v>0</v>
      </c>
      <c r="BG9" s="211">
        <f t="shared" si="1"/>
        <v>0</v>
      </c>
      <c r="BH9" s="211">
        <f t="shared" si="1"/>
        <v>13382583.606638066</v>
      </c>
      <c r="BI9" s="211">
        <f t="shared" si="1"/>
        <v>13382583.606638066</v>
      </c>
      <c r="BJ9" s="211">
        <f t="shared" si="1"/>
        <v>0</v>
      </c>
    </row>
    <row r="11" spans="1:62" x14ac:dyDescent="0.25">
      <c r="B11" s="35" t="s">
        <v>317</v>
      </c>
      <c r="D11" s="61"/>
      <c r="F11" s="61"/>
    </row>
    <row r="12" spans="1:62" ht="15.75" thickBot="1" x14ac:dyDescent="0.3">
      <c r="C12" s="35" t="str">
        <f>'General details'!$K$5</f>
        <v>2074</v>
      </c>
      <c r="D12" s="35" t="str">
        <f>'General details'!$K$5</f>
        <v>2074</v>
      </c>
      <c r="E12" s="35" t="str">
        <f>'General details'!$K$5</f>
        <v>2074</v>
      </c>
      <c r="F12" s="35" t="str">
        <f>'General details'!$K$5</f>
        <v>2074</v>
      </c>
      <c r="G12" s="35" t="str">
        <f>'General details'!$K$5</f>
        <v>2074</v>
      </c>
      <c r="H12" s="35" t="str">
        <f>'General details'!$K$5</f>
        <v>2074</v>
      </c>
      <c r="I12" s="35" t="str">
        <f>'General details'!$K$5</f>
        <v>2074</v>
      </c>
      <c r="J12" s="35" t="str">
        <f>'General details'!$K$5</f>
        <v>2074</v>
      </c>
      <c r="K12" s="35" t="str">
        <f>'General details'!$K$5</f>
        <v>2074</v>
      </c>
      <c r="L12" s="35">
        <f>'General details'!$K$5+1</f>
        <v>2075</v>
      </c>
      <c r="M12" s="35">
        <f>'General details'!$K$5+1</f>
        <v>2075</v>
      </c>
      <c r="N12" s="35">
        <f>'General details'!$K$5+1</f>
        <v>2075</v>
      </c>
      <c r="O12" s="35">
        <f>$N$12</f>
        <v>2075</v>
      </c>
      <c r="P12" s="35">
        <f t="shared" ref="P12:W12" si="2">$N$12</f>
        <v>2075</v>
      </c>
      <c r="Q12" s="35">
        <f t="shared" si="2"/>
        <v>2075</v>
      </c>
      <c r="R12" s="35">
        <f t="shared" si="2"/>
        <v>2075</v>
      </c>
      <c r="S12" s="35">
        <f t="shared" si="2"/>
        <v>2075</v>
      </c>
      <c r="T12" s="35">
        <f t="shared" si="2"/>
        <v>2075</v>
      </c>
      <c r="U12" s="35">
        <f t="shared" si="2"/>
        <v>2075</v>
      </c>
      <c r="V12" s="35">
        <f t="shared" si="2"/>
        <v>2075</v>
      </c>
      <c r="W12" s="35">
        <f t="shared" si="2"/>
        <v>2075</v>
      </c>
      <c r="X12" s="35">
        <f t="shared" ref="X12:AI12" si="3">$N$12+1</f>
        <v>2076</v>
      </c>
      <c r="Y12" s="35">
        <f t="shared" si="3"/>
        <v>2076</v>
      </c>
      <c r="Z12" s="35">
        <f t="shared" si="3"/>
        <v>2076</v>
      </c>
      <c r="AA12" s="35">
        <f t="shared" si="3"/>
        <v>2076</v>
      </c>
      <c r="AB12" s="35">
        <f t="shared" si="3"/>
        <v>2076</v>
      </c>
      <c r="AC12" s="35">
        <f t="shared" si="3"/>
        <v>2076</v>
      </c>
      <c r="AD12" s="35">
        <f t="shared" si="3"/>
        <v>2076</v>
      </c>
      <c r="AE12" s="35">
        <f t="shared" si="3"/>
        <v>2076</v>
      </c>
      <c r="AF12" s="35">
        <f t="shared" si="3"/>
        <v>2076</v>
      </c>
      <c r="AG12" s="35">
        <f t="shared" si="3"/>
        <v>2076</v>
      </c>
      <c r="AH12" s="35">
        <f t="shared" si="3"/>
        <v>2076</v>
      </c>
      <c r="AI12" s="35">
        <f t="shared" si="3"/>
        <v>2076</v>
      </c>
      <c r="AJ12" s="40">
        <f t="shared" ref="AJ12:AU12" si="4">$Z$12+1</f>
        <v>2077</v>
      </c>
      <c r="AK12" s="40">
        <f t="shared" si="4"/>
        <v>2077</v>
      </c>
      <c r="AL12" s="40">
        <f t="shared" si="4"/>
        <v>2077</v>
      </c>
      <c r="AM12" s="40">
        <f t="shared" si="4"/>
        <v>2077</v>
      </c>
      <c r="AN12" s="40">
        <f t="shared" si="4"/>
        <v>2077</v>
      </c>
      <c r="AO12" s="40">
        <f t="shared" si="4"/>
        <v>2077</v>
      </c>
      <c r="AP12" s="40">
        <f t="shared" si="4"/>
        <v>2077</v>
      </c>
      <c r="AQ12" s="40">
        <f t="shared" si="4"/>
        <v>2077</v>
      </c>
      <c r="AR12" s="40">
        <f t="shared" si="4"/>
        <v>2077</v>
      </c>
      <c r="AS12" s="40">
        <f t="shared" si="4"/>
        <v>2077</v>
      </c>
      <c r="AT12" s="40">
        <f t="shared" si="4"/>
        <v>2077</v>
      </c>
      <c r="AU12" s="40">
        <f t="shared" si="4"/>
        <v>2077</v>
      </c>
      <c r="AV12" s="40">
        <f t="shared" ref="AV12:BG12" si="5">$AL$12+1</f>
        <v>2078</v>
      </c>
      <c r="AW12" s="40">
        <f t="shared" si="5"/>
        <v>2078</v>
      </c>
      <c r="AX12" s="40">
        <f t="shared" si="5"/>
        <v>2078</v>
      </c>
      <c r="AY12" s="40">
        <f t="shared" si="5"/>
        <v>2078</v>
      </c>
      <c r="AZ12" s="40">
        <f t="shared" si="5"/>
        <v>2078</v>
      </c>
      <c r="BA12" s="40">
        <f t="shared" si="5"/>
        <v>2078</v>
      </c>
      <c r="BB12" s="40">
        <f t="shared" si="5"/>
        <v>2078</v>
      </c>
      <c r="BC12" s="40">
        <f t="shared" si="5"/>
        <v>2078</v>
      </c>
      <c r="BD12" s="40">
        <f t="shared" si="5"/>
        <v>2078</v>
      </c>
      <c r="BE12" s="40">
        <f t="shared" si="5"/>
        <v>2078</v>
      </c>
      <c r="BF12" s="40">
        <f t="shared" si="5"/>
        <v>2078</v>
      </c>
      <c r="BG12" s="40">
        <f t="shared" si="5"/>
        <v>2078</v>
      </c>
      <c r="BH12" s="40">
        <f t="shared" ref="BH12:BJ12" si="6">$AX$12+1</f>
        <v>2079</v>
      </c>
      <c r="BI12" s="40">
        <f t="shared" si="6"/>
        <v>2079</v>
      </c>
      <c r="BJ12" s="40">
        <f t="shared" si="6"/>
        <v>2079</v>
      </c>
    </row>
    <row r="13" spans="1:62" ht="15.75" thickBot="1" x14ac:dyDescent="0.3">
      <c r="C13" s="207">
        <v>4</v>
      </c>
      <c r="D13" s="208">
        <v>5</v>
      </c>
      <c r="E13" s="208">
        <v>6</v>
      </c>
      <c r="F13" s="208">
        <v>7</v>
      </c>
      <c r="G13" s="208">
        <v>8</v>
      </c>
      <c r="H13" s="208">
        <v>9</v>
      </c>
      <c r="I13" s="208">
        <v>10</v>
      </c>
      <c r="J13" s="208">
        <v>11</v>
      </c>
      <c r="K13" s="208">
        <v>12</v>
      </c>
      <c r="L13" s="208">
        <v>1</v>
      </c>
      <c r="M13" s="208">
        <v>2</v>
      </c>
      <c r="N13" s="209">
        <v>3</v>
      </c>
      <c r="O13" s="207">
        <v>4</v>
      </c>
      <c r="P13" s="208">
        <v>5</v>
      </c>
      <c r="Q13" s="208">
        <v>6</v>
      </c>
      <c r="R13" s="208">
        <v>7</v>
      </c>
      <c r="S13" s="208">
        <v>8</v>
      </c>
      <c r="T13" s="208">
        <v>9</v>
      </c>
      <c r="U13" s="208">
        <v>10</v>
      </c>
      <c r="V13" s="208">
        <v>11</v>
      </c>
      <c r="W13" s="208">
        <v>12</v>
      </c>
      <c r="X13" s="208">
        <v>1</v>
      </c>
      <c r="Y13" s="208">
        <v>2</v>
      </c>
      <c r="Z13" s="209">
        <v>3</v>
      </c>
      <c r="AA13" s="207">
        <v>4</v>
      </c>
      <c r="AB13" s="208">
        <v>5</v>
      </c>
      <c r="AC13" s="208">
        <v>6</v>
      </c>
      <c r="AD13" s="208">
        <v>7</v>
      </c>
      <c r="AE13" s="208">
        <v>8</v>
      </c>
      <c r="AF13" s="208">
        <v>9</v>
      </c>
      <c r="AG13" s="208">
        <v>10</v>
      </c>
      <c r="AH13" s="208">
        <v>11</v>
      </c>
      <c r="AI13" s="208">
        <v>12</v>
      </c>
      <c r="AJ13" s="208">
        <v>1</v>
      </c>
      <c r="AK13" s="208">
        <v>2</v>
      </c>
      <c r="AL13" s="209">
        <v>3</v>
      </c>
      <c r="AM13" s="207">
        <v>4</v>
      </c>
      <c r="AN13" s="208">
        <v>5</v>
      </c>
      <c r="AO13" s="208">
        <v>6</v>
      </c>
      <c r="AP13" s="208">
        <v>7</v>
      </c>
      <c r="AQ13" s="208">
        <v>8</v>
      </c>
      <c r="AR13" s="208">
        <v>9</v>
      </c>
      <c r="AS13" s="208">
        <v>10</v>
      </c>
      <c r="AT13" s="208">
        <v>11</v>
      </c>
      <c r="AU13" s="208">
        <v>12</v>
      </c>
      <c r="AV13" s="208">
        <v>1</v>
      </c>
      <c r="AW13" s="208">
        <v>2</v>
      </c>
      <c r="AX13" s="209">
        <v>3</v>
      </c>
      <c r="AY13" s="207">
        <v>4</v>
      </c>
      <c r="AZ13" s="208">
        <v>5</v>
      </c>
      <c r="BA13" s="208">
        <v>6</v>
      </c>
      <c r="BB13" s="208">
        <v>7</v>
      </c>
      <c r="BC13" s="208">
        <v>8</v>
      </c>
      <c r="BD13" s="208">
        <v>9</v>
      </c>
      <c r="BE13" s="208">
        <v>10</v>
      </c>
      <c r="BF13" s="208">
        <v>11</v>
      </c>
      <c r="BG13" s="208">
        <v>12</v>
      </c>
      <c r="BH13" s="208">
        <v>1</v>
      </c>
      <c r="BI13" s="208">
        <v>2</v>
      </c>
      <c r="BJ13" s="209">
        <v>3</v>
      </c>
    </row>
    <row r="14" spans="1:62" x14ac:dyDescent="0.25">
      <c r="A14" s="35" t="s">
        <v>282</v>
      </c>
      <c r="B14" s="35" t="str">
        <f>B5</f>
        <v>Rice (improved)</v>
      </c>
      <c r="C14" s="230">
        <f>0</f>
        <v>0</v>
      </c>
      <c r="D14" s="202">
        <f>0</f>
        <v>0</v>
      </c>
      <c r="E14" s="202">
        <f>0</f>
        <v>0</v>
      </c>
      <c r="F14" s="203">
        <f>Inventories!$E5/2</f>
        <v>326148.24479999999</v>
      </c>
      <c r="G14" s="203">
        <f>Inventories!$E5/2+F14</f>
        <v>652296.48959999997</v>
      </c>
      <c r="H14" s="204">
        <f t="shared" ref="H14:K14" si="7">G14</f>
        <v>652296.48959999997</v>
      </c>
      <c r="I14" s="204">
        <f t="shared" si="7"/>
        <v>652296.48959999997</v>
      </c>
      <c r="J14" s="204">
        <f t="shared" si="7"/>
        <v>652296.48959999997</v>
      </c>
      <c r="K14" s="204">
        <f t="shared" si="7"/>
        <v>652296.48959999997</v>
      </c>
      <c r="L14" s="201">
        <f t="shared" ref="L14" si="8">K14/2</f>
        <v>326148.24479999999</v>
      </c>
      <c r="M14" s="201">
        <f>0</f>
        <v>0</v>
      </c>
      <c r="N14" s="206">
        <f>0</f>
        <v>0</v>
      </c>
      <c r="O14" s="230">
        <f>0</f>
        <v>0</v>
      </c>
      <c r="P14" s="202">
        <f>0</f>
        <v>0</v>
      </c>
      <c r="Q14" s="202">
        <f>0</f>
        <v>0</v>
      </c>
      <c r="R14" s="203">
        <f>Inventories!$S5/2</f>
        <v>378331.96396799997</v>
      </c>
      <c r="S14" s="203">
        <f>Inventories!$S5/2+R14</f>
        <v>756663.92793599993</v>
      </c>
      <c r="T14" s="204">
        <f t="shared" ref="T14:W14" si="9">S14</f>
        <v>756663.92793599993</v>
      </c>
      <c r="U14" s="204">
        <f t="shared" si="9"/>
        <v>756663.92793599993</v>
      </c>
      <c r="V14" s="204">
        <f t="shared" si="9"/>
        <v>756663.92793599993</v>
      </c>
      <c r="W14" s="204">
        <f t="shared" si="9"/>
        <v>756663.92793599993</v>
      </c>
      <c r="X14" s="201">
        <f t="shared" ref="X14" si="10">W14/2</f>
        <v>378331.96396799997</v>
      </c>
      <c r="Y14" s="201">
        <f>0</f>
        <v>0</v>
      </c>
      <c r="Z14" s="206">
        <f>0</f>
        <v>0</v>
      </c>
      <c r="AA14" s="230">
        <f>0</f>
        <v>0</v>
      </c>
      <c r="AB14" s="202">
        <f>0</f>
        <v>0</v>
      </c>
      <c r="AC14" s="202">
        <f>0</f>
        <v>0</v>
      </c>
      <c r="AD14" s="203">
        <f>Inventories!$AG5/2</f>
        <v>438865.07820287999</v>
      </c>
      <c r="AE14" s="203">
        <f>Inventories!$AG5/2+AD14</f>
        <v>877730.15640575998</v>
      </c>
      <c r="AF14" s="204">
        <f t="shared" ref="AF14:AI14" si="11">AE14</f>
        <v>877730.15640575998</v>
      </c>
      <c r="AG14" s="204">
        <f t="shared" si="11"/>
        <v>877730.15640575998</v>
      </c>
      <c r="AH14" s="204">
        <f t="shared" si="11"/>
        <v>877730.15640575998</v>
      </c>
      <c r="AI14" s="204">
        <f t="shared" si="11"/>
        <v>877730.15640575998</v>
      </c>
      <c r="AJ14" s="201">
        <f t="shared" ref="AJ14" si="12">AI14/2</f>
        <v>438865.07820287999</v>
      </c>
      <c r="AK14" s="201">
        <f>0</f>
        <v>0</v>
      </c>
      <c r="AL14" s="206">
        <f>0</f>
        <v>0</v>
      </c>
      <c r="AM14" s="230">
        <f>0</f>
        <v>0</v>
      </c>
      <c r="AN14" s="202">
        <f>0</f>
        <v>0</v>
      </c>
      <c r="AO14" s="202">
        <f>0</f>
        <v>0</v>
      </c>
      <c r="AP14" s="203">
        <f>Inventories!$AU5/2</f>
        <v>509083.49071534077</v>
      </c>
      <c r="AQ14" s="203">
        <f>Inventories!$AU5/2+AP14</f>
        <v>1018166.9814306815</v>
      </c>
      <c r="AR14" s="204">
        <f t="shared" ref="AR14:AU14" si="13">AQ14</f>
        <v>1018166.9814306815</v>
      </c>
      <c r="AS14" s="204">
        <f t="shared" si="13"/>
        <v>1018166.9814306815</v>
      </c>
      <c r="AT14" s="204">
        <f t="shared" si="13"/>
        <v>1018166.9814306815</v>
      </c>
      <c r="AU14" s="204">
        <f t="shared" si="13"/>
        <v>1018166.9814306815</v>
      </c>
      <c r="AV14" s="201">
        <f t="shared" ref="AV14" si="14">AU14/2</f>
        <v>509083.49071534077</v>
      </c>
      <c r="AW14" s="201">
        <f>0</f>
        <v>0</v>
      </c>
      <c r="AX14" s="206">
        <f>0</f>
        <v>0</v>
      </c>
      <c r="AY14" s="230">
        <f>0</f>
        <v>0</v>
      </c>
      <c r="AZ14" s="202">
        <f>0</f>
        <v>0</v>
      </c>
      <c r="BA14" s="202">
        <f>0</f>
        <v>0</v>
      </c>
      <c r="BB14" s="203">
        <f>Inventories!$BI5/2</f>
        <v>590536.84922979528</v>
      </c>
      <c r="BC14" s="203">
        <f>Inventories!$BI5/2+BB14</f>
        <v>1181073.6984595906</v>
      </c>
      <c r="BD14" s="204">
        <f t="shared" ref="BD14:BG14" si="15">BC14</f>
        <v>1181073.6984595906</v>
      </c>
      <c r="BE14" s="204">
        <f t="shared" si="15"/>
        <v>1181073.6984595906</v>
      </c>
      <c r="BF14" s="204">
        <f t="shared" si="15"/>
        <v>1181073.6984595906</v>
      </c>
      <c r="BG14" s="204">
        <f t="shared" si="15"/>
        <v>1181073.6984595906</v>
      </c>
      <c r="BH14" s="201">
        <f t="shared" ref="BH14" si="16">BG14/2</f>
        <v>590536.84922979528</v>
      </c>
      <c r="BI14" s="201">
        <f>0</f>
        <v>0</v>
      </c>
      <c r="BJ14" s="206">
        <f>0</f>
        <v>0</v>
      </c>
    </row>
    <row r="15" spans="1:62" x14ac:dyDescent="0.25">
      <c r="A15" s="35" t="s">
        <v>283</v>
      </c>
      <c r="B15" s="35" t="str">
        <f>B6</f>
        <v>Wheat (improved)</v>
      </c>
      <c r="C15" s="231">
        <f>Inventories!D6</f>
        <v>419981.4</v>
      </c>
      <c r="D15" s="204">
        <f>C15</f>
        <v>419981.4</v>
      </c>
      <c r="E15" s="204">
        <f>D15</f>
        <v>419981.4</v>
      </c>
      <c r="F15" s="201">
        <f>E15/4</f>
        <v>104995.35</v>
      </c>
      <c r="G15" s="201">
        <f>F15*2</f>
        <v>209990.7</v>
      </c>
      <c r="H15" s="201">
        <f>F15</f>
        <v>104995.35</v>
      </c>
      <c r="I15" s="202">
        <f>0</f>
        <v>0</v>
      </c>
      <c r="J15" s="202">
        <f>0</f>
        <v>0</v>
      </c>
      <c r="K15" s="202">
        <f>0</f>
        <v>0</v>
      </c>
      <c r="L15" s="203">
        <f>Inventories!$E6/2</f>
        <v>279987.59999999998</v>
      </c>
      <c r="M15" s="203">
        <f>Inventories!$E6/2+L15</f>
        <v>559975.19999999995</v>
      </c>
      <c r="N15" s="204">
        <f>M15</f>
        <v>559975.19999999995</v>
      </c>
      <c r="O15" s="231">
        <f>N15</f>
        <v>559975.19999999995</v>
      </c>
      <c r="P15" s="204">
        <f>O15</f>
        <v>559975.19999999995</v>
      </c>
      <c r="Q15" s="204">
        <f>P15</f>
        <v>559975.19999999995</v>
      </c>
      <c r="R15" s="201">
        <f>O15/2</f>
        <v>279987.59999999998</v>
      </c>
      <c r="S15" s="201">
        <f>0</f>
        <v>0</v>
      </c>
      <c r="T15" s="202">
        <f>0</f>
        <v>0</v>
      </c>
      <c r="U15" s="202">
        <f>0</f>
        <v>0</v>
      </c>
      <c r="V15" s="202">
        <f>0</f>
        <v>0</v>
      </c>
      <c r="W15" s="202">
        <f>0</f>
        <v>0</v>
      </c>
      <c r="X15" s="203">
        <f>Inventories!$S6/2</f>
        <v>335985.12</v>
      </c>
      <c r="Y15" s="203">
        <f>Inventories!$S6/2+X15</f>
        <v>671970.24</v>
      </c>
      <c r="Z15" s="204">
        <f>Y15</f>
        <v>671970.24</v>
      </c>
      <c r="AA15" s="231">
        <f>Z15</f>
        <v>671970.24</v>
      </c>
      <c r="AB15" s="204">
        <f>AA15</f>
        <v>671970.24</v>
      </c>
      <c r="AC15" s="204">
        <f>AB15</f>
        <v>671970.24</v>
      </c>
      <c r="AD15" s="201">
        <f>AA15/2</f>
        <v>335985.12</v>
      </c>
      <c r="AE15" s="201">
        <f>0</f>
        <v>0</v>
      </c>
      <c r="AF15" s="202">
        <f>0</f>
        <v>0</v>
      </c>
      <c r="AG15" s="202">
        <f>0</f>
        <v>0</v>
      </c>
      <c r="AH15" s="202">
        <f>0</f>
        <v>0</v>
      </c>
      <c r="AI15" s="202">
        <f>0</f>
        <v>0</v>
      </c>
      <c r="AJ15" s="203">
        <f>Inventories!$AG6/2</f>
        <v>403182.14399999997</v>
      </c>
      <c r="AK15" s="203">
        <f>Inventories!$AG6/2+AJ15</f>
        <v>806364.28799999994</v>
      </c>
      <c r="AL15" s="204">
        <f>AK15</f>
        <v>806364.28799999994</v>
      </c>
      <c r="AM15" s="231">
        <f>AL15</f>
        <v>806364.28799999994</v>
      </c>
      <c r="AN15" s="204">
        <f>AM15</f>
        <v>806364.28799999994</v>
      </c>
      <c r="AO15" s="204">
        <f>AN15</f>
        <v>806364.28799999994</v>
      </c>
      <c r="AP15" s="201">
        <f>AM15/2</f>
        <v>403182.14399999997</v>
      </c>
      <c r="AQ15" s="201">
        <f>0</f>
        <v>0</v>
      </c>
      <c r="AR15" s="202">
        <f>0</f>
        <v>0</v>
      </c>
      <c r="AS15" s="202">
        <f>0</f>
        <v>0</v>
      </c>
      <c r="AT15" s="202">
        <f>0</f>
        <v>0</v>
      </c>
      <c r="AU15" s="202">
        <f>0</f>
        <v>0</v>
      </c>
      <c r="AV15" s="203">
        <f>Inventories!$AU6/2</f>
        <v>483818.57279999997</v>
      </c>
      <c r="AW15" s="203">
        <f>Inventories!$AU6/2+AV15</f>
        <v>967637.14559999993</v>
      </c>
      <c r="AX15" s="204">
        <f>AW15</f>
        <v>967637.14559999993</v>
      </c>
      <c r="AY15" s="231">
        <f>AX15</f>
        <v>967637.14559999993</v>
      </c>
      <c r="AZ15" s="204">
        <f>AY15</f>
        <v>967637.14559999993</v>
      </c>
      <c r="BA15" s="204">
        <f>AZ15</f>
        <v>967637.14559999993</v>
      </c>
      <c r="BB15" s="201">
        <f>AY15/2</f>
        <v>483818.57279999997</v>
      </c>
      <c r="BC15" s="201">
        <f>0</f>
        <v>0</v>
      </c>
      <c r="BD15" s="202">
        <f>0</f>
        <v>0</v>
      </c>
      <c r="BE15" s="202">
        <f>0</f>
        <v>0</v>
      </c>
      <c r="BF15" s="202">
        <f>0</f>
        <v>0</v>
      </c>
      <c r="BG15" s="202">
        <f>0</f>
        <v>0</v>
      </c>
      <c r="BH15" s="203">
        <f>Inventories!$BI6/2</f>
        <v>580582.28735999996</v>
      </c>
      <c r="BI15" s="203">
        <f>Inventories!$BI6/2+BH15</f>
        <v>1161164.5747199999</v>
      </c>
      <c r="BJ15" s="204">
        <f>BI15</f>
        <v>1161164.5747199999</v>
      </c>
    </row>
    <row r="16" spans="1:62" x14ac:dyDescent="0.25">
      <c r="A16" s="40" t="s">
        <v>284</v>
      </c>
      <c r="B16" s="35" t="str">
        <f>B7</f>
        <v>Maize (Open-pollinated)</v>
      </c>
      <c r="C16" s="230">
        <f>0</f>
        <v>0</v>
      </c>
      <c r="D16" s="202">
        <f>0</f>
        <v>0</v>
      </c>
      <c r="E16" s="202">
        <f>0</f>
        <v>0</v>
      </c>
      <c r="F16" s="202">
        <v>0</v>
      </c>
      <c r="G16" s="203">
        <f>Inventories!$E7</f>
        <v>136279.6</v>
      </c>
      <c r="H16" s="204">
        <f>G16</f>
        <v>136279.6</v>
      </c>
      <c r="I16" s="204">
        <f t="shared" ref="I16:K16" si="17">H16</f>
        <v>136279.6</v>
      </c>
      <c r="J16" s="204">
        <f t="shared" si="17"/>
        <v>136279.6</v>
      </c>
      <c r="K16" s="204">
        <f t="shared" si="17"/>
        <v>136279.6</v>
      </c>
      <c r="L16" s="201">
        <f>K16/2</f>
        <v>68139.8</v>
      </c>
      <c r="M16" s="201">
        <f>0</f>
        <v>0</v>
      </c>
      <c r="N16" s="206">
        <f>0</f>
        <v>0</v>
      </c>
      <c r="O16" s="230">
        <f>0</f>
        <v>0</v>
      </c>
      <c r="P16" s="202">
        <f>0</f>
        <v>0</v>
      </c>
      <c r="Q16" s="202">
        <f>0</f>
        <v>0</v>
      </c>
      <c r="R16" s="203">
        <f>Inventories!$S7</f>
        <v>156721.54</v>
      </c>
      <c r="S16" s="204">
        <f>R16</f>
        <v>156721.54</v>
      </c>
      <c r="T16" s="204">
        <f t="shared" ref="T16:W16" si="18">S16</f>
        <v>156721.54</v>
      </c>
      <c r="U16" s="204">
        <f t="shared" si="18"/>
        <v>156721.54</v>
      </c>
      <c r="V16" s="204">
        <f t="shared" si="18"/>
        <v>156721.54</v>
      </c>
      <c r="W16" s="204">
        <f t="shared" si="18"/>
        <v>156721.54</v>
      </c>
      <c r="X16" s="201">
        <f>W16/2</f>
        <v>78360.77</v>
      </c>
      <c r="Y16" s="201">
        <f>0</f>
        <v>0</v>
      </c>
      <c r="Z16" s="206">
        <f>0</f>
        <v>0</v>
      </c>
      <c r="AA16" s="230">
        <f>0</f>
        <v>0</v>
      </c>
      <c r="AB16" s="202">
        <f>0</f>
        <v>0</v>
      </c>
      <c r="AC16" s="202">
        <f>0</f>
        <v>0</v>
      </c>
      <c r="AD16" s="203">
        <f>Inventories!$AG7</f>
        <v>180229.77100000001</v>
      </c>
      <c r="AE16" s="204">
        <f>AD16</f>
        <v>180229.77100000001</v>
      </c>
      <c r="AF16" s="204">
        <f t="shared" ref="AF16:AI16" si="19">AE16</f>
        <v>180229.77100000001</v>
      </c>
      <c r="AG16" s="204">
        <f t="shared" si="19"/>
        <v>180229.77100000001</v>
      </c>
      <c r="AH16" s="204">
        <f t="shared" si="19"/>
        <v>180229.77100000001</v>
      </c>
      <c r="AI16" s="204">
        <f t="shared" si="19"/>
        <v>180229.77100000001</v>
      </c>
      <c r="AJ16" s="201">
        <f>AI16/2</f>
        <v>90114.885500000004</v>
      </c>
      <c r="AK16" s="201">
        <f>0</f>
        <v>0</v>
      </c>
      <c r="AL16" s="206">
        <f>0</f>
        <v>0</v>
      </c>
      <c r="AM16" s="230">
        <f>0</f>
        <v>0</v>
      </c>
      <c r="AN16" s="202">
        <f>0</f>
        <v>0</v>
      </c>
      <c r="AO16" s="202">
        <f>0</f>
        <v>0</v>
      </c>
      <c r="AP16" s="203">
        <f>Inventories!$AU7</f>
        <v>207264.23665000001</v>
      </c>
      <c r="AQ16" s="204">
        <f>AP16</f>
        <v>207264.23665000001</v>
      </c>
      <c r="AR16" s="204">
        <f t="shared" ref="AR16:AU16" si="20">AQ16</f>
        <v>207264.23665000001</v>
      </c>
      <c r="AS16" s="204">
        <f t="shared" si="20"/>
        <v>207264.23665000001</v>
      </c>
      <c r="AT16" s="204">
        <f t="shared" si="20"/>
        <v>207264.23665000001</v>
      </c>
      <c r="AU16" s="204">
        <f t="shared" si="20"/>
        <v>207264.23665000001</v>
      </c>
      <c r="AV16" s="201">
        <f>AU16/2</f>
        <v>103632.118325</v>
      </c>
      <c r="AW16" s="201">
        <f>0</f>
        <v>0</v>
      </c>
      <c r="AX16" s="206">
        <f>0</f>
        <v>0</v>
      </c>
      <c r="AY16" s="230">
        <f>0</f>
        <v>0</v>
      </c>
      <c r="AZ16" s="202">
        <f>0</f>
        <v>0</v>
      </c>
      <c r="BA16" s="202">
        <f>0</f>
        <v>0</v>
      </c>
      <c r="BB16" s="203">
        <f>Inventories!$BI7</f>
        <v>238353.87214749999</v>
      </c>
      <c r="BC16" s="204">
        <f>BB16</f>
        <v>238353.87214749999</v>
      </c>
      <c r="BD16" s="204">
        <f t="shared" ref="BD16:BG16" si="21">BC16</f>
        <v>238353.87214749999</v>
      </c>
      <c r="BE16" s="204">
        <f t="shared" si="21"/>
        <v>238353.87214749999</v>
      </c>
      <c r="BF16" s="204">
        <f t="shared" si="21"/>
        <v>238353.87214749999</v>
      </c>
      <c r="BG16" s="204">
        <f t="shared" si="21"/>
        <v>238353.87214749999</v>
      </c>
      <c r="BH16" s="201">
        <f>BG16/2</f>
        <v>119176.93607375</v>
      </c>
      <c r="BI16" s="201">
        <f>0</f>
        <v>0</v>
      </c>
      <c r="BJ16" s="206">
        <f>0</f>
        <v>0</v>
      </c>
    </row>
    <row r="17" spans="1:62" x14ac:dyDescent="0.25">
      <c r="A17" s="40" t="s">
        <v>285</v>
      </c>
      <c r="B17" s="35" t="str">
        <f>B8</f>
        <v>Lentil</v>
      </c>
      <c r="C17" s="231">
        <f>Inventories!D8</f>
        <v>6624</v>
      </c>
      <c r="D17" s="204">
        <f>C17</f>
        <v>6624</v>
      </c>
      <c r="E17" s="204">
        <f>D17</f>
        <v>6624</v>
      </c>
      <c r="F17" s="201">
        <f>E17/2</f>
        <v>3312</v>
      </c>
      <c r="G17" s="201">
        <f>F17/2</f>
        <v>1656</v>
      </c>
      <c r="H17" s="202">
        <f>0</f>
        <v>0</v>
      </c>
      <c r="I17" s="202">
        <f>0</f>
        <v>0</v>
      </c>
      <c r="J17" s="202">
        <f>0</f>
        <v>0</v>
      </c>
      <c r="K17" s="202">
        <f>0</f>
        <v>0</v>
      </c>
      <c r="L17" s="203">
        <f>Inventories!$E8/2</f>
        <v>4048</v>
      </c>
      <c r="M17" s="203">
        <f>Inventories!$E8/2+L17</f>
        <v>8096</v>
      </c>
      <c r="N17" s="204">
        <f>M17</f>
        <v>8096</v>
      </c>
      <c r="O17" s="231">
        <f>N17</f>
        <v>8096</v>
      </c>
      <c r="P17" s="204">
        <f>O17</f>
        <v>8096</v>
      </c>
      <c r="Q17" s="204">
        <f>P17</f>
        <v>8096</v>
      </c>
      <c r="R17" s="201">
        <f>O17/2</f>
        <v>4048</v>
      </c>
      <c r="S17" s="201">
        <f>0</f>
        <v>0</v>
      </c>
      <c r="T17" s="202">
        <f>0</f>
        <v>0</v>
      </c>
      <c r="U17" s="202">
        <f>0</f>
        <v>0</v>
      </c>
      <c r="V17" s="202">
        <f>0</f>
        <v>0</v>
      </c>
      <c r="W17" s="202">
        <f>0</f>
        <v>0</v>
      </c>
      <c r="X17" s="203">
        <f>Inventories!$S8/2</f>
        <v>4452.8</v>
      </c>
      <c r="Y17" s="203">
        <f>Inventories!$S8/2+X17</f>
        <v>8905.6</v>
      </c>
      <c r="Z17" s="204">
        <f>Y17</f>
        <v>8905.6</v>
      </c>
      <c r="AA17" s="231">
        <f>Z17</f>
        <v>8905.6</v>
      </c>
      <c r="AB17" s="204">
        <f>AA17</f>
        <v>8905.6</v>
      </c>
      <c r="AC17" s="204">
        <f>AB17</f>
        <v>8905.6</v>
      </c>
      <c r="AD17" s="201">
        <f>AA17/2</f>
        <v>4452.8</v>
      </c>
      <c r="AE17" s="201">
        <f>0</f>
        <v>0</v>
      </c>
      <c r="AF17" s="202">
        <f>0</f>
        <v>0</v>
      </c>
      <c r="AG17" s="202">
        <f>0</f>
        <v>0</v>
      </c>
      <c r="AH17" s="202">
        <f>0</f>
        <v>0</v>
      </c>
      <c r="AI17" s="202">
        <f>0</f>
        <v>0</v>
      </c>
      <c r="AJ17" s="203">
        <f>Inventories!$AG8/2</f>
        <v>4898.08</v>
      </c>
      <c r="AK17" s="203">
        <f>Inventories!$AG8/2+AJ17</f>
        <v>9796.16</v>
      </c>
      <c r="AL17" s="204">
        <f>AK17</f>
        <v>9796.16</v>
      </c>
      <c r="AM17" s="231">
        <f>AL17</f>
        <v>9796.16</v>
      </c>
      <c r="AN17" s="204">
        <f>AM17</f>
        <v>9796.16</v>
      </c>
      <c r="AO17" s="204">
        <f>AN17</f>
        <v>9796.16</v>
      </c>
      <c r="AP17" s="201">
        <f>AM17/2</f>
        <v>4898.08</v>
      </c>
      <c r="AQ17" s="201">
        <f>0</f>
        <v>0</v>
      </c>
      <c r="AR17" s="202">
        <f>0</f>
        <v>0</v>
      </c>
      <c r="AS17" s="202">
        <f>0</f>
        <v>0</v>
      </c>
      <c r="AT17" s="202">
        <f>0</f>
        <v>0</v>
      </c>
      <c r="AU17" s="202">
        <f>0</f>
        <v>0</v>
      </c>
      <c r="AV17" s="203">
        <f>Inventories!$AU8/2</f>
        <v>5387.8879999999999</v>
      </c>
      <c r="AW17" s="203">
        <f>Inventories!$AU8/2+AV17</f>
        <v>10775.776</v>
      </c>
      <c r="AX17" s="204">
        <f>AW17</f>
        <v>10775.776</v>
      </c>
      <c r="AY17" s="231">
        <f>AX17</f>
        <v>10775.776</v>
      </c>
      <c r="AZ17" s="204">
        <f>AY17</f>
        <v>10775.776</v>
      </c>
      <c r="BA17" s="204">
        <f>AZ17</f>
        <v>10775.776</v>
      </c>
      <c r="BB17" s="201">
        <f>AY17/2</f>
        <v>5387.8879999999999</v>
      </c>
      <c r="BC17" s="201">
        <f>0</f>
        <v>0</v>
      </c>
      <c r="BD17" s="202">
        <f>0</f>
        <v>0</v>
      </c>
      <c r="BE17" s="202">
        <f>0</f>
        <v>0</v>
      </c>
      <c r="BF17" s="202">
        <f>0</f>
        <v>0</v>
      </c>
      <c r="BG17" s="202">
        <f>0</f>
        <v>0</v>
      </c>
      <c r="BH17" s="203">
        <f>Inventories!$BI8/2</f>
        <v>5926.6768000000002</v>
      </c>
      <c r="BI17" s="203">
        <f>Inventories!$BI8/2+BH17</f>
        <v>11853.3536</v>
      </c>
      <c r="BJ17" s="204">
        <f>BI17</f>
        <v>11853.3536</v>
      </c>
    </row>
    <row r="18" spans="1:62" s="40" customFormat="1" x14ac:dyDescent="0.25">
      <c r="F18" s="210"/>
      <c r="G18" s="210"/>
      <c r="H18" s="210"/>
      <c r="I18" s="210"/>
      <c r="J18" s="210"/>
      <c r="K18" s="210"/>
      <c r="L18" s="210"/>
      <c r="M18" s="210"/>
      <c r="R18" s="210"/>
      <c r="S18" s="210"/>
      <c r="T18" s="210"/>
      <c r="U18" s="210"/>
      <c r="V18" s="210"/>
      <c r="W18" s="210"/>
      <c r="X18" s="210"/>
      <c r="Y18" s="210"/>
      <c r="AD18" s="210"/>
      <c r="AE18" s="210"/>
      <c r="AF18" s="210"/>
      <c r="AG18" s="210"/>
      <c r="AH18" s="210"/>
      <c r="AI18" s="210"/>
      <c r="AJ18" s="210"/>
      <c r="AK18" s="210"/>
      <c r="AP18" s="210"/>
      <c r="AQ18" s="210"/>
      <c r="AR18" s="210"/>
      <c r="AS18" s="210"/>
      <c r="AT18" s="210"/>
      <c r="AU18" s="210"/>
      <c r="AV18" s="210"/>
      <c r="AW18" s="210"/>
      <c r="BB18" s="210"/>
      <c r="BC18" s="210"/>
      <c r="BD18" s="210"/>
      <c r="BE18" s="210"/>
      <c r="BF18" s="210"/>
      <c r="BG18" s="210"/>
      <c r="BH18" s="210"/>
      <c r="BI18" s="210"/>
    </row>
    <row r="19" spans="1:62" x14ac:dyDescent="0.25">
      <c r="B19" s="304" t="s">
        <v>318</v>
      </c>
      <c r="C19" s="204">
        <f t="shared" ref="C19:AH19" si="22">SUM(C14:C17)</f>
        <v>426605.4</v>
      </c>
      <c r="D19" s="204">
        <f t="shared" si="22"/>
        <v>426605.4</v>
      </c>
      <c r="E19" s="204">
        <f t="shared" si="22"/>
        <v>426605.4</v>
      </c>
      <c r="F19" s="204">
        <f t="shared" si="22"/>
        <v>434455.59479999996</v>
      </c>
      <c r="G19" s="204">
        <f t="shared" si="22"/>
        <v>1000222.7895999999</v>
      </c>
      <c r="H19" s="204">
        <f t="shared" si="22"/>
        <v>893571.43959999993</v>
      </c>
      <c r="I19" s="204">
        <f t="shared" si="22"/>
        <v>788576.08959999995</v>
      </c>
      <c r="J19" s="204">
        <f t="shared" si="22"/>
        <v>788576.08959999995</v>
      </c>
      <c r="K19" s="204">
        <f t="shared" si="22"/>
        <v>788576.08959999995</v>
      </c>
      <c r="L19" s="204">
        <f t="shared" si="22"/>
        <v>678323.64480000001</v>
      </c>
      <c r="M19" s="204">
        <f t="shared" si="22"/>
        <v>568071.19999999995</v>
      </c>
      <c r="N19" s="204">
        <f t="shared" si="22"/>
        <v>568071.19999999995</v>
      </c>
      <c r="O19" s="204">
        <f t="shared" si="22"/>
        <v>568071.19999999995</v>
      </c>
      <c r="P19" s="204">
        <f t="shared" si="22"/>
        <v>568071.19999999995</v>
      </c>
      <c r="Q19" s="204">
        <f t="shared" si="22"/>
        <v>568071.19999999995</v>
      </c>
      <c r="R19" s="204">
        <f t="shared" si="22"/>
        <v>819089.10396800004</v>
      </c>
      <c r="S19" s="204">
        <f t="shared" si="22"/>
        <v>913385.46793599997</v>
      </c>
      <c r="T19" s="204">
        <f t="shared" si="22"/>
        <v>913385.46793599997</v>
      </c>
      <c r="U19" s="204">
        <f t="shared" si="22"/>
        <v>913385.46793599997</v>
      </c>
      <c r="V19" s="204">
        <f t="shared" si="22"/>
        <v>913385.46793599997</v>
      </c>
      <c r="W19" s="204">
        <f t="shared" si="22"/>
        <v>913385.46793599997</v>
      </c>
      <c r="X19" s="204">
        <f t="shared" si="22"/>
        <v>797130.65396800009</v>
      </c>
      <c r="Y19" s="204">
        <f t="shared" si="22"/>
        <v>680875.84</v>
      </c>
      <c r="Z19" s="204">
        <f t="shared" si="22"/>
        <v>680875.84</v>
      </c>
      <c r="AA19" s="204">
        <f t="shared" si="22"/>
        <v>680875.84</v>
      </c>
      <c r="AB19" s="204">
        <f t="shared" si="22"/>
        <v>680875.84</v>
      </c>
      <c r="AC19" s="204">
        <f t="shared" si="22"/>
        <v>680875.84</v>
      </c>
      <c r="AD19" s="204">
        <f t="shared" si="22"/>
        <v>959532.7692028801</v>
      </c>
      <c r="AE19" s="204">
        <f t="shared" si="22"/>
        <v>1057959.9274057599</v>
      </c>
      <c r="AF19" s="204">
        <f t="shared" si="22"/>
        <v>1057959.9274057599</v>
      </c>
      <c r="AG19" s="204">
        <f t="shared" si="22"/>
        <v>1057959.9274057599</v>
      </c>
      <c r="AH19" s="204">
        <f t="shared" si="22"/>
        <v>1057959.9274057599</v>
      </c>
      <c r="AI19" s="204">
        <f t="shared" ref="AI19:BJ19" si="23">SUM(AI14:AI17)</f>
        <v>1057959.9274057599</v>
      </c>
      <c r="AJ19" s="204">
        <f t="shared" si="23"/>
        <v>937060.18770287989</v>
      </c>
      <c r="AK19" s="204">
        <f t="shared" si="23"/>
        <v>816160.44799999997</v>
      </c>
      <c r="AL19" s="204">
        <f t="shared" si="23"/>
        <v>816160.44799999997</v>
      </c>
      <c r="AM19" s="204">
        <f t="shared" si="23"/>
        <v>816160.44799999997</v>
      </c>
      <c r="AN19" s="204">
        <f t="shared" si="23"/>
        <v>816160.44799999997</v>
      </c>
      <c r="AO19" s="204">
        <f t="shared" si="23"/>
        <v>816160.44799999997</v>
      </c>
      <c r="AP19" s="204">
        <f t="shared" si="23"/>
        <v>1124427.951365341</v>
      </c>
      <c r="AQ19" s="204">
        <f t="shared" si="23"/>
        <v>1225431.2180806815</v>
      </c>
      <c r="AR19" s="204">
        <f t="shared" si="23"/>
        <v>1225431.2180806815</v>
      </c>
      <c r="AS19" s="204">
        <f t="shared" si="23"/>
        <v>1225431.2180806815</v>
      </c>
      <c r="AT19" s="204">
        <f t="shared" si="23"/>
        <v>1225431.2180806815</v>
      </c>
      <c r="AU19" s="204">
        <f t="shared" si="23"/>
        <v>1225431.2180806815</v>
      </c>
      <c r="AV19" s="204">
        <f t="shared" si="23"/>
        <v>1101922.0698403406</v>
      </c>
      <c r="AW19" s="204">
        <f t="shared" si="23"/>
        <v>978412.92159999989</v>
      </c>
      <c r="AX19" s="204">
        <f t="shared" si="23"/>
        <v>978412.92159999989</v>
      </c>
      <c r="AY19" s="204">
        <f t="shared" si="23"/>
        <v>978412.92159999989</v>
      </c>
      <c r="AZ19" s="204">
        <f t="shared" si="23"/>
        <v>978412.92159999989</v>
      </c>
      <c r="BA19" s="204">
        <f t="shared" si="23"/>
        <v>978412.92159999989</v>
      </c>
      <c r="BB19" s="204">
        <f t="shared" si="23"/>
        <v>1318097.1821772952</v>
      </c>
      <c r="BC19" s="204">
        <f t="shared" si="23"/>
        <v>1419427.5706070906</v>
      </c>
      <c r="BD19" s="204">
        <f t="shared" si="23"/>
        <v>1419427.5706070906</v>
      </c>
      <c r="BE19" s="204">
        <f t="shared" si="23"/>
        <v>1419427.5706070906</v>
      </c>
      <c r="BF19" s="204">
        <f t="shared" si="23"/>
        <v>1419427.5706070906</v>
      </c>
      <c r="BG19" s="204">
        <f t="shared" si="23"/>
        <v>1419427.5706070906</v>
      </c>
      <c r="BH19" s="204">
        <f t="shared" si="23"/>
        <v>1296222.7494635454</v>
      </c>
      <c r="BI19" s="204">
        <f t="shared" si="23"/>
        <v>1173017.9283199999</v>
      </c>
      <c r="BJ19" s="204">
        <f t="shared" si="23"/>
        <v>1173017.9283199999</v>
      </c>
    </row>
    <row r="20" spans="1:62" s="40" customFormat="1" x14ac:dyDescent="0.25">
      <c r="B20" s="307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</row>
    <row r="21" spans="1:62" ht="15.75" thickBot="1" x14ac:dyDescent="0.3">
      <c r="B21" s="305" t="s">
        <v>319</v>
      </c>
      <c r="C21" s="306">
        <f>SUM(C14:C14)*Inventories!$F$5+SUM('Fund Position'!C15:C15)*Inventories!$F$6+SUM('Fund Position'!C16:C16)*Inventories!$F$7+SUM('Fund Position'!C17:C17)*Inventories!$F$8</f>
        <v>13785830.100000001</v>
      </c>
      <c r="D21" s="306">
        <f>SUM(D14:D14)*Inventories!$F$5+SUM('Fund Position'!D15:D15)*Inventories!$F$6+SUM('Fund Position'!D16:D16)*Inventories!$F$7+SUM('Fund Position'!D17:D17)*Inventories!$F$8</f>
        <v>13785830.100000001</v>
      </c>
      <c r="E21" s="306">
        <f>SUM(E14:E14)*Inventories!$F$5+SUM('Fund Position'!E15:E15)*Inventories!$F$6+SUM('Fund Position'!E16:E16)*Inventories!$F$7+SUM('Fund Position'!E17:E17)*Inventories!$F$8</f>
        <v>13785830.100000001</v>
      </c>
      <c r="F21" s="306">
        <f>SUM(F14:F14)*Inventories!$F$5+SUM('Fund Position'!F15:F15)*Inventories!$F$6+SUM('Fund Position'!F16:F16)*Inventories!$F$7+SUM('Fund Position'!F17:F17)*Inventories!$F$8</f>
        <v>10948358.15136</v>
      </c>
      <c r="G21" s="306">
        <f>SUM(G14:G14)*Inventories!$F$5+SUM('Fund Position'!G15:G15)*Inventories!$F$6+SUM('Fund Position'!G16:G16)*Inventories!$F$7+SUM('Fund Position'!G17:G17)*Inventories!$F$8</f>
        <v>27203147.502719998</v>
      </c>
      <c r="H21" s="306">
        <f>SUM(H14:H14)*Inventories!$F$5+SUM('Fund Position'!H15:H15)*Inventories!$F$6+SUM('Fund Position'!H16:H16)*Inventories!$F$7+SUM('Fund Position'!H17:H17)*Inventories!$F$8</f>
        <v>23756689.977719996</v>
      </c>
      <c r="I21" s="306">
        <f>SUM(I14:I14)*Inventories!$F$5+SUM('Fund Position'!I15:I15)*Inventories!$F$6+SUM('Fund Position'!I16:I16)*Inventories!$F$7+SUM('Fund Position'!I17:I17)*Inventories!$F$8</f>
        <v>20449336.452719998</v>
      </c>
      <c r="J21" s="306">
        <f>SUM(J14:J14)*Inventories!$F$5+SUM('Fund Position'!J15:J15)*Inventories!$F$6+SUM('Fund Position'!J16:J16)*Inventories!$F$7+SUM('Fund Position'!J17:J17)*Inventories!$F$8</f>
        <v>20449336.452719998</v>
      </c>
      <c r="K21" s="306">
        <f>SUM(K14:K14)*Inventories!$F$5+SUM('Fund Position'!K15:K15)*Inventories!$F$6+SUM('Fund Position'!K16:K16)*Inventories!$F$7+SUM('Fund Position'!K17:K17)*Inventories!$F$8</f>
        <v>20449336.452719998</v>
      </c>
      <c r="L21" s="306">
        <f>SUM(L14:L14)*Inventories!$F$5+SUM('Fund Position'!L15:L15)*Inventories!$F$6+SUM('Fund Position'!L16:L16)*Inventories!$F$7+SUM('Fund Position'!L17:L17)*Inventories!$F$8</f>
        <v>19384309.626359999</v>
      </c>
      <c r="M21" s="306">
        <f>SUM(M14:M14)*Inventories!$F$5+SUM('Fund Position'!M15:M15)*Inventories!$F$6+SUM('Fund Position'!M16:M16)*Inventories!$F$7+SUM('Fund Position'!M17:M17)*Inventories!$F$8</f>
        <v>18319282.799999997</v>
      </c>
      <c r="N21" s="306">
        <f>SUM(N14:N14)*Inventories!$F$5+SUM('Fund Position'!N15:N15)*Inventories!$F$6+SUM('Fund Position'!N16:N16)*Inventories!$F$7+SUM('Fund Position'!N17:N17)*Inventories!$F$8</f>
        <v>18319282.799999997</v>
      </c>
      <c r="O21" s="306">
        <f>SUM(O14:O14)*Inventories!$T$5+SUM('Fund Position'!O15:O15)*Inventories!$T$6+SUM('Fund Position'!O16:O16)*Inventories!$T$7+SUM('Fund Position'!O17:O17)*Inventories!$T$8</f>
        <v>19235246.939999998</v>
      </c>
      <c r="P21" s="306">
        <f>SUM(P14:P14)*Inventories!$T$5+SUM('Fund Position'!P15:P15)*Inventories!$T$6+SUM('Fund Position'!P16:P16)*Inventories!$T$7+SUM('Fund Position'!P17:P17)*Inventories!$T$8</f>
        <v>19235246.939999998</v>
      </c>
      <c r="Q21" s="306">
        <f>SUM(Q14:Q14)*Inventories!$T$5+SUM('Fund Position'!Q15:Q15)*Inventories!$T$6+SUM('Fund Position'!Q16:Q16)*Inventories!$T$7+SUM('Fund Position'!Q17:Q17)*Inventories!$T$8</f>
        <v>19235246.939999998</v>
      </c>
      <c r="R21" s="306">
        <f>SUM(R14:R14)*Inventories!$T$5+SUM('Fund Position'!R15:R15)*Inventories!$T$6+SUM('Fund Position'!R16:R16)*Inventories!$T$7+SUM('Fund Position'!R17:R17)*Inventories!$T$8</f>
        <v>25496929.674906481</v>
      </c>
      <c r="S21" s="306">
        <f>SUM(S14:S14)*Inventories!$T$5+SUM('Fund Position'!S15:S15)*Inventories!$T$6+SUM('Fund Position'!S16:S16)*Inventories!$T$7+SUM('Fund Position'!S17:S17)*Inventories!$T$8</f>
        <v>24847192.49581296</v>
      </c>
      <c r="T21" s="306">
        <f>SUM(T14:T14)*Inventories!$T$5+SUM('Fund Position'!T15:T15)*Inventories!$T$6+SUM('Fund Position'!T16:T16)*Inventories!$T$7+SUM('Fund Position'!T17:T17)*Inventories!$T$8</f>
        <v>24847192.49581296</v>
      </c>
      <c r="U21" s="306">
        <f>SUM(U14:U14)*Inventories!$T$5+SUM('Fund Position'!U15:U15)*Inventories!$T$6+SUM('Fund Position'!U16:U16)*Inventories!$T$7+SUM('Fund Position'!U17:U17)*Inventories!$T$8</f>
        <v>24847192.49581296</v>
      </c>
      <c r="V21" s="306">
        <f>SUM(V14:V14)*Inventories!$T$5+SUM('Fund Position'!V15:V15)*Inventories!$T$6+SUM('Fund Position'!V16:V16)*Inventories!$T$7+SUM('Fund Position'!V17:V17)*Inventories!$T$8</f>
        <v>24847192.49581296</v>
      </c>
      <c r="W21" s="306">
        <f>SUM(W14:W14)*Inventories!$T$5+SUM('Fund Position'!W15:W15)*Inventories!$T$6+SUM('Fund Position'!W16:W16)*Inventories!$T$7+SUM('Fund Position'!W17:W17)*Inventories!$T$8</f>
        <v>24847192.49581296</v>
      </c>
      <c r="X21" s="306">
        <f>SUM(X14:X14)*Inventories!$T$5+SUM('Fund Position'!X15:X15)*Inventories!$T$6+SUM('Fund Position'!X16:X16)*Inventories!$T$7+SUM('Fund Position'!X17:X17)*Inventories!$T$8</f>
        <v>23929041.051906481</v>
      </c>
      <c r="Y21" s="306">
        <f>SUM(Y14:Y14)*Inventories!$T$5+SUM('Fund Position'!Y15:Y15)*Inventories!$T$6+SUM('Fund Position'!Y16:Y16)*Inventories!$T$7+SUM('Fund Position'!Y17:Y17)*Inventories!$T$8</f>
        <v>23010889.608000003</v>
      </c>
      <c r="Z21" s="306">
        <f>SUM(Z14:Z14)*Inventories!$T$5+SUM('Fund Position'!Z15:Z15)*Inventories!$T$6+SUM('Fund Position'!Z16:Z16)*Inventories!$T$7+SUM('Fund Position'!Z17:Z17)*Inventories!$T$8</f>
        <v>23010889.608000003</v>
      </c>
      <c r="AA21" s="306">
        <f>SUM(AA14:AA14)*Inventories!$AH$5+SUM('Fund Position'!AA15:AA15)*Inventories!$AH$6+SUM('Fund Position'!AA16:AA16)*Inventories!$AH$7+SUM('Fund Position'!AA17:AA17)*Inventories!$AH$8</f>
        <v>24161434.088400003</v>
      </c>
      <c r="AB21" s="306">
        <f>SUM(AB14:AB14)*Inventories!$AH$5+SUM('Fund Position'!AB15:AB15)*Inventories!$AH$6+SUM('Fund Position'!AB16:AB16)*Inventories!$AH$7+SUM('Fund Position'!AB17:AB17)*Inventories!$AH$8</f>
        <v>24161434.088400003</v>
      </c>
      <c r="AC21" s="306">
        <f>SUM(AC14:AC14)*Inventories!$AH$5+SUM('Fund Position'!AC15:AC15)*Inventories!$AH$6+SUM('Fund Position'!AC16:AC16)*Inventories!$AH$7+SUM('Fund Position'!AC17:AC17)*Inventories!$AH$8</f>
        <v>24161434.088400003</v>
      </c>
      <c r="AD21" s="306">
        <f>SUM(AD14:AD14)*Inventories!$AH$5+SUM('Fund Position'!AD15:AD15)*Inventories!$AH$6+SUM('Fund Position'!AD16:AD16)*Inventories!$AH$7+SUM('Fund Position'!AD17:AD17)*Inventories!$AH$8</f>
        <v>31349142.092679095</v>
      </c>
      <c r="AE21" s="306">
        <f>SUM(AE14:AE14)*Inventories!$AH$5+SUM('Fund Position'!AE15:AE15)*Inventories!$AH$6+SUM('Fund Position'!AE16:AE16)*Inventories!$AH$7+SUM('Fund Position'!AE17:AE17)*Inventories!$AH$8</f>
        <v>30191310.550803188</v>
      </c>
      <c r="AF21" s="306">
        <f>SUM(AF14:AF14)*Inventories!$AH$5+SUM('Fund Position'!AF15:AF15)*Inventories!$AH$6+SUM('Fund Position'!AF16:AF16)*Inventories!$AH$7+SUM('Fund Position'!AF17:AF17)*Inventories!$AH$8</f>
        <v>30191310.550803188</v>
      </c>
      <c r="AG21" s="306">
        <f>SUM(AG14:AG14)*Inventories!$AH$5+SUM('Fund Position'!AG15:AG15)*Inventories!$AH$6+SUM('Fund Position'!AG16:AG16)*Inventories!$AH$7+SUM('Fund Position'!AG17:AG17)*Inventories!$AH$8</f>
        <v>30191310.550803188</v>
      </c>
      <c r="AH21" s="306">
        <f>SUM(AH14:AH14)*Inventories!$AH$5+SUM('Fund Position'!AH15:AH15)*Inventories!$AH$6+SUM('Fund Position'!AH16:AH16)*Inventories!$AH$7+SUM('Fund Position'!AH17:AH17)*Inventories!$AH$8</f>
        <v>30191310.550803188</v>
      </c>
      <c r="AI21" s="306">
        <f>SUM(AI14:AI14)*Inventories!$AH$5+SUM('Fund Position'!AI15:AI15)*Inventories!$AH$6+SUM('Fund Position'!AI16:AI16)*Inventories!$AH$7+SUM('Fund Position'!AI17:AI17)*Inventories!$AH$8</f>
        <v>30191310.550803188</v>
      </c>
      <c r="AJ21" s="306">
        <f>SUM(AJ14:AJ14)*Inventories!$AH$5+SUM('Fund Position'!AJ15:AJ15)*Inventories!$AH$6+SUM('Fund Position'!AJ16:AJ16)*Inventories!$AH$7+SUM('Fund Position'!AJ17:AJ17)*Inventories!$AH$8</f>
        <v>29551278.347641595</v>
      </c>
      <c r="AK21" s="306">
        <f>SUM(AK14:AK14)*Inventories!$AH$5+SUM('Fund Position'!AK15:AK15)*Inventories!$AH$6+SUM('Fund Position'!AK16:AK16)*Inventories!$AH$7+SUM('Fund Position'!AK17:AK17)*Inventories!$AH$8</f>
        <v>28911246.144480001</v>
      </c>
      <c r="AL21" s="306">
        <f>SUM(AL14:AL14)*Inventories!$AH$5+SUM('Fund Position'!AL15:AL15)*Inventories!$AH$6+SUM('Fund Position'!AL16:AL16)*Inventories!$AH$7+SUM('Fund Position'!AL17:AL17)*Inventories!$AH$8</f>
        <v>28911246.144480001</v>
      </c>
      <c r="AM21" s="306">
        <f>SUM(AM14:AM14)*Inventories!$AV$5+SUM('Fund Position'!AM15:AM15)*Inventories!$AV$6+SUM('Fund Position'!AM16:AM16)*Inventories!$AV$7+SUM('Fund Position'!AM17:AM17)*Inventories!$AV$8</f>
        <v>30356808.451704003</v>
      </c>
      <c r="AN21" s="306">
        <f>SUM(AN14:AN14)*Inventories!$AV$5+SUM('Fund Position'!AN15:AN15)*Inventories!$AV$6+SUM('Fund Position'!AN16:AN16)*Inventories!$AV$7+SUM('Fund Position'!AN17:AN17)*Inventories!$AV$8</f>
        <v>30356808.451704003</v>
      </c>
      <c r="AO21" s="306">
        <f>SUM(AO14:AO14)*Inventories!$AV$5+SUM('Fund Position'!AO15:AO15)*Inventories!$AV$6+SUM('Fund Position'!AO16:AO16)*Inventories!$AV$7+SUM('Fund Position'!AO17:AO17)*Inventories!$AV$8</f>
        <v>30356808.451704003</v>
      </c>
      <c r="AP21" s="306">
        <f>SUM(AP14:AP14)*Inventories!$AV$5+SUM('Fund Position'!AP15:AP15)*Inventories!$AV$6+SUM('Fund Position'!AP16:AP16)*Inventories!$AV$7+SUM('Fund Position'!AP17:AP17)*Inventories!$AV$8</f>
        <v>38559717.769664906</v>
      </c>
      <c r="AQ21" s="306">
        <f>SUM(AQ14:AQ14)*Inventories!$AV$5+SUM('Fund Position'!AQ15:AQ15)*Inventories!$AV$6+SUM('Fund Position'!AQ16:AQ16)*Inventories!$AV$7+SUM('Fund Position'!AQ17:AQ17)*Inventories!$AV$8</f>
        <v>36685388.085643649</v>
      </c>
      <c r="AR21" s="306">
        <f>SUM(AR14:AR14)*Inventories!$AV$5+SUM('Fund Position'!AR15:AR15)*Inventories!$AV$6+SUM('Fund Position'!AR16:AR16)*Inventories!$AV$7+SUM('Fund Position'!AR17:AR17)*Inventories!$AV$8</f>
        <v>36685388.085643649</v>
      </c>
      <c r="AS21" s="306">
        <f>SUM(AS14:AS14)*Inventories!$AV$5+SUM('Fund Position'!AS15:AS15)*Inventories!$AV$6+SUM('Fund Position'!AS16:AS16)*Inventories!$AV$7+SUM('Fund Position'!AS17:AS17)*Inventories!$AV$8</f>
        <v>36685388.085643649</v>
      </c>
      <c r="AT21" s="306">
        <f>SUM(AT14:AT14)*Inventories!$AV$5+SUM('Fund Position'!AT15:AT15)*Inventories!$AV$6+SUM('Fund Position'!AT16:AT16)*Inventories!$AV$7+SUM('Fund Position'!AT17:AT17)*Inventories!$AV$8</f>
        <v>36685388.085643649</v>
      </c>
      <c r="AU21" s="306">
        <f>SUM(AU14:AU14)*Inventories!$AV$5+SUM('Fund Position'!AU15:AU15)*Inventories!$AV$6+SUM('Fund Position'!AU16:AU16)*Inventories!$AV$7+SUM('Fund Position'!AU17:AU17)*Inventories!$AV$8</f>
        <v>36685388.085643649</v>
      </c>
      <c r="AV21" s="306">
        <f>SUM(AV14:AV14)*Inventories!$AV$5+SUM('Fund Position'!AV15:AV15)*Inventories!$AV$6+SUM('Fund Position'!AV16:AV16)*Inventories!$AV$7+SUM('Fund Position'!AV17:AV17)*Inventories!$AV$8</f>
        <v>36509149.939020231</v>
      </c>
      <c r="AW21" s="306">
        <f>SUM(AW14:AW14)*Inventories!$AV$5+SUM('Fund Position'!AW15:AW15)*Inventories!$AV$6+SUM('Fund Position'!AW16:AW16)*Inventories!$AV$7+SUM('Fund Position'!AW17:AW17)*Inventories!$AV$8</f>
        <v>36332911.792396806</v>
      </c>
      <c r="AX21" s="306">
        <f>SUM(AX14:AX14)*Inventories!$AV$5+SUM('Fund Position'!AX15:AX15)*Inventories!$AV$6+SUM('Fund Position'!AX16:AX16)*Inventories!$AV$7+SUM('Fund Position'!AX17:AX17)*Inventories!$AV$8</f>
        <v>36332911.792396806</v>
      </c>
      <c r="AY21" s="306">
        <f>SUM(AY14:AY14)*Inventories!$BJ$5+SUM('Fund Position'!AY15:AY15)*Inventories!$BJ$6+SUM('Fund Position'!AY16:AY16)*Inventories!$BJ$7+SUM('Fund Position'!AY17:AY17)*Inventories!$BJ$8</f>
        <v>38149557.382016644</v>
      </c>
      <c r="AZ21" s="306">
        <f>SUM(AZ14:AZ14)*Inventories!$BJ$5+SUM('Fund Position'!AZ15:AZ15)*Inventories!$BJ$6+SUM('Fund Position'!AZ16:AZ16)*Inventories!$BJ$7+SUM('Fund Position'!AZ17:AZ17)*Inventories!$BJ$8</f>
        <v>38149557.382016644</v>
      </c>
      <c r="BA21" s="306">
        <f>SUM(BA14:BA14)*Inventories!$BJ$5+SUM('Fund Position'!BA15:BA15)*Inventories!$BJ$6+SUM('Fund Position'!BA16:BA16)*Inventories!$BJ$7+SUM('Fund Position'!BA17:BA17)*Inventories!$BJ$8</f>
        <v>38149557.382016644</v>
      </c>
      <c r="BB21" s="306">
        <f>SUM(BB14:BB14)*Inventories!$BJ$5+SUM('Fund Position'!BB15:BB15)*Inventories!$BJ$6+SUM('Fund Position'!BB16:BB16)*Inventories!$BJ$7+SUM('Fund Position'!BB17:BB17)*Inventories!$BJ$8</f>
        <v>47447407.577851638</v>
      </c>
      <c r="BC21" s="306">
        <f>SUM(BC14:BC14)*Inventories!$BJ$5+SUM('Fund Position'!BC15:BC15)*Inventories!$BJ$6+SUM('Fund Position'!BC16:BC16)*Inventories!$BJ$7+SUM('Fund Position'!BC17:BC17)*Inventories!$BJ$8</f>
        <v>44576991.678793162</v>
      </c>
      <c r="BD21" s="306">
        <f>SUM(BD14:BD14)*Inventories!$BJ$5+SUM('Fund Position'!BD15:BD15)*Inventories!$BJ$6+SUM('Fund Position'!BD16:BD16)*Inventories!$BJ$7+SUM('Fund Position'!BD17:BD17)*Inventories!$BJ$8</f>
        <v>44576991.678793162</v>
      </c>
      <c r="BE21" s="306">
        <f>SUM(BE14:BE14)*Inventories!$BJ$5+SUM('Fund Position'!BE15:BE15)*Inventories!$BJ$6+SUM('Fund Position'!BE16:BE16)*Inventories!$BJ$7+SUM('Fund Position'!BE17:BE17)*Inventories!$BJ$8</f>
        <v>44576991.678793162</v>
      </c>
      <c r="BF21" s="306">
        <f>SUM(BF14:BF14)*Inventories!$BJ$5+SUM('Fund Position'!BF15:BF15)*Inventories!$BJ$6+SUM('Fund Position'!BF16:BF16)*Inventories!$BJ$7+SUM('Fund Position'!BF17:BF17)*Inventories!$BJ$8</f>
        <v>44576991.678793162</v>
      </c>
      <c r="BG21" s="306">
        <f>SUM(BG14:BG14)*Inventories!$BJ$5+SUM('Fund Position'!BG15:BG15)*Inventories!$BJ$6+SUM('Fund Position'!BG16:BG16)*Inventories!$BJ$7+SUM('Fund Position'!BG17:BG17)*Inventories!$BJ$8</f>
        <v>44576991.678793162</v>
      </c>
      <c r="BH21" s="306">
        <f>SUM(BH14:BH14)*Inventories!$BJ$5+SUM('Fund Position'!BH15:BH15)*Inventories!$BJ$6+SUM('Fund Position'!BH16:BH16)*Inventories!$BJ$7+SUM('Fund Position'!BH17:BH17)*Inventories!$BJ$8</f>
        <v>45123218.571684837</v>
      </c>
      <c r="BI21" s="306">
        <f>SUM(BI14:BI14)*Inventories!$BJ$5+SUM('Fund Position'!BI15:BI15)*Inventories!$BJ$6+SUM('Fund Position'!BI16:BI16)*Inventories!$BJ$7+SUM('Fund Position'!BI17:BI17)*Inventories!$BJ$8</f>
        <v>45669445.464576535</v>
      </c>
      <c r="BJ21" s="306">
        <f>SUM(BJ14:BJ14)*Inventories!$BJ$5+SUM('Fund Position'!BJ15:BJ15)*Inventories!$BJ$6+SUM('Fund Position'!BJ16:BJ16)*Inventories!$BJ$7+SUM('Fund Position'!BJ17:BJ17)*Inventories!$BJ$8</f>
        <v>45669445.464576535</v>
      </c>
    </row>
    <row r="22" spans="1:62" ht="15.75" thickTop="1" x14ac:dyDescent="0.25"/>
    <row r="23" spans="1:62" ht="15.75" thickBot="1" x14ac:dyDescent="0.3">
      <c r="B23" s="305" t="s">
        <v>342</v>
      </c>
      <c r="C23" s="306">
        <f>SUM(C14:C14)*Inventories!$K$5+SUM('Fund Position'!C15:C15)*Inventories!$K$6+SUM('Fund Position'!C16:C16)*Inventories!$K$7+SUM('Fund Position'!C17:C17)*Inventories!$K$8</f>
        <v>27363004.200000003</v>
      </c>
      <c r="D23" s="306">
        <f>SUM(D14:D14)*Inventories!$K$5+SUM('Fund Position'!D15:D15)*Inventories!$K$6+SUM('Fund Position'!D16:D16)*Inventories!$K$7+SUM('Fund Position'!D17:D17)*Inventories!$K$8</f>
        <v>27363004.200000003</v>
      </c>
      <c r="E23" s="306">
        <f>SUM(E14:E14)*Inventories!$K$5+SUM('Fund Position'!E15:E15)*Inventories!$K$6+SUM('Fund Position'!E16:E16)*Inventories!$K$7+SUM('Fund Position'!E17:E17)*Inventories!$K$8</f>
        <v>27363004.200000003</v>
      </c>
      <c r="F23" s="306">
        <f>SUM(F14:F14)*Inventories!$K$5+SUM('Fund Position'!F15:F15)*Inventories!$K$6+SUM('Fund Position'!F16:F16)*Inventories!$K$7+SUM('Fund Position'!F17:F17)*Inventories!$K$8</f>
        <v>21792388.302719999</v>
      </c>
      <c r="G23" s="306">
        <f>SUM(G14:G14)*Inventories!$K$5+SUM('Fund Position'!G15:G15)*Inventories!$K$6+SUM('Fund Position'!G16:G16)*Inventories!$K$7+SUM('Fund Position'!G17:G17)*Inventories!$K$8</f>
        <v>51492259.405440003</v>
      </c>
      <c r="H23" s="306">
        <f>SUM(H14:H14)*Inventories!$K$5+SUM('Fund Position'!H15:H15)*Inventories!$K$6+SUM('Fund Position'!H16:H16)*Inventories!$K$7+SUM('Fund Position'!H17:H17)*Inventories!$K$8</f>
        <v>44651508.355439991</v>
      </c>
      <c r="I23" s="306">
        <f>SUM(I14:I14)*Inventories!$K$5+SUM('Fund Position'!I15:I15)*Inventories!$K$6+SUM('Fund Position'!I16:I16)*Inventories!$K$7+SUM('Fund Position'!I17:I17)*Inventories!$K$8</f>
        <v>38036801.305439994</v>
      </c>
      <c r="J23" s="306">
        <f>SUM(J14:J14)*Inventories!$K$5+SUM('Fund Position'!J15:J15)*Inventories!$K$6+SUM('Fund Position'!J16:J16)*Inventories!$K$7+SUM('Fund Position'!J17:J17)*Inventories!$K$8</f>
        <v>38036801.305439994</v>
      </c>
      <c r="K23" s="306">
        <f>SUM(K14:K14)*Inventories!$K$5+SUM('Fund Position'!K15:K15)*Inventories!$K$6+SUM('Fund Position'!K16:K16)*Inventories!$K$7+SUM('Fund Position'!K17:K17)*Inventories!$K$8</f>
        <v>38036801.305439994</v>
      </c>
      <c r="L23" s="306">
        <f>SUM(L14:L14)*Inventories!$K$5+SUM('Fund Position'!L15:L15)*Inventories!$K$6+SUM('Fund Position'!L16:L16)*Inventories!$K$7+SUM('Fund Position'!L17:L17)*Inventories!$K$8</f>
        <v>37210171.452719994</v>
      </c>
      <c r="M23" s="306">
        <f>SUM(M14:M14)*Inventories!$K$5+SUM('Fund Position'!M15:M15)*Inventories!$K$6+SUM('Fund Position'!M16:M16)*Inventories!$K$7+SUM('Fund Position'!M17:M17)*Inventories!$K$8</f>
        <v>36383541.599999994</v>
      </c>
      <c r="N23" s="306">
        <f>SUM(N14:N14)*Inventories!$K$5+SUM('Fund Position'!N15:N15)*Inventories!$K$6+SUM('Fund Position'!N16:N16)*Inventories!$K$7+SUM('Fund Position'!N17:N17)*Inventories!$K$8</f>
        <v>36383541.599999994</v>
      </c>
      <c r="O23" s="306">
        <f>SUM(O14:O14)*Inventories!$Y$5+SUM('Fund Position'!O15:O15)*Inventories!$Y$6+SUM('Fund Position'!O16:O16)*Inventories!$Y$7+SUM('Fund Position'!O17:O17)*Inventories!$Y$8</f>
        <v>38202718.68</v>
      </c>
      <c r="P23" s="306">
        <f>SUM(P14:P14)*Inventories!$Y$5+SUM('Fund Position'!P15:P15)*Inventories!$Y$6+SUM('Fund Position'!P16:P16)*Inventories!$Y$7+SUM('Fund Position'!P17:P17)*Inventories!$Y$8</f>
        <v>38202718.68</v>
      </c>
      <c r="Q23" s="306">
        <f>SUM(Q14:Q14)*Inventories!$Y$5+SUM('Fund Position'!Q15:Q15)*Inventories!$Y$6+SUM('Fund Position'!Q16:Q16)*Inventories!$Y$7+SUM('Fund Position'!Q17:Q17)*Inventories!$Y$8</f>
        <v>38202718.68</v>
      </c>
      <c r="R23" s="306">
        <f>SUM(R14:R14)*Inventories!$Y$5+SUM('Fund Position'!R15:R15)*Inventories!$Y$6+SUM('Fund Position'!R16:R16)*Inventories!$Y$7+SUM('Fund Position'!R17:R17)*Inventories!$Y$8</f>
        <v>47404261.792812958</v>
      </c>
      <c r="S23" s="306">
        <f>SUM(S14:S14)*Inventories!$Y$5+SUM('Fund Position'!S15:S15)*Inventories!$Y$6+SUM('Fund Position'!S16:S16)*Inventories!$Y$7+SUM('Fund Position'!S17:S17)*Inventories!$Y$8</f>
        <v>46238675.034625918</v>
      </c>
      <c r="T23" s="306">
        <f>SUM(T14:T14)*Inventories!$Y$5+SUM('Fund Position'!T15:T15)*Inventories!$Y$6+SUM('Fund Position'!T16:T16)*Inventories!$Y$7+SUM('Fund Position'!T17:T17)*Inventories!$Y$8</f>
        <v>46238675.034625918</v>
      </c>
      <c r="U23" s="306">
        <f>SUM(U14:U14)*Inventories!$Y$5+SUM('Fund Position'!U15:U15)*Inventories!$Y$6+SUM('Fund Position'!U16:U16)*Inventories!$Y$7+SUM('Fund Position'!U17:U17)*Inventories!$Y$8</f>
        <v>46238675.034625918</v>
      </c>
      <c r="V23" s="306">
        <f>SUM(V14:V14)*Inventories!$Y$5+SUM('Fund Position'!V15:V15)*Inventories!$Y$6+SUM('Fund Position'!V16:V16)*Inventories!$Y$7+SUM('Fund Position'!V17:V17)*Inventories!$Y$8</f>
        <v>46238675.034625918</v>
      </c>
      <c r="W23" s="306">
        <f>SUM(W14:W14)*Inventories!$Y$5+SUM('Fund Position'!W15:W15)*Inventories!$Y$6+SUM('Fund Position'!W16:W16)*Inventories!$Y$7+SUM('Fund Position'!W17:W17)*Inventories!$Y$8</f>
        <v>46238675.034625918</v>
      </c>
      <c r="X23" s="306">
        <f>SUM(X14:X14)*Inventories!$Y$5+SUM('Fund Position'!X15:X15)*Inventories!$Y$6+SUM('Fund Position'!X16:X16)*Inventories!$Y$7+SUM('Fund Position'!X17:X17)*Inventories!$Y$8</f>
        <v>45982950.765312962</v>
      </c>
      <c r="Y23" s="306">
        <f>SUM(Y14:Y14)*Inventories!$Y$5+SUM('Fund Position'!Y15:Y15)*Inventories!$Y$6+SUM('Fund Position'!Y16:Y16)*Inventories!$Y$7+SUM('Fund Position'!Y17:Y17)*Inventories!$Y$8</f>
        <v>45727226.495999999</v>
      </c>
      <c r="Z23" s="306">
        <f>SUM(Z14:Z14)*Inventories!$Y$5+SUM('Fund Position'!Z15:Z15)*Inventories!$Y$6+SUM('Fund Position'!Z16:Z16)*Inventories!$Y$7+SUM('Fund Position'!Z17:Z17)*Inventories!$Y$8</f>
        <v>45727226.495999999</v>
      </c>
      <c r="AA23" s="306">
        <f>SUM(AA14:AA14)*Inventories!$AM$5+SUM('Fund Position'!AA15:AA15)*Inventories!$AM$6+SUM('Fund Position'!AA16:AA16)*Inventories!$AM$7+SUM('Fund Position'!AA17:AA17)*Inventories!$AM$8</f>
        <v>48013587.820800006</v>
      </c>
      <c r="AB23" s="306">
        <f>SUM(AB14:AB14)*Inventories!$AM$5+SUM('Fund Position'!AB15:AB15)*Inventories!$AM$6+SUM('Fund Position'!AB16:AB16)*Inventories!$AM$7+SUM('Fund Position'!AB17:AB17)*Inventories!$AM$8</f>
        <v>48013587.820800006</v>
      </c>
      <c r="AC23" s="306">
        <f>SUM(AC14:AC14)*Inventories!$AM$5+SUM('Fund Position'!AC15:AC15)*Inventories!$AM$6+SUM('Fund Position'!AC16:AC16)*Inventories!$AM$7+SUM('Fund Position'!AC17:AC17)*Inventories!$AM$8</f>
        <v>48013587.820800006</v>
      </c>
      <c r="AD23" s="306">
        <f>SUM(AD14:AD14)*Inventories!$AM$5+SUM('Fund Position'!AD15:AD15)*Inventories!$AM$6+SUM('Fund Position'!AD16:AD16)*Inventories!$AM$7+SUM('Fund Position'!AD17:AD17)*Inventories!$AM$8</f>
        <v>58370874.234280691</v>
      </c>
      <c r="AE23" s="306">
        <f>SUM(AE14:AE14)*Inventories!$AM$5+SUM('Fund Position'!AE15:AE15)*Inventories!$AM$6+SUM('Fund Position'!AE16:AE16)*Inventories!$AM$7+SUM('Fund Position'!AE17:AE17)*Inventories!$AM$8</f>
        <v>56209851.328528874</v>
      </c>
      <c r="AF23" s="306">
        <f>SUM(AF14:AF14)*Inventories!$AM$5+SUM('Fund Position'!AF15:AF15)*Inventories!$AM$6+SUM('Fund Position'!AF16:AF16)*Inventories!$AM$7+SUM('Fund Position'!AF17:AF17)*Inventories!$AM$8</f>
        <v>56209851.328528874</v>
      </c>
      <c r="AG23" s="306">
        <f>SUM(AG14:AG14)*Inventories!$AM$5+SUM('Fund Position'!AG15:AG15)*Inventories!$AM$6+SUM('Fund Position'!AG16:AG16)*Inventories!$AM$7+SUM('Fund Position'!AG17:AG17)*Inventories!$AM$8</f>
        <v>56209851.328528874</v>
      </c>
      <c r="AH23" s="306">
        <f>SUM(AH14:AH14)*Inventories!$AM$5+SUM('Fund Position'!AH15:AH15)*Inventories!$AM$6+SUM('Fund Position'!AH16:AH16)*Inventories!$AM$7+SUM('Fund Position'!AH17:AH17)*Inventories!$AM$8</f>
        <v>56209851.328528874</v>
      </c>
      <c r="AI23" s="306">
        <f>SUM(AI14:AI14)*Inventories!$AM$5+SUM('Fund Position'!AI15:AI15)*Inventories!$AM$6+SUM('Fund Position'!AI16:AI16)*Inventories!$AM$7+SUM('Fund Position'!AI17:AI17)*Inventories!$AM$8</f>
        <v>56209851.328528874</v>
      </c>
      <c r="AJ23" s="306">
        <f>SUM(AJ14:AJ14)*Inventories!$AM$5+SUM('Fund Position'!AJ15:AJ15)*Inventories!$AM$6+SUM('Fund Position'!AJ16:AJ16)*Inventories!$AM$7+SUM('Fund Position'!AJ17:AJ17)*Inventories!$AM$8</f>
        <v>56846067.612944439</v>
      </c>
      <c r="AK23" s="306">
        <f>SUM(AK14:AK14)*Inventories!$AM$5+SUM('Fund Position'!AK15:AK15)*Inventories!$AM$6+SUM('Fund Position'!AK16:AK16)*Inventories!$AM$7+SUM('Fund Position'!AK17:AK17)*Inventories!$AM$8</f>
        <v>57482283.897360004</v>
      </c>
      <c r="AL23" s="306">
        <f>SUM(AL14:AL14)*Inventories!$AM$5+SUM('Fund Position'!AL15:AL15)*Inventories!$AM$6+SUM('Fund Position'!AL16:AL16)*Inventories!$AM$7+SUM('Fund Position'!AL17:AL17)*Inventories!$AM$8</f>
        <v>57482283.897360004</v>
      </c>
      <c r="AM23" s="306">
        <f>SUM(AM14:AM14)*Inventories!$BA$5+SUM('Fund Position'!AM15:AM15)*Inventories!$BA$6+SUM('Fund Position'!AM16:AM16)*Inventories!$BA$7+SUM('Fund Position'!AM17:AM17)*Inventories!$BA$8</f>
        <v>60356398.09222801</v>
      </c>
      <c r="AN23" s="306">
        <f>SUM(AN14:AN14)*Inventories!$BA$5+SUM('Fund Position'!AN15:AN15)*Inventories!$BA$6+SUM('Fund Position'!AN16:AN16)*Inventories!$BA$7+SUM('Fund Position'!AN17:AN17)*Inventories!$BA$8</f>
        <v>60356398.09222801</v>
      </c>
      <c r="AO23" s="306">
        <f>SUM(AO14:AO14)*Inventories!$BA$5+SUM('Fund Position'!AO15:AO15)*Inventories!$BA$6+SUM('Fund Position'!AO16:AO16)*Inventories!$BA$7+SUM('Fund Position'!AO17:AO17)*Inventories!$BA$8</f>
        <v>60356398.09222801</v>
      </c>
      <c r="AP23" s="306">
        <f>SUM(AP14:AP14)*Inventories!$BA$5+SUM('Fund Position'!AP15:AP15)*Inventories!$BA$6+SUM('Fund Position'!AP16:AP16)*Inventories!$BA$7+SUM('Fund Position'!AP17:AP17)*Inventories!$BA$8</f>
        <v>71902206.632748738</v>
      </c>
      <c r="AQ23" s="306">
        <f>SUM(AQ14:AQ14)*Inventories!$BA$5+SUM('Fund Position'!AQ15:AQ15)*Inventories!$BA$6+SUM('Fund Position'!AQ16:AQ16)*Inventories!$BA$7+SUM('Fund Position'!AQ17:AQ17)*Inventories!$BA$8</f>
        <v>68332156.670296222</v>
      </c>
      <c r="AR23" s="306">
        <f>SUM(AR14:AR14)*Inventories!$BA$5+SUM('Fund Position'!AR15:AR15)*Inventories!$BA$6+SUM('Fund Position'!AR16:AR16)*Inventories!$BA$7+SUM('Fund Position'!AR17:AR17)*Inventories!$BA$8</f>
        <v>68332156.670296222</v>
      </c>
      <c r="AS23" s="306">
        <f>SUM(AS14:AS14)*Inventories!$BA$5+SUM('Fund Position'!AS15:AS15)*Inventories!$BA$6+SUM('Fund Position'!AS16:AS16)*Inventories!$BA$7+SUM('Fund Position'!AS17:AS17)*Inventories!$BA$8</f>
        <v>68332156.670296222</v>
      </c>
      <c r="AT23" s="306">
        <f>SUM(AT14:AT14)*Inventories!$BA$5+SUM('Fund Position'!AT15:AT15)*Inventories!$BA$6+SUM('Fund Position'!AT16:AT16)*Inventories!$BA$7+SUM('Fund Position'!AT17:AT17)*Inventories!$BA$8</f>
        <v>68332156.670296222</v>
      </c>
      <c r="AU23" s="306">
        <f>SUM(AU14:AU14)*Inventories!$BA$5+SUM('Fund Position'!AU15:AU15)*Inventories!$BA$6+SUM('Fund Position'!AU16:AU16)*Inventories!$BA$7+SUM('Fund Position'!AU17:AU17)*Inventories!$BA$8</f>
        <v>68332156.670296222</v>
      </c>
      <c r="AV23" s="306">
        <f>SUM(AV14:AV14)*Inventories!$BA$5+SUM('Fund Position'!AV15:AV15)*Inventories!$BA$6+SUM('Fund Position'!AV16:AV16)*Inventories!$BA$7+SUM('Fund Position'!AV17:AV17)*Inventories!$BA$8</f>
        <v>70302519.781395927</v>
      </c>
      <c r="AW23" s="306">
        <f>SUM(AW14:AW14)*Inventories!$BA$5+SUM('Fund Position'!AW15:AW15)*Inventories!$BA$6+SUM('Fund Position'!AW16:AW16)*Inventories!$BA$7+SUM('Fund Position'!AW17:AW17)*Inventories!$BA$8</f>
        <v>72272882.892495602</v>
      </c>
      <c r="AX23" s="306">
        <f>SUM(AX14:AX14)*Inventories!$BA$5+SUM('Fund Position'!AX15:AX15)*Inventories!$BA$6+SUM('Fund Position'!AX16:AX16)*Inventories!$BA$7+SUM('Fund Position'!AX17:AX17)*Inventories!$BA$8</f>
        <v>72272882.892495602</v>
      </c>
      <c r="AY23" s="306">
        <f>SUM(AY14:AY14)*Inventories!$BO$5+SUM('Fund Position'!AY15:AY15)*Inventories!$BO$6+SUM('Fund Position'!AY16:AY16)*Inventories!$BO$7+SUM('Fund Position'!AY17:AY17)*Inventories!$BO$8</f>
        <v>75886527.037120387</v>
      </c>
      <c r="AZ23" s="306">
        <f>SUM(AZ14:AZ14)*Inventories!$BO$5+SUM('Fund Position'!AZ15:AZ15)*Inventories!$BO$6+SUM('Fund Position'!AZ16:AZ16)*Inventories!$BO$7+SUM('Fund Position'!AZ17:AZ17)*Inventories!$BO$8</f>
        <v>75886527.037120387</v>
      </c>
      <c r="BA23" s="306">
        <f>SUM(BA14:BA14)*Inventories!$BO$5+SUM('Fund Position'!BA15:BA15)*Inventories!$BO$6+SUM('Fund Position'!BA16:BA16)*Inventories!$BO$7+SUM('Fund Position'!BA17:BA17)*Inventories!$BO$8</f>
        <v>75886527.037120387</v>
      </c>
      <c r="BB23" s="306">
        <f>SUM(BB14:BB14)*Inventories!$BO$5+SUM('Fund Position'!BB15:BB15)*Inventories!$BO$6+SUM('Fund Position'!BB16:BB16)*Inventories!$BO$7+SUM('Fund Position'!BB17:BB17)*Inventories!$BO$8</f>
        <v>88604388.244800091</v>
      </c>
      <c r="BC23" s="306">
        <f>SUM(BC14:BC14)*Inventories!$BO$5+SUM('Fund Position'!BC15:BC15)*Inventories!$BO$6+SUM('Fund Position'!BC16:BC16)*Inventories!$BO$7+SUM('Fund Position'!BC17:BC17)*Inventories!$BO$8</f>
        <v>83069850.310139582</v>
      </c>
      <c r="BD23" s="306">
        <f>SUM(BD14:BD14)*Inventories!$BO$5+SUM('Fund Position'!BD15:BD15)*Inventories!$BO$6+SUM('Fund Position'!BD16:BD16)*Inventories!$BO$7+SUM('Fund Position'!BD17:BD17)*Inventories!$BO$8</f>
        <v>83069850.310139582</v>
      </c>
      <c r="BE23" s="306">
        <f>SUM(BE14:BE14)*Inventories!$BO$5+SUM('Fund Position'!BE15:BE15)*Inventories!$BO$6+SUM('Fund Position'!BE16:BE16)*Inventories!$BO$7+SUM('Fund Position'!BE17:BE17)*Inventories!$BO$8</f>
        <v>83069850.310139582</v>
      </c>
      <c r="BF23" s="306">
        <f>SUM(BF14:BF14)*Inventories!$BO$5+SUM('Fund Position'!BF15:BF15)*Inventories!$BO$6+SUM('Fund Position'!BF16:BF16)*Inventories!$BO$7+SUM('Fund Position'!BF17:BF17)*Inventories!$BO$8</f>
        <v>83069850.310139582</v>
      </c>
      <c r="BG23" s="306">
        <f>SUM(BG14:BG14)*Inventories!$BO$5+SUM('Fund Position'!BG15:BG15)*Inventories!$BO$6+SUM('Fund Position'!BG16:BG16)*Inventories!$BO$7+SUM('Fund Position'!BG17:BG17)*Inventories!$BO$8</f>
        <v>83069850.310139582</v>
      </c>
      <c r="BH23" s="306">
        <f>SUM(BH14:BH14)*Inventories!$BO$5+SUM('Fund Position'!BH15:BH15)*Inventories!$BO$6+SUM('Fund Position'!BH16:BH16)*Inventories!$BO$7+SUM('Fund Position'!BH17:BH17)*Inventories!$BO$8</f>
        <v>86977447.369844228</v>
      </c>
      <c r="BI23" s="306">
        <f>SUM(BI14:BI14)*Inventories!$BO$5+SUM('Fund Position'!BI15:BI15)*Inventories!$BO$6+SUM('Fund Position'!BI16:BI16)*Inventories!$BO$7+SUM('Fund Position'!BI17:BI17)*Inventories!$BO$8</f>
        <v>90885044.429548874</v>
      </c>
      <c r="BJ23" s="306">
        <f>SUM(BJ14:BJ14)*Inventories!$BO$5+SUM('Fund Position'!BJ15:BJ15)*Inventories!$BO$6+SUM('Fund Position'!BJ16:BJ16)*Inventories!$BO$7+SUM('Fund Position'!BJ17:BJ17)*Inventories!$BO$8</f>
        <v>90885044.429548874</v>
      </c>
    </row>
    <row r="24" spans="1:62" ht="15.75" thickTop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V14"/>
  <sheetViews>
    <sheetView tabSelected="1" zoomScale="106" zoomScaleNormal="106" workbookViewId="0">
      <pane xSplit="1" ySplit="4" topLeftCell="BG5" activePane="bottomRight" state="frozen"/>
      <selection activeCell="G6" sqref="G6"/>
      <selection pane="topRight" activeCell="G6" sqref="G6"/>
      <selection pane="bottomLeft" activeCell="G6" sqref="G6"/>
      <selection pane="bottomRight" activeCell="BI20" sqref="BI20"/>
    </sheetView>
  </sheetViews>
  <sheetFormatPr defaultRowHeight="15" x14ac:dyDescent="0.25"/>
  <cols>
    <col min="1" max="2" width="0" style="35" hidden="1" customWidth="1"/>
    <col min="3" max="3" width="23.140625" style="35" bestFit="1" customWidth="1"/>
    <col min="4" max="4" width="13.85546875" style="35" bestFit="1" customWidth="1"/>
    <col min="5" max="5" width="13.28515625" style="35" bestFit="1" customWidth="1"/>
    <col min="6" max="6" width="12.85546875" style="35" bestFit="1" customWidth="1"/>
    <col min="7" max="7" width="12.85546875" style="35" customWidth="1"/>
    <col min="8" max="8" width="14.7109375" style="35" bestFit="1" customWidth="1"/>
    <col min="9" max="9" width="14.7109375" style="35" customWidth="1"/>
    <col min="10" max="10" width="13.28515625" style="35" bestFit="1" customWidth="1"/>
    <col min="11" max="11" width="10.42578125" style="35" bestFit="1" customWidth="1"/>
    <col min="12" max="12" width="13.42578125" style="35" customWidth="1"/>
    <col min="13" max="14" width="14.7109375" style="35" bestFit="1" customWidth="1"/>
    <col min="15" max="15" width="14.7109375" style="35" hidden="1" customWidth="1"/>
    <col min="16" max="16" width="11.42578125" style="35" customWidth="1"/>
    <col min="17" max="17" width="12.5703125" style="35" bestFit="1" customWidth="1"/>
    <col min="18" max="18" width="14.7109375" style="35" bestFit="1" customWidth="1"/>
    <col min="19" max="19" width="13.28515625" style="35" bestFit="1" customWidth="1"/>
    <col min="20" max="20" width="12.85546875" style="35" bestFit="1" customWidth="1"/>
    <col min="21" max="21" width="12.85546875" style="35" hidden="1" customWidth="1"/>
    <col min="22" max="23" width="14.7109375" style="35" bestFit="1" customWidth="1"/>
    <col min="24" max="24" width="15" style="35" customWidth="1"/>
    <col min="25" max="25" width="10.42578125" style="35" bestFit="1" customWidth="1"/>
    <col min="26" max="26" width="10.42578125" style="35" hidden="1" customWidth="1"/>
    <col min="27" max="27" width="14.7109375" style="35" bestFit="1" customWidth="1"/>
    <col min="28" max="29" width="14.28515625" style="35" hidden="1" customWidth="1"/>
    <col min="30" max="30" width="12.28515625" style="35" customWidth="1"/>
    <col min="31" max="31" width="12.5703125" style="35" bestFit="1" customWidth="1"/>
    <col min="32" max="32" width="14.7109375" style="35" bestFit="1" customWidth="1"/>
    <col min="33" max="33" width="13.28515625" style="35" bestFit="1" customWidth="1"/>
    <col min="34" max="34" width="12.85546875" style="35" bestFit="1" customWidth="1"/>
    <col min="35" max="35" width="12.85546875" style="35" hidden="1" customWidth="1"/>
    <col min="36" max="36" width="14.85546875" style="35" bestFit="1" customWidth="1"/>
    <col min="37" max="37" width="14.7109375" style="35" bestFit="1" customWidth="1"/>
    <col min="38" max="38" width="13.28515625" style="35" customWidth="1"/>
    <col min="39" max="39" width="10.42578125" style="35" bestFit="1" customWidth="1"/>
    <col min="40" max="40" width="10.42578125" style="35" hidden="1" customWidth="1"/>
    <col min="41" max="41" width="15.85546875" style="35" bestFit="1" customWidth="1"/>
    <col min="42" max="43" width="15.28515625" style="35" hidden="1" customWidth="1"/>
    <col min="44" max="44" width="12" style="35" bestFit="1" customWidth="1"/>
    <col min="45" max="45" width="12.5703125" style="35" bestFit="1" customWidth="1"/>
    <col min="46" max="46" width="14.7109375" style="35" bestFit="1" customWidth="1"/>
    <col min="47" max="47" width="13.28515625" style="35" bestFit="1" customWidth="1"/>
    <col min="48" max="48" width="12.85546875" style="35" bestFit="1" customWidth="1"/>
    <col min="49" max="49" width="12.85546875" style="35" hidden="1" customWidth="1"/>
    <col min="50" max="50" width="15.28515625" style="35" bestFit="1" customWidth="1"/>
    <col min="51" max="51" width="15.28515625" style="35" hidden="1" customWidth="1"/>
    <col min="52" max="52" width="13.140625" style="35" customWidth="1"/>
    <col min="53" max="53" width="10.42578125" style="35" bestFit="1" customWidth="1"/>
    <col min="54" max="54" width="10.42578125" style="35" hidden="1" customWidth="1"/>
    <col min="55" max="55" width="15.85546875" style="35" bestFit="1" customWidth="1"/>
    <col min="56" max="57" width="15.28515625" style="35" hidden="1" customWidth="1"/>
    <col min="58" max="58" width="12.5703125" style="35" customWidth="1"/>
    <col min="59" max="59" width="12.5703125" style="35" bestFit="1" customWidth="1"/>
    <col min="60" max="60" width="14.7109375" style="35" bestFit="1" customWidth="1"/>
    <col min="61" max="61" width="13.28515625" style="35" bestFit="1" customWidth="1"/>
    <col min="62" max="62" width="12.85546875" style="35" bestFit="1" customWidth="1"/>
    <col min="63" max="63" width="12.85546875" style="35" hidden="1" customWidth="1"/>
    <col min="64" max="64" width="15.28515625" style="35" customWidth="1"/>
    <col min="65" max="65" width="15.28515625" style="35" hidden="1" customWidth="1"/>
    <col min="66" max="66" width="13.5703125" style="35" bestFit="1" customWidth="1"/>
    <col min="67" max="67" width="10.42578125" style="35" bestFit="1" customWidth="1"/>
    <col min="68" max="68" width="10.42578125" style="35" hidden="1" customWidth="1"/>
    <col min="69" max="69" width="15.85546875" style="35" bestFit="1" customWidth="1"/>
    <col min="70" max="71" width="15.28515625" style="35" hidden="1" customWidth="1"/>
    <col min="72" max="72" width="13" style="35" customWidth="1"/>
    <col min="73" max="73" width="12.5703125" style="35" bestFit="1" customWidth="1"/>
    <col min="74" max="74" width="14.7109375" style="35" bestFit="1" customWidth="1"/>
    <col min="75" max="16384" width="9.140625" style="35"/>
  </cols>
  <sheetData>
    <row r="1" spans="1:74" ht="21" x14ac:dyDescent="0.35">
      <c r="C1" s="327" t="s">
        <v>355</v>
      </c>
    </row>
    <row r="2" spans="1:74" ht="15.75" thickBot="1" x14ac:dyDescent="0.3"/>
    <row r="3" spans="1:74" x14ac:dyDescent="0.25">
      <c r="D3" s="495">
        <v>1</v>
      </c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6"/>
      <c r="R3" s="79"/>
      <c r="S3" s="497">
        <v>2</v>
      </c>
      <c r="T3" s="498"/>
      <c r="U3" s="498"/>
      <c r="V3" s="498"/>
      <c r="W3" s="498"/>
      <c r="X3" s="498"/>
      <c r="Y3" s="498"/>
      <c r="Z3" s="498"/>
      <c r="AA3" s="498"/>
      <c r="AB3" s="498"/>
      <c r="AC3" s="498"/>
      <c r="AD3" s="498"/>
      <c r="AE3" s="498"/>
      <c r="AF3" s="80"/>
      <c r="AG3" s="499">
        <v>3</v>
      </c>
      <c r="AH3" s="500"/>
      <c r="AI3" s="500"/>
      <c r="AJ3" s="500"/>
      <c r="AK3" s="500"/>
      <c r="AL3" s="500"/>
      <c r="AM3" s="500"/>
      <c r="AN3" s="500"/>
      <c r="AO3" s="500"/>
      <c r="AP3" s="500"/>
      <c r="AQ3" s="500"/>
      <c r="AR3" s="500"/>
      <c r="AS3" s="500"/>
      <c r="AT3" s="82"/>
      <c r="AU3" s="501">
        <v>4</v>
      </c>
      <c r="AV3" s="502"/>
      <c r="AW3" s="502"/>
      <c r="AX3" s="502"/>
      <c r="AY3" s="502"/>
      <c r="AZ3" s="502"/>
      <c r="BA3" s="502"/>
      <c r="BB3" s="502"/>
      <c r="BC3" s="502"/>
      <c r="BD3" s="502"/>
      <c r="BE3" s="502"/>
      <c r="BF3" s="502"/>
      <c r="BG3" s="502"/>
      <c r="BH3" s="83"/>
      <c r="BI3" s="503">
        <v>5</v>
      </c>
      <c r="BJ3" s="504"/>
      <c r="BK3" s="504"/>
      <c r="BL3" s="504"/>
      <c r="BM3" s="504"/>
      <c r="BN3" s="504"/>
      <c r="BO3" s="504"/>
      <c r="BP3" s="504"/>
      <c r="BQ3" s="504"/>
      <c r="BR3" s="504"/>
      <c r="BS3" s="504"/>
      <c r="BT3" s="504"/>
      <c r="BU3" s="504"/>
      <c r="BV3" s="84"/>
    </row>
    <row r="4" spans="1:74" x14ac:dyDescent="0.25">
      <c r="A4" s="256" t="s">
        <v>110</v>
      </c>
      <c r="B4" s="256" t="s">
        <v>223</v>
      </c>
      <c r="C4" s="256" t="s">
        <v>1</v>
      </c>
      <c r="D4" s="263" t="str">
        <f>'General details'!H10</f>
        <v>Opening Stock (kg)</v>
      </c>
      <c r="E4" s="256" t="str">
        <f>'General details'!I10</f>
        <v>Purchase qty (kg)</v>
      </c>
      <c r="F4" s="256" t="str">
        <f>'General details'!J10</f>
        <v>Unit price (Rs/kg)</v>
      </c>
      <c r="G4" s="275" t="s">
        <v>349</v>
      </c>
      <c r="H4" s="256" t="s">
        <v>57</v>
      </c>
      <c r="I4" s="275" t="s">
        <v>352</v>
      </c>
      <c r="J4" s="256" t="str">
        <f>'General details'!K10</f>
        <v>Sales qty  (kg)</v>
      </c>
      <c r="K4" s="256" t="str">
        <f>'General details'!L10</f>
        <v>Sales Price (Rs/kg)</v>
      </c>
      <c r="L4" s="275" t="s">
        <v>350</v>
      </c>
      <c r="M4" s="256" t="s">
        <v>58</v>
      </c>
      <c r="N4" s="271" t="s">
        <v>310</v>
      </c>
      <c r="O4" s="275" t="s">
        <v>351</v>
      </c>
      <c r="P4" s="256" t="str">
        <f>'General details'!M10</f>
        <v>Lost qty (kg)</v>
      </c>
      <c r="Q4" s="256" t="str">
        <f>'General details'!N10</f>
        <v>Closing Stock</v>
      </c>
      <c r="R4" s="264" t="s">
        <v>115</v>
      </c>
      <c r="S4" s="263" t="str">
        <f>E4</f>
        <v>Purchase qty (kg)</v>
      </c>
      <c r="T4" s="256" t="str">
        <f>F4</f>
        <v>Unit price (Rs/kg)</v>
      </c>
      <c r="U4" s="275" t="s">
        <v>349</v>
      </c>
      <c r="V4" s="256" t="s">
        <v>57</v>
      </c>
      <c r="W4" s="275" t="s">
        <v>352</v>
      </c>
      <c r="X4" s="256" t="str">
        <f>J4</f>
        <v>Sales qty  (kg)</v>
      </c>
      <c r="Y4" s="256" t="str">
        <f>K4</f>
        <v>Sales Price (Rs/kg)</v>
      </c>
      <c r="Z4" s="275" t="s">
        <v>350</v>
      </c>
      <c r="AA4" s="256" t="s">
        <v>58</v>
      </c>
      <c r="AB4" s="271" t="s">
        <v>310</v>
      </c>
      <c r="AC4" s="275" t="s">
        <v>351</v>
      </c>
      <c r="AD4" s="256" t="str">
        <f>P4</f>
        <v>Lost qty (kg)</v>
      </c>
      <c r="AE4" s="256" t="str">
        <f>Q4</f>
        <v>Closing Stock</v>
      </c>
      <c r="AF4" s="81" t="s">
        <v>115</v>
      </c>
      <c r="AG4" s="263" t="str">
        <f t="shared" ref="AG4" si="0">S4</f>
        <v>Purchase qty (kg)</v>
      </c>
      <c r="AH4" s="256" t="str">
        <f t="shared" ref="AH4" si="1">T4</f>
        <v>Unit price (Rs/kg)</v>
      </c>
      <c r="AI4" s="275" t="s">
        <v>349</v>
      </c>
      <c r="AJ4" s="256" t="s">
        <v>57</v>
      </c>
      <c r="AK4" s="275" t="s">
        <v>352</v>
      </c>
      <c r="AL4" s="256" t="str">
        <f t="shared" ref="AL4" si="2">X4</f>
        <v>Sales qty  (kg)</v>
      </c>
      <c r="AM4" s="256" t="str">
        <f t="shared" ref="AM4" si="3">Y4</f>
        <v>Sales Price (Rs/kg)</v>
      </c>
      <c r="AN4" s="275" t="s">
        <v>350</v>
      </c>
      <c r="AO4" s="256" t="s">
        <v>58</v>
      </c>
      <c r="AP4" s="271" t="s">
        <v>310</v>
      </c>
      <c r="AQ4" s="275" t="s">
        <v>351</v>
      </c>
      <c r="AR4" s="256" t="str">
        <f t="shared" ref="AR4" si="4">AD4</f>
        <v>Lost qty (kg)</v>
      </c>
      <c r="AS4" s="256" t="str">
        <f t="shared" ref="AS4" si="5">AE4</f>
        <v>Closing Stock</v>
      </c>
      <c r="AT4" s="264" t="s">
        <v>115</v>
      </c>
      <c r="AU4" s="263" t="str">
        <f t="shared" ref="AU4" si="6">AG4</f>
        <v>Purchase qty (kg)</v>
      </c>
      <c r="AV4" s="256" t="str">
        <f t="shared" ref="AV4" si="7">AH4</f>
        <v>Unit price (Rs/kg)</v>
      </c>
      <c r="AW4" s="275" t="s">
        <v>349</v>
      </c>
      <c r="AX4" s="256" t="s">
        <v>57</v>
      </c>
      <c r="AY4" s="275" t="s">
        <v>352</v>
      </c>
      <c r="AZ4" s="256" t="str">
        <f t="shared" ref="AZ4" si="8">AL4</f>
        <v>Sales qty  (kg)</v>
      </c>
      <c r="BA4" s="256" t="str">
        <f t="shared" ref="BA4" si="9">AM4</f>
        <v>Sales Price (Rs/kg)</v>
      </c>
      <c r="BB4" s="275" t="s">
        <v>350</v>
      </c>
      <c r="BC4" s="256" t="s">
        <v>58</v>
      </c>
      <c r="BD4" s="271" t="s">
        <v>310</v>
      </c>
      <c r="BE4" s="275" t="s">
        <v>351</v>
      </c>
      <c r="BF4" s="256" t="str">
        <f t="shared" ref="BF4" si="10">AR4</f>
        <v>Lost qty (kg)</v>
      </c>
      <c r="BG4" s="256" t="str">
        <f t="shared" ref="BG4" si="11">AS4</f>
        <v>Closing Stock</v>
      </c>
      <c r="BH4" s="264" t="s">
        <v>115</v>
      </c>
      <c r="BI4" s="263" t="str">
        <f t="shared" ref="BI4" si="12">AU4</f>
        <v>Purchase qty (kg)</v>
      </c>
      <c r="BJ4" s="256" t="str">
        <f t="shared" ref="BJ4" si="13">AV4</f>
        <v>Unit price (Rs/kg)</v>
      </c>
      <c r="BK4" s="275" t="s">
        <v>349</v>
      </c>
      <c r="BL4" s="256" t="s">
        <v>57</v>
      </c>
      <c r="BM4" s="275" t="s">
        <v>352</v>
      </c>
      <c r="BN4" s="256" t="str">
        <f t="shared" ref="BN4" si="14">AZ4</f>
        <v>Sales qty  (kg)</v>
      </c>
      <c r="BO4" s="256" t="str">
        <f t="shared" ref="BO4" si="15">BA4</f>
        <v>Sales Price (Rs/kg)</v>
      </c>
      <c r="BP4" s="275" t="s">
        <v>350</v>
      </c>
      <c r="BQ4" s="256" t="s">
        <v>58</v>
      </c>
      <c r="BR4" s="271" t="s">
        <v>311</v>
      </c>
      <c r="BS4" s="275" t="s">
        <v>351</v>
      </c>
      <c r="BT4" s="256" t="str">
        <f t="shared" ref="BT4" si="16">BF4</f>
        <v>Lost qty (kg)</v>
      </c>
      <c r="BU4" s="256" t="str">
        <f t="shared" ref="BU4" si="17">BG4</f>
        <v>Closing Stock</v>
      </c>
      <c r="BV4" s="264" t="s">
        <v>115</v>
      </c>
    </row>
    <row r="5" spans="1:74" x14ac:dyDescent="0.25">
      <c r="B5" s="40">
        <v>0</v>
      </c>
      <c r="C5" s="35" t="s">
        <v>403</v>
      </c>
      <c r="D5" s="78">
        <f>'General details'!N11</f>
        <v>0</v>
      </c>
      <c r="E5" s="70">
        <f>+'General details'!I11+'General details'!I11*'General details'!D11</f>
        <v>652296.48959999997</v>
      </c>
      <c r="F5" s="70">
        <f>'General details'!J11*(100%+'General details'!$F11)</f>
        <v>22.574999999999999</v>
      </c>
      <c r="G5" s="70">
        <f>F5*(100%+'Impact of Price'!$C$3-'Impact of Price'!$C$4)</f>
        <v>22.574999999999999</v>
      </c>
      <c r="H5" s="70">
        <f>F5*E5</f>
        <v>14725593.252719998</v>
      </c>
      <c r="I5" s="70">
        <f>E5*G5</f>
        <v>14725593.252719998</v>
      </c>
      <c r="J5" s="269">
        <f>+E5-E5*'General details'!E11</f>
        <v>554452.01616</v>
      </c>
      <c r="K5" s="269">
        <f>'General details'!L11*(100%+'General details'!$G11)</f>
        <v>45.15</v>
      </c>
      <c r="L5" s="269">
        <f>K5*(100%+'Impact of Price'!$C$6-'Impact of Price'!$C$5)</f>
        <v>45.15</v>
      </c>
      <c r="M5" s="269">
        <f>K5*J5</f>
        <v>25033508.529624</v>
      </c>
      <c r="N5" s="269">
        <f>J5*(100%-'Impact khadyasansthan'!$C$3-'Impact khadyasansthan'!$C$5)*K5*(100%-'Impact khadyasansthan'!$C$4)+J5*'Impact khadyasansthan'!$C$3*Inventories!F5+Inventories!J5*'Impact khadyasansthan'!$C$5*Inventories!F5</f>
        <v>25033508.529624</v>
      </c>
      <c r="O5" s="269">
        <f t="shared" ref="O5:O8" si="18">J5*L5</f>
        <v>25033508.529624</v>
      </c>
      <c r="P5" s="269">
        <f>+E5-J5</f>
        <v>97844.473439999972</v>
      </c>
      <c r="Q5" s="269">
        <f>D5+E5-J5-P5</f>
        <v>0</v>
      </c>
      <c r="R5" s="270">
        <f>Q5*F5</f>
        <v>0</v>
      </c>
      <c r="S5" s="78">
        <f>+E5+E5*'General details'!D11</f>
        <v>756663.92793599993</v>
      </c>
      <c r="T5" s="70">
        <f>F5*(100%+'General details'!$F11)</f>
        <v>23.703749999999999</v>
      </c>
      <c r="U5" s="70">
        <f>T5*(100%+'Impact of Price'!$D$3-'Impact of Price'!$D$4)</f>
        <v>23.703749999999999</v>
      </c>
      <c r="V5" s="70">
        <f>T5*S5</f>
        <v>17935772.581812959</v>
      </c>
      <c r="W5" s="70">
        <f t="shared" ref="W5:W8" si="19">S5*U5</f>
        <v>17935772.581812959</v>
      </c>
      <c r="X5" s="70">
        <f>+S5-S5*'General details'!E11</f>
        <v>643164.33874559996</v>
      </c>
      <c r="Y5" s="70">
        <f>K5*(100%+'General details'!$G11)</f>
        <v>47.407499999999999</v>
      </c>
      <c r="Z5" s="70">
        <f>Y5*(100%+'Impact of Price'!$D$6-'Impact of Price'!$D$5)</f>
        <v>47.407499999999999</v>
      </c>
      <c r="AA5" s="70">
        <f t="shared" ref="AA5:AA8" si="20">Y5*X5</f>
        <v>30490813.389082029</v>
      </c>
      <c r="AB5" s="269">
        <f>X5*(100%-'Impact khadyasansthan'!$D$3-'Impact khadyasansthan'!$D$5)*Y5*(100%-'Impact khadyasansthan'!$D$4)+X5*'Impact khadyasansthan'!$D$3*Inventories!T5+Inventories!X5*'Impact khadyasansthan'!$D$5*Inventories!T5</f>
        <v>30490813.389082029</v>
      </c>
      <c r="AC5" s="269">
        <f t="shared" ref="AC5:AC8" si="21">X5*Z5</f>
        <v>30490813.389082029</v>
      </c>
      <c r="AD5" s="269">
        <f>S5*('General details'!$E11)</f>
        <v>113499.58919039999</v>
      </c>
      <c r="AE5" s="70">
        <f t="shared" ref="AE5:AE8" si="22">Q5+S5-X5-AD5</f>
        <v>0</v>
      </c>
      <c r="AF5" s="69">
        <f t="shared" ref="AF5" si="23">AE5*T5</f>
        <v>0</v>
      </c>
      <c r="AG5" s="78">
        <f>+S5+S5*'General details'!D11</f>
        <v>877730.15640575998</v>
      </c>
      <c r="AH5" s="70">
        <f>T5*(100%+'General details'!$F11)</f>
        <v>24.888937500000001</v>
      </c>
      <c r="AI5" s="70">
        <f>AH5*(100%+'Impact of Price'!$E$3-'Impact of Price'!$E$4)</f>
        <v>24.888937500000001</v>
      </c>
      <c r="AJ5" s="70">
        <f t="shared" ref="AJ5:AJ8" si="24">AH5*AG5</f>
        <v>21845771.004648186</v>
      </c>
      <c r="AK5" s="70">
        <f t="shared" ref="AK5:AK8" si="25">AG5*AI5</f>
        <v>21845771.004648186</v>
      </c>
      <c r="AL5" s="70">
        <f>+AG5-AG5*'General details'!E11</f>
        <v>746070.632944896</v>
      </c>
      <c r="AM5" s="70">
        <f>Y5*(100%+'General details'!$G11)</f>
        <v>49.777875000000002</v>
      </c>
      <c r="AN5" s="70">
        <f>AM5*(100%+'Impact of Price'!$E$6-'Impact of Price'!$E$5)</f>
        <v>49.777875000000002</v>
      </c>
      <c r="AO5" s="70">
        <f t="shared" ref="AO5:AO8" si="26">AM5*AL5</f>
        <v>37137810.707901917</v>
      </c>
      <c r="AP5" s="269">
        <f>AL5*(100%-'Impact khadyasansthan'!$E$3-'Impact khadyasansthan'!$E$5)*AM5*(100%-'Impact khadyasansthan'!$E$4)+AL5*'Impact khadyasansthan'!$E$3*Inventories!AH5+Inventories!AL5*'Impact khadyasansthan'!$E$5*Inventories!AH5</f>
        <v>37137810.707901917</v>
      </c>
      <c r="AQ5" s="269">
        <f t="shared" ref="AQ5:AQ8" si="27">AL5*AN5</f>
        <v>37137810.707901917</v>
      </c>
      <c r="AR5" s="269">
        <f>+AG5-AL5</f>
        <v>131659.52346086397</v>
      </c>
      <c r="AS5" s="70">
        <f t="shared" ref="AS5:AS8" si="28">AE5+AG5-AL5-AR5</f>
        <v>0</v>
      </c>
      <c r="AT5" s="71">
        <f t="shared" ref="AT5:AT7" si="29">AS5*AH5</f>
        <v>0</v>
      </c>
      <c r="AU5" s="78">
        <f>+AG5+AG5*'General details'!D11</f>
        <v>1018166.9814306815</v>
      </c>
      <c r="AV5" s="70">
        <f>AH5*(100%+'General details'!$F11)</f>
        <v>26.133384375000002</v>
      </c>
      <c r="AW5" s="70">
        <f>AV5*(100%+'Impact of Price'!$F$3-'Impact of Price'!$F$4)</f>
        <v>26.133384375000002</v>
      </c>
      <c r="AX5" s="70">
        <f t="shared" ref="AX5:AX8" si="30">AV5*AU5</f>
        <v>26608149.083661489</v>
      </c>
      <c r="AY5" s="70">
        <f t="shared" ref="AY5:AY8" si="31">AU5*AW5</f>
        <v>26608149.083661489</v>
      </c>
      <c r="AZ5" s="70">
        <f>+AU5-AU5*'General details'!E11</f>
        <v>865441.9342160793</v>
      </c>
      <c r="BA5" s="70">
        <f>AM5*(100%+'General details'!$G11)</f>
        <v>52.266768750000004</v>
      </c>
      <c r="BB5" s="70">
        <f>BA5*(100%+'Impact of Price'!$F$6-'Impact of Price'!$F$5)</f>
        <v>52.266768750000004</v>
      </c>
      <c r="BC5" s="70">
        <f t="shared" ref="BC5:BC8" si="32">BA5*AZ5</f>
        <v>45233853.442224532</v>
      </c>
      <c r="BD5" s="269">
        <f>AZ5*(100%-'Impact khadyasansthan'!$F$3-'Impact khadyasansthan'!$F$5)*BA5*(100%-'Impact khadyasansthan'!$F$4)+AZ5*'Impact khadyasansthan'!$F$3*Inventories!AV5+Inventories!AZ5*'Impact khadyasansthan'!$F$5*Inventories!AV5</f>
        <v>45233853.442224532</v>
      </c>
      <c r="BE5" s="269">
        <f t="shared" ref="BE5:BE8" si="33">AZ5*BB5</f>
        <v>45233853.442224532</v>
      </c>
      <c r="BF5" s="269">
        <f>+AU5-AZ5</f>
        <v>152725.04721460224</v>
      </c>
      <c r="BG5" s="70">
        <f t="shared" ref="BG5:BG8" si="34">AS5+AU5-AZ5-BF5</f>
        <v>0</v>
      </c>
      <c r="BH5" s="71">
        <f t="shared" ref="BH5:BH7" si="35">BG5*AV5</f>
        <v>0</v>
      </c>
      <c r="BI5" s="78">
        <f>+AU5+AU5*'General details'!D11</f>
        <v>1181073.6984595906</v>
      </c>
      <c r="BJ5" s="70">
        <f>AV5*(100%+'General details'!$F11)</f>
        <v>27.440053593750005</v>
      </c>
      <c r="BK5" s="70">
        <f>BJ5*(100%+'Impact of Price'!$G$3-'Impact of Price'!$G$4)</f>
        <v>27.440053593750005</v>
      </c>
      <c r="BL5" s="70">
        <f t="shared" ref="BL5:BL8" si="36">BJ5*BI5</f>
        <v>32408725.583899695</v>
      </c>
      <c r="BM5" s="70">
        <f t="shared" ref="BM5:BM8" si="37">BI5*BK5</f>
        <v>32408725.583899695</v>
      </c>
      <c r="BN5" s="70">
        <f>+BI5-BI5*'General details'!E11</f>
        <v>1003912.643690652</v>
      </c>
      <c r="BO5" s="70">
        <f>BA5*(100%+'General details'!$G11)</f>
        <v>54.880107187500009</v>
      </c>
      <c r="BP5" s="70">
        <f>BO5*(100%+'Impact of Price'!$G$6-'Impact of Price'!$G$5)</f>
        <v>54.880107187500009</v>
      </c>
      <c r="BQ5" s="70">
        <f t="shared" ref="BQ5:BQ8" si="38">BO5*BN5</f>
        <v>55094833.492629483</v>
      </c>
      <c r="BR5" s="269">
        <f>BN5*(100%-'Impact khadyasansthan'!$G$3-'Impact khadyasansthan'!$G$5)*BO5*(100%-'Impact khadyasansthan'!$F$4)+BN5*'Impact khadyasansthan'!$G$3*Inventories!BJ5+Inventories!BN5*'Impact khadyasansthan'!$G$5*Inventories!BJ5</f>
        <v>55094833.492629483</v>
      </c>
      <c r="BS5" s="269">
        <f t="shared" ref="BS5:BS8" si="39">BN5*BP5</f>
        <v>55094833.492629483</v>
      </c>
      <c r="BT5" s="269">
        <f>BI5*('General details'!$E11)</f>
        <v>177161.05476893857</v>
      </c>
      <c r="BU5" s="70">
        <f t="shared" ref="BU5:BU8" si="40">BG5+BI5-BN5-BT5</f>
        <v>0</v>
      </c>
      <c r="BV5" s="71">
        <f t="shared" ref="BV5:BV7" si="41">BU5*BJ5</f>
        <v>0</v>
      </c>
    </row>
    <row r="6" spans="1:74" x14ac:dyDescent="0.25">
      <c r="B6" s="40">
        <v>1</v>
      </c>
      <c r="C6" s="35" t="s">
        <v>60</v>
      </c>
      <c r="D6" s="78">
        <f>+'General details'!I12-'General details'!M12</f>
        <v>419981.4</v>
      </c>
      <c r="E6" s="70">
        <f>+'General details'!I12+'General details'!I12*'General details'!D12</f>
        <v>559975.19999999995</v>
      </c>
      <c r="F6" s="70">
        <f>'General details'!J12*(100%+'General details'!$F12)</f>
        <v>31.5</v>
      </c>
      <c r="G6" s="70">
        <f>F6*(100%+'Impact of Price'!$C$3-'Impact of Price'!$C$4)</f>
        <v>31.5</v>
      </c>
      <c r="H6" s="70">
        <f>F6*E6</f>
        <v>17639218.799999997</v>
      </c>
      <c r="I6" s="70">
        <f>E6*G6</f>
        <v>17639218.799999997</v>
      </c>
      <c r="J6" s="269">
        <f>+E6-E6*'General details'!E12</f>
        <v>503977.67999999993</v>
      </c>
      <c r="K6" s="269">
        <f>'General details'!L12*(100%+'General details'!$G12)</f>
        <v>63</v>
      </c>
      <c r="L6" s="269">
        <f>K6*(100%+'Impact of Price'!$C$6-'Impact of Price'!$C$5)</f>
        <v>63</v>
      </c>
      <c r="M6" s="269">
        <f t="shared" ref="M6:M8" si="42">K6*J6</f>
        <v>31750593.839999996</v>
      </c>
      <c r="N6" s="269">
        <f>J6*(100%-'Impact khadyasansthan'!$C$3-'Impact khadyasansthan'!$C$5)*K6*(100%-'Impact khadyasansthan'!$C$4)+J6*'Impact khadyasansthan'!$C$3*Inventories!F6+Inventories!J6*'Impact khadyasansthan'!$C$5*Inventories!F6</f>
        <v>31750593.839999996</v>
      </c>
      <c r="O6" s="269">
        <f t="shared" si="18"/>
        <v>31750593.839999996</v>
      </c>
      <c r="P6" s="269">
        <f>+E6-J6</f>
        <v>55997.520000000019</v>
      </c>
      <c r="Q6" s="269">
        <f>+E6-P6</f>
        <v>503977.67999999993</v>
      </c>
      <c r="R6" s="270">
        <f>F6*Q6</f>
        <v>15875296.919999998</v>
      </c>
      <c r="S6" s="78">
        <f>+E6+E6*'General details'!D12</f>
        <v>671970.24</v>
      </c>
      <c r="T6" s="70">
        <f>F6*(100%+'General details'!$F12)</f>
        <v>33.075000000000003</v>
      </c>
      <c r="U6" s="70">
        <f>T6*(100%+'Impact of Price'!$D$3-'Impact of Price'!$D$4)</f>
        <v>33.075000000000003</v>
      </c>
      <c r="V6" s="70">
        <f t="shared" ref="V6:V8" si="43">T6*S6</f>
        <v>22225415.688000001</v>
      </c>
      <c r="W6" s="70">
        <f t="shared" si="19"/>
        <v>22225415.688000001</v>
      </c>
      <c r="X6" s="70">
        <f>+S6-S6*'General details'!E12</f>
        <v>604773.21600000001</v>
      </c>
      <c r="Y6" s="70">
        <f>K6*(100%+'General details'!$G12)</f>
        <v>66.150000000000006</v>
      </c>
      <c r="Z6" s="70">
        <f>Y6*(100%+'Impact of Price'!$D$6-'Impact of Price'!$D$5)</f>
        <v>66.150000000000006</v>
      </c>
      <c r="AA6" s="70">
        <f t="shared" si="20"/>
        <v>40005748.238400005</v>
      </c>
      <c r="AB6" s="269">
        <f>X6*(100%-'Impact khadyasansthan'!$D$3-'Impact khadyasansthan'!$D$5)*Y6*(100%-'Impact khadyasansthan'!$D$4)+X6*'Impact khadyasansthan'!$D$3*Inventories!T6+Inventories!X6*'Impact khadyasansthan'!$D$5*Inventories!T6</f>
        <v>40005748.238400005</v>
      </c>
      <c r="AC6" s="269">
        <f t="shared" si="21"/>
        <v>40005748.238400005</v>
      </c>
      <c r="AD6" s="269">
        <f>S6*('General details'!$E12)</f>
        <v>67197.024000000005</v>
      </c>
      <c r="AE6" s="70">
        <f t="shared" si="22"/>
        <v>503977.67999999993</v>
      </c>
      <c r="AF6" s="270">
        <f>T6*AE6</f>
        <v>16669061.765999999</v>
      </c>
      <c r="AG6" s="78">
        <f>+S6+S6*'General details'!D12</f>
        <v>806364.28799999994</v>
      </c>
      <c r="AH6" s="70">
        <f>T6*(100%+'General details'!$F12)</f>
        <v>34.728750000000005</v>
      </c>
      <c r="AI6" s="70">
        <f>AH6*(100%+'Impact of Price'!$E$3-'Impact of Price'!$E$4)</f>
        <v>34.728750000000005</v>
      </c>
      <c r="AJ6" s="70">
        <f t="shared" si="24"/>
        <v>28004023.766880002</v>
      </c>
      <c r="AK6" s="70">
        <f t="shared" si="25"/>
        <v>28004023.766880002</v>
      </c>
      <c r="AL6" s="70">
        <f>+AG6-AG6*'General details'!E12</f>
        <v>725727.85919999995</v>
      </c>
      <c r="AM6" s="70">
        <f>Y6*(100%+'General details'!$G12)</f>
        <v>69.45750000000001</v>
      </c>
      <c r="AN6" s="70">
        <f>AM6*(100%+'Impact of Price'!$E$6-'Impact of Price'!$E$5)</f>
        <v>69.45750000000001</v>
      </c>
      <c r="AO6" s="70">
        <f t="shared" si="26"/>
        <v>50407242.780384004</v>
      </c>
      <c r="AP6" s="269">
        <f>AL6*(100%-'Impact khadyasansthan'!$E$3-'Impact khadyasansthan'!$E$5)*AM6*(100%-'Impact khadyasansthan'!$E$4)+AL6*'Impact khadyasansthan'!$E$3*Inventories!AH6+Inventories!AL6*'Impact khadyasansthan'!$E$5*Inventories!AH6</f>
        <v>50407242.780384004</v>
      </c>
      <c r="AQ6" s="269">
        <f t="shared" si="27"/>
        <v>50407242.780384004</v>
      </c>
      <c r="AR6" s="269">
        <f t="shared" ref="AR6:AR8" si="44">+AG6-AL6</f>
        <v>80636.428799999994</v>
      </c>
      <c r="AS6" s="70">
        <f t="shared" si="28"/>
        <v>503977.67999999993</v>
      </c>
      <c r="AT6" s="270">
        <f>AH6*AS6</f>
        <v>17502514.8543</v>
      </c>
      <c r="AU6" s="78">
        <f>+AG6+AG6*'General details'!D12</f>
        <v>967637.14559999993</v>
      </c>
      <c r="AV6" s="70">
        <f>AH6*(100%+'General details'!$F12)</f>
        <v>36.465187500000006</v>
      </c>
      <c r="AW6" s="70">
        <f>AV6*(100%+'Impact of Price'!$F$3-'Impact of Price'!$F$4)</f>
        <v>36.465187500000006</v>
      </c>
      <c r="AX6" s="70">
        <f t="shared" si="30"/>
        <v>35285069.946268804</v>
      </c>
      <c r="AY6" s="70">
        <f t="shared" si="31"/>
        <v>35285069.946268804</v>
      </c>
      <c r="AZ6" s="70">
        <f>+AU6-AU6*'General details'!E12</f>
        <v>870873.43103999994</v>
      </c>
      <c r="BA6" s="70">
        <f>AM6*(100%+'General details'!$G12)</f>
        <v>72.930375000000012</v>
      </c>
      <c r="BB6" s="70">
        <f>BA6*(100%+'Impact of Price'!$F$6-'Impact of Price'!$F$5)</f>
        <v>72.930375000000012</v>
      </c>
      <c r="BC6" s="70">
        <f t="shared" si="32"/>
        <v>63513125.903283849</v>
      </c>
      <c r="BD6" s="269">
        <f>AZ6*(100%-'Impact khadyasansthan'!$F$3-'Impact khadyasansthan'!$F$5)*BA6*(100%-'Impact khadyasansthan'!$F$4)+AZ6*'Impact khadyasansthan'!$F$3*Inventories!AV6+Inventories!AZ6*'Impact khadyasansthan'!$F$5*Inventories!AV6</f>
        <v>63513125.903283849</v>
      </c>
      <c r="BE6" s="269">
        <f t="shared" si="33"/>
        <v>63513125.903283849</v>
      </c>
      <c r="BF6" s="269">
        <f t="shared" ref="BF6:BF8" si="45">+AU6-AZ6</f>
        <v>96763.714559999993</v>
      </c>
      <c r="BG6" s="70">
        <f t="shared" si="34"/>
        <v>503977.67999999993</v>
      </c>
      <c r="BH6" s="270">
        <f>AV6*BG6</f>
        <v>18377640.597015001</v>
      </c>
      <c r="BI6" s="78">
        <f>+AU6+AU6*'General details'!D12</f>
        <v>1161164.5747199999</v>
      </c>
      <c r="BJ6" s="70">
        <f>AV6*(100%+'General details'!$F12)</f>
        <v>38.288446875000005</v>
      </c>
      <c r="BK6" s="70">
        <f>BJ6*(100%+'Impact of Price'!$G$3-'Impact of Price'!$G$4)</f>
        <v>38.288446875000005</v>
      </c>
      <c r="BL6" s="70">
        <f t="shared" si="36"/>
        <v>44459188.132298693</v>
      </c>
      <c r="BM6" s="70">
        <f t="shared" si="37"/>
        <v>44459188.132298693</v>
      </c>
      <c r="BN6" s="70">
        <f>+BI6-BI6*'General details'!E12</f>
        <v>1045048.1172479999</v>
      </c>
      <c r="BO6" s="70">
        <f>BA6*(100%+'General details'!$G12)</f>
        <v>76.576893750000011</v>
      </c>
      <c r="BP6" s="70">
        <f>BO6*(100%+'Impact of Price'!$G$6-'Impact of Price'!$G$5)</f>
        <v>76.576893750000011</v>
      </c>
      <c r="BQ6" s="70">
        <f t="shared" si="38"/>
        <v>80026538.638137639</v>
      </c>
      <c r="BR6" s="269">
        <f>BN6*(100%-'Impact khadyasansthan'!$G$3-'Impact khadyasansthan'!$G$5)*BO6*(100%-'Impact khadyasansthan'!$F$4)+BN6*'Impact khadyasansthan'!$G$3*Inventories!BJ6+Inventories!BN6*'Impact khadyasansthan'!$G$5*Inventories!BJ6</f>
        <v>80026538.638137639</v>
      </c>
      <c r="BS6" s="269">
        <f t="shared" si="39"/>
        <v>80026538.638137639</v>
      </c>
      <c r="BT6" s="269">
        <f>BI6*('General details'!$E12)</f>
        <v>116116.45747199999</v>
      </c>
      <c r="BU6" s="70">
        <f>BG6+BI6-BN6-BT6</f>
        <v>503977.68</v>
      </c>
      <c r="BV6" s="270">
        <f>BJ6*BU6</f>
        <v>19296522.626865752</v>
      </c>
    </row>
    <row r="7" spans="1:74" x14ac:dyDescent="0.25">
      <c r="B7" s="40">
        <v>0</v>
      </c>
      <c r="C7" s="35" t="s">
        <v>61</v>
      </c>
      <c r="D7" s="78">
        <f>'General details'!N13</f>
        <v>0</v>
      </c>
      <c r="E7" s="70">
        <f>+'General details'!I13+'General details'!I13*'General details'!D13</f>
        <v>136279.6</v>
      </c>
      <c r="F7" s="70">
        <f>'General details'!J13*(100%+'General details'!$F13)</f>
        <v>42</v>
      </c>
      <c r="G7" s="70">
        <f>F7*(100%+'Impact of Price'!$C$3-'Impact of Price'!$C$4)</f>
        <v>42</v>
      </c>
      <c r="H7" s="70">
        <f>F7*E7</f>
        <v>5723743.2000000002</v>
      </c>
      <c r="I7" s="70">
        <f>E7*G7</f>
        <v>5723743.2000000002</v>
      </c>
      <c r="J7" s="269">
        <f>+E7-E7*'General details'!E13</f>
        <v>129465.62000000001</v>
      </c>
      <c r="K7" s="269">
        <f>'General details'!L13*(100%+'General details'!$G13)</f>
        <v>63</v>
      </c>
      <c r="L7" s="269">
        <f>K7*(100%+'Impact of Price'!$C$6-'Impact of Price'!$C$5)</f>
        <v>63</v>
      </c>
      <c r="M7" s="269">
        <f t="shared" si="42"/>
        <v>8156334.0600000005</v>
      </c>
      <c r="N7" s="269">
        <f>J7*(100%-'Impact khadyasansthan'!$C$3-'Impact khadyasansthan'!$C$5)*K7*(100%-'Impact khadyasansthan'!$C$4)+J7*'Impact khadyasansthan'!$C$3*Inventories!F7+Inventories!J7*'Impact khadyasansthan'!$C$5*Inventories!F7</f>
        <v>8156334.0600000005</v>
      </c>
      <c r="O7" s="269">
        <f t="shared" si="18"/>
        <v>8156334.0600000005</v>
      </c>
      <c r="P7" s="269">
        <f>+E7-J7</f>
        <v>6813.9799999999959</v>
      </c>
      <c r="Q7" s="269">
        <f>D7+E7-J7-P7</f>
        <v>0</v>
      </c>
      <c r="R7" s="270">
        <f>Q7*F7</f>
        <v>0</v>
      </c>
      <c r="S7" s="78">
        <f>+E7+E7*'General details'!D13</f>
        <v>156721.54</v>
      </c>
      <c r="T7" s="70">
        <f>F7*(100%+'General details'!$F13)</f>
        <v>44.1</v>
      </c>
      <c r="U7" s="70">
        <f>T7*(100%+'Impact of Price'!$D$3-'Impact of Price'!$D$4)</f>
        <v>44.1</v>
      </c>
      <c r="V7" s="70">
        <f t="shared" si="43"/>
        <v>6911419.9140000008</v>
      </c>
      <c r="W7" s="70">
        <f t="shared" si="19"/>
        <v>6911419.9140000008</v>
      </c>
      <c r="X7" s="70">
        <f>+S7-S7*'General details'!E13</f>
        <v>148885.46300000002</v>
      </c>
      <c r="Y7" s="70">
        <f>K7*(100%+'General details'!$G13)</f>
        <v>66.150000000000006</v>
      </c>
      <c r="Z7" s="70">
        <f>Y7*(100%+'Impact of Price'!$D$6-'Impact of Price'!$D$5)</f>
        <v>66.150000000000006</v>
      </c>
      <c r="AA7" s="70">
        <f t="shared" si="20"/>
        <v>9848773.3774500024</v>
      </c>
      <c r="AB7" s="269">
        <f>X7*(100%-'Impact khadyasansthan'!$D$3-'Impact khadyasansthan'!$D$5)*Y7*(100%-'Impact khadyasansthan'!$D$4)+X7*'Impact khadyasansthan'!$D$3*Inventories!T7+Inventories!X7*'Impact khadyasansthan'!$D$5*Inventories!T7</f>
        <v>9848773.3774500024</v>
      </c>
      <c r="AC7" s="269">
        <f t="shared" si="21"/>
        <v>9848773.3774500024</v>
      </c>
      <c r="AD7" s="269">
        <f>S7*('General details'!$E13)</f>
        <v>7836.0770000000011</v>
      </c>
      <c r="AE7" s="70">
        <f t="shared" si="22"/>
        <v>-1.0913936421275139E-11</v>
      </c>
      <c r="AF7" s="69"/>
      <c r="AG7" s="78">
        <f>+S7+S7*'General details'!D13</f>
        <v>180229.77100000001</v>
      </c>
      <c r="AH7" s="70">
        <f>T7*(100%+'General details'!$F13)</f>
        <v>46.305000000000007</v>
      </c>
      <c r="AI7" s="70">
        <f>AH7*(100%+'Impact of Price'!$E$3-'Impact of Price'!$E$4)</f>
        <v>46.305000000000007</v>
      </c>
      <c r="AJ7" s="70">
        <f t="shared" si="24"/>
        <v>8345539.546155002</v>
      </c>
      <c r="AK7" s="70">
        <f t="shared" si="25"/>
        <v>8345539.546155002</v>
      </c>
      <c r="AL7" s="70">
        <f>+AG7-AG7*'General details'!E13</f>
        <v>171218.28245</v>
      </c>
      <c r="AM7" s="70">
        <f>Y7*(100%+'General details'!$G13)</f>
        <v>69.45750000000001</v>
      </c>
      <c r="AN7" s="70">
        <f>AM7*(100%+'Impact of Price'!$E$6-'Impact of Price'!$E$5)</f>
        <v>69.45750000000001</v>
      </c>
      <c r="AO7" s="70">
        <f t="shared" si="26"/>
        <v>11892393.853270877</v>
      </c>
      <c r="AP7" s="269">
        <f>AL7*(100%-'Impact khadyasansthan'!$E$3-'Impact khadyasansthan'!$E$5)*AM7*(100%-'Impact khadyasansthan'!$E$4)+AL7*'Impact khadyasansthan'!$E$3*Inventories!AH7+Inventories!AL7*'Impact khadyasansthan'!$E$5*Inventories!AH7</f>
        <v>11892393.853270877</v>
      </c>
      <c r="AQ7" s="269">
        <f t="shared" si="27"/>
        <v>11892393.853270877</v>
      </c>
      <c r="AR7" s="269">
        <f t="shared" si="44"/>
        <v>9011.4885500000091</v>
      </c>
      <c r="AS7" s="70">
        <f t="shared" si="28"/>
        <v>0</v>
      </c>
      <c r="AT7" s="71">
        <f t="shared" si="29"/>
        <v>0</v>
      </c>
      <c r="AU7" s="78">
        <f>+AG7+AG7*'General details'!D13</f>
        <v>207264.23665000001</v>
      </c>
      <c r="AV7" s="70">
        <f>AH7*(100%+'General details'!$F13)</f>
        <v>48.620250000000006</v>
      </c>
      <c r="AW7" s="70">
        <f>AV7*(100%+'Impact of Price'!$F$3-'Impact of Price'!$F$4)</f>
        <v>48.620250000000006</v>
      </c>
      <c r="AX7" s="70">
        <f t="shared" si="30"/>
        <v>10077239.001982164</v>
      </c>
      <c r="AY7" s="70">
        <f t="shared" si="31"/>
        <v>10077239.001982164</v>
      </c>
      <c r="AZ7" s="70">
        <f>+AU7-AU7*'General details'!E13</f>
        <v>196901.0248175</v>
      </c>
      <c r="BA7" s="70">
        <f>AM7*(100%+'General details'!$G13)</f>
        <v>72.930375000000012</v>
      </c>
      <c r="BB7" s="70">
        <f>BA7*(100%+'Impact of Price'!$F$6-'Impact of Price'!$F$5)</f>
        <v>72.930375000000012</v>
      </c>
      <c r="BC7" s="70">
        <f t="shared" si="32"/>
        <v>14360065.577824583</v>
      </c>
      <c r="BD7" s="269">
        <f>AZ7*(100%-'Impact khadyasansthan'!$F$3-'Impact khadyasansthan'!$F$5)*BA7*(100%-'Impact khadyasansthan'!$F$4)+AZ7*'Impact khadyasansthan'!$F$3*Inventories!AV7+Inventories!AZ7*'Impact khadyasansthan'!$F$5*Inventories!AV7</f>
        <v>14360065.577824583</v>
      </c>
      <c r="BE7" s="269">
        <f t="shared" si="33"/>
        <v>14360065.577824583</v>
      </c>
      <c r="BF7" s="269">
        <f t="shared" si="45"/>
        <v>10363.211832500005</v>
      </c>
      <c r="BG7" s="70">
        <f t="shared" si="34"/>
        <v>0</v>
      </c>
      <c r="BH7" s="71">
        <f t="shared" si="35"/>
        <v>0</v>
      </c>
      <c r="BI7" s="78">
        <f>+AU7+AU7*'General details'!D13</f>
        <v>238353.87214749999</v>
      </c>
      <c r="BJ7" s="70">
        <f>AV7*(100%+'General details'!$F13)</f>
        <v>51.051262500000007</v>
      </c>
      <c r="BK7" s="70">
        <f>BJ7*(100%+'Impact of Price'!$G$3-'Impact of Price'!$G$4)</f>
        <v>51.051262500000007</v>
      </c>
      <c r="BL7" s="70">
        <f t="shared" si="36"/>
        <v>12168266.094893463</v>
      </c>
      <c r="BM7" s="70">
        <f t="shared" si="37"/>
        <v>12168266.094893463</v>
      </c>
      <c r="BN7" s="70">
        <f>+BI7-BI7*'General details'!E13</f>
        <v>226436.17854012499</v>
      </c>
      <c r="BO7" s="70">
        <f>BA7*(100%+'General details'!$G13)</f>
        <v>76.576893750000011</v>
      </c>
      <c r="BP7" s="70">
        <f>BO7*(100%+'Impact of Price'!$G$6-'Impact of Price'!$G$5)</f>
        <v>76.576893750000011</v>
      </c>
      <c r="BQ7" s="70">
        <f t="shared" si="38"/>
        <v>17339779.185223185</v>
      </c>
      <c r="BR7" s="269">
        <f>BN7*(100%-'Impact khadyasansthan'!$G$3-'Impact khadyasansthan'!$G$5)*BO7*(100%-'Impact khadyasansthan'!$F$4)+BN7*'Impact khadyasansthan'!$G$3*Inventories!BJ7+Inventories!BN7*'Impact khadyasansthan'!$G$5*Inventories!BJ7</f>
        <v>17339779.185223185</v>
      </c>
      <c r="BS7" s="269">
        <f t="shared" si="39"/>
        <v>17339779.185223185</v>
      </c>
      <c r="BT7" s="269">
        <f>BI7*('General details'!$E13)</f>
        <v>11917.693607375</v>
      </c>
      <c r="BU7" s="70">
        <f t="shared" si="40"/>
        <v>0</v>
      </c>
      <c r="BV7" s="71">
        <f t="shared" si="41"/>
        <v>0</v>
      </c>
    </row>
    <row r="8" spans="1:74" x14ac:dyDescent="0.25">
      <c r="B8" s="40">
        <v>1</v>
      </c>
      <c r="C8" s="35" t="s">
        <v>62</v>
      </c>
      <c r="D8" s="78">
        <f>'General details'!N14</f>
        <v>6624</v>
      </c>
      <c r="E8" s="70">
        <f>+'General details'!I14+'General details'!I14*'General details'!D14</f>
        <v>8096</v>
      </c>
      <c r="F8" s="70">
        <f>'General details'!J14*(100%+'General details'!$F14)</f>
        <v>84</v>
      </c>
      <c r="G8" s="70">
        <f>F8*(100%+'Impact of Price'!$C$3-'Impact of Price'!$C$4)</f>
        <v>84</v>
      </c>
      <c r="H8" s="70">
        <f>F8*E8</f>
        <v>680064</v>
      </c>
      <c r="I8" s="70">
        <f>E8*G8</f>
        <v>680064</v>
      </c>
      <c r="J8" s="269">
        <f>+E8-E8*'General details'!E14</f>
        <v>7286.4</v>
      </c>
      <c r="K8" s="70">
        <f>'General details'!L14*(100%+'General details'!$G14)</f>
        <v>136.5</v>
      </c>
      <c r="L8" s="269">
        <f>K8*(100%+'Impact of Price'!$C$6-'Impact of Price'!$C$5)</f>
        <v>136.5</v>
      </c>
      <c r="M8" s="269">
        <f t="shared" si="42"/>
        <v>994593.6</v>
      </c>
      <c r="N8" s="269">
        <f>J8*(100%-'Impact khadyasansthan'!$C$3-'Impact khadyasansthan'!$C$5)*K8*(100%-'Impact khadyasansthan'!$C$4)+J8*'Impact khadyasansthan'!$C$3*Inventories!F8+Inventories!J8*'Impact khadyasansthan'!$C$5*Inventories!F8</f>
        <v>994593.6</v>
      </c>
      <c r="O8" s="269">
        <f t="shared" si="18"/>
        <v>994593.6</v>
      </c>
      <c r="P8" s="269">
        <f>+E8-J8</f>
        <v>809.60000000000036</v>
      </c>
      <c r="Q8" s="70">
        <f>D8+E8-J8-P8</f>
        <v>6624</v>
      </c>
      <c r="R8" s="270">
        <f>F8*Q8</f>
        <v>556416</v>
      </c>
      <c r="S8" s="78">
        <f>+E8+E8*'General details'!D14</f>
        <v>8905.6</v>
      </c>
      <c r="T8" s="70">
        <f>F8*(100%+'General details'!$F14)</f>
        <v>88.2</v>
      </c>
      <c r="U8" s="70">
        <f>T8*(100%+'Impact of Price'!$D$3-'Impact of Price'!$D$4)</f>
        <v>88.2</v>
      </c>
      <c r="V8" s="70">
        <f t="shared" si="43"/>
        <v>785473.92</v>
      </c>
      <c r="W8" s="70">
        <f t="shared" si="19"/>
        <v>785473.92</v>
      </c>
      <c r="X8" s="70">
        <f>+S8-S8*'General details'!E14</f>
        <v>8015.04</v>
      </c>
      <c r="Y8" s="70">
        <f>K8*(100%+'General details'!$G14)</f>
        <v>143.32500000000002</v>
      </c>
      <c r="Z8" s="70">
        <f>Y8*(100%+'Impact of Price'!$D$6-'Impact of Price'!$D$5)</f>
        <v>143.32500000000002</v>
      </c>
      <c r="AA8" s="70">
        <f t="shared" si="20"/>
        <v>1148755.6080000002</v>
      </c>
      <c r="AB8" s="269">
        <f>X8*(100%-'Impact khadyasansthan'!$D$3-'Impact khadyasansthan'!$D$5)*Y8*(100%-'Impact khadyasansthan'!$D$4)+X8*'Impact khadyasansthan'!$D$3*Inventories!T8+Inventories!X8*'Impact khadyasansthan'!$D$5*Inventories!T8</f>
        <v>1148755.6080000002</v>
      </c>
      <c r="AC8" s="269">
        <f t="shared" si="21"/>
        <v>1148755.6080000002</v>
      </c>
      <c r="AD8" s="269">
        <f>S8*('General details'!$E14)</f>
        <v>890.56000000000006</v>
      </c>
      <c r="AE8" s="70">
        <f t="shared" si="22"/>
        <v>6624</v>
      </c>
      <c r="AF8" s="270">
        <f>T8*AE8</f>
        <v>584236.80000000005</v>
      </c>
      <c r="AG8" s="78">
        <f>+S8+S8*'General details'!D14</f>
        <v>9796.16</v>
      </c>
      <c r="AH8" s="70">
        <f>T8*(100%+'General details'!$F14)</f>
        <v>92.610000000000014</v>
      </c>
      <c r="AI8" s="70">
        <f>AH8*(100%+'Impact of Price'!$E$3-'Impact of Price'!$E$4)</f>
        <v>92.610000000000014</v>
      </c>
      <c r="AJ8" s="70">
        <f t="shared" si="24"/>
        <v>907222.37760000012</v>
      </c>
      <c r="AK8" s="70">
        <f t="shared" si="25"/>
        <v>907222.37760000012</v>
      </c>
      <c r="AL8" s="70">
        <f>+AG8-AG8*'General details'!E14</f>
        <v>8816.5439999999999</v>
      </c>
      <c r="AM8" s="70">
        <f>Y8*(100%+'General details'!$G14)</f>
        <v>150.49125000000004</v>
      </c>
      <c r="AN8" s="70">
        <f>AM8*(100%+'Impact of Price'!$E$6-'Impact of Price'!$E$5)</f>
        <v>150.49125000000004</v>
      </c>
      <c r="AO8" s="70">
        <f t="shared" si="26"/>
        <v>1326812.7272400004</v>
      </c>
      <c r="AP8" s="269">
        <f>AL8*(100%-'Impact khadyasansthan'!$E$3-'Impact khadyasansthan'!$E$5)*AM8*(100%-'Impact khadyasansthan'!$E$4)+AL8*'Impact khadyasansthan'!$E$3*Inventories!AH8+Inventories!AL8*'Impact khadyasansthan'!$E$5*Inventories!AH8</f>
        <v>1326812.7272400004</v>
      </c>
      <c r="AQ8" s="269">
        <f t="shared" si="27"/>
        <v>1326812.7272400004</v>
      </c>
      <c r="AR8" s="269">
        <f t="shared" si="44"/>
        <v>979.61599999999999</v>
      </c>
      <c r="AS8" s="70">
        <f t="shared" si="28"/>
        <v>6624</v>
      </c>
      <c r="AT8" s="270">
        <f>AH8*AS8</f>
        <v>613448.64000000013</v>
      </c>
      <c r="AU8" s="78">
        <f>+AG8+AG8*'General details'!D14</f>
        <v>10775.776</v>
      </c>
      <c r="AV8" s="70">
        <f>AH8*(100%+'General details'!$F14)</f>
        <v>97.240500000000011</v>
      </c>
      <c r="AW8" s="70">
        <f>AV8*(100%+'Impact of Price'!$F$3-'Impact of Price'!$F$4)</f>
        <v>97.240500000000011</v>
      </c>
      <c r="AX8" s="70">
        <f t="shared" si="30"/>
        <v>1047841.8461280001</v>
      </c>
      <c r="AY8" s="70">
        <f t="shared" si="31"/>
        <v>1047841.8461280001</v>
      </c>
      <c r="AZ8" s="70">
        <f>+AU8-AU8*'General details'!E14</f>
        <v>9698.1983999999993</v>
      </c>
      <c r="BA8" s="70">
        <f>AM8*(100%+'General details'!$G14)</f>
        <v>158.01581250000004</v>
      </c>
      <c r="BB8" s="70">
        <f>BA8*(100%+'Impact of Price'!$F$6-'Impact of Price'!$F$5)</f>
        <v>158.01581250000004</v>
      </c>
      <c r="BC8" s="70">
        <f t="shared" si="32"/>
        <v>1532468.6999622004</v>
      </c>
      <c r="BD8" s="269">
        <f>AZ8*(100%-'Impact khadyasansthan'!$F$3-'Impact khadyasansthan'!$F$5)*BA8*(100%-'Impact khadyasansthan'!$F$4)+AZ8*'Impact khadyasansthan'!$F$3*Inventories!AV8+Inventories!AZ8*'Impact khadyasansthan'!$F$5*Inventories!AV8</f>
        <v>1532468.6999622004</v>
      </c>
      <c r="BE8" s="269">
        <f t="shared" si="33"/>
        <v>1532468.6999622004</v>
      </c>
      <c r="BF8" s="269">
        <f t="shared" si="45"/>
        <v>1077.5776000000005</v>
      </c>
      <c r="BG8" s="70">
        <f t="shared" si="34"/>
        <v>6623.9999999999982</v>
      </c>
      <c r="BH8" s="270">
        <f>AV8*BG8</f>
        <v>644121.07199999993</v>
      </c>
      <c r="BI8" s="78">
        <f>+AU8+AU8*'General details'!D14</f>
        <v>11853.3536</v>
      </c>
      <c r="BJ8" s="70">
        <f>AV8*(100%+'General details'!$F14)</f>
        <v>102.10252500000001</v>
      </c>
      <c r="BK8" s="70">
        <f>BJ8*(100%+'Impact of Price'!$G$3-'Impact of Price'!$G$4)</f>
        <v>102.10252500000001</v>
      </c>
      <c r="BL8" s="70">
        <f t="shared" si="36"/>
        <v>1210257.3322778402</v>
      </c>
      <c r="BM8" s="70">
        <f t="shared" si="37"/>
        <v>1210257.3322778402</v>
      </c>
      <c r="BN8" s="70">
        <f>+BI8-BI8*'General details'!E14</f>
        <v>10668.018240000001</v>
      </c>
      <c r="BO8" s="70">
        <f>BA8*(100%+'General details'!$G14)</f>
        <v>165.91660312500005</v>
      </c>
      <c r="BP8" s="70">
        <f>BO8*(100%+'Impact of Price'!$G$6-'Impact of Price'!$G$5)</f>
        <v>165.91660312500005</v>
      </c>
      <c r="BQ8" s="70">
        <f t="shared" si="38"/>
        <v>1770001.3484563418</v>
      </c>
      <c r="BR8" s="269">
        <f>BN8*(100%-'Impact khadyasansthan'!$G$3-'Impact khadyasansthan'!$G$5)*BO8*(100%-'Impact khadyasansthan'!$F$4)+BN8*'Impact khadyasansthan'!$G$3*Inventories!BJ8+Inventories!BN8*'Impact khadyasansthan'!$G$5*Inventories!BJ8</f>
        <v>1770001.3484563418</v>
      </c>
      <c r="BS8" s="269">
        <f t="shared" si="39"/>
        <v>1770001.3484563418</v>
      </c>
      <c r="BT8" s="269">
        <f>BI8*('General details'!$E14)</f>
        <v>1185.33536</v>
      </c>
      <c r="BU8" s="70">
        <f t="shared" si="40"/>
        <v>6623.9999999999973</v>
      </c>
      <c r="BV8" s="270">
        <f>BJ8*BU8</f>
        <v>676327.1255999998</v>
      </c>
    </row>
    <row r="9" spans="1:74" ht="15.75" thickBot="1" x14ac:dyDescent="0.3">
      <c r="D9" s="95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96"/>
      <c r="S9" s="95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96"/>
      <c r="AG9" s="95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96"/>
      <c r="AU9" s="9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96"/>
      <c r="BI9" s="95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96"/>
    </row>
    <row r="10" spans="1:74" x14ac:dyDescent="0.25">
      <c r="C10" s="35" t="s">
        <v>54</v>
      </c>
      <c r="D10" s="85">
        <f>SUM(D5:D9)</f>
        <v>426605.4</v>
      </c>
      <c r="E10" s="85">
        <f>SUM(E5:E9)</f>
        <v>1356647.2896</v>
      </c>
      <c r="F10" s="86"/>
      <c r="G10" s="86"/>
      <c r="H10" s="85">
        <f>SUM(H5:H9)</f>
        <v>38768619.252719998</v>
      </c>
      <c r="I10" s="85">
        <f>SUM(I5:I9)</f>
        <v>38768619.252719998</v>
      </c>
      <c r="J10" s="85">
        <f>SUM(J5:J9)</f>
        <v>1195181.7161599998</v>
      </c>
      <c r="K10" s="86"/>
      <c r="L10" s="86"/>
      <c r="M10" s="85">
        <f>SUM(M5:M9)</f>
        <v>65935030.029624</v>
      </c>
      <c r="N10" s="85">
        <f>SUM(N5:N9)</f>
        <v>65935030.029624</v>
      </c>
      <c r="O10" s="85">
        <f>SUM(O5:O9)</f>
        <v>65935030.029624</v>
      </c>
      <c r="P10" s="86"/>
      <c r="Q10" s="85">
        <f>SUM(Q5:Q9)</f>
        <v>510601.67999999993</v>
      </c>
      <c r="R10" s="85">
        <f>SUM(R5:R9)</f>
        <v>16431712.919999998</v>
      </c>
      <c r="S10" s="85">
        <f>SUM(S5:S9)</f>
        <v>1594261.3079360002</v>
      </c>
      <c r="T10" s="87"/>
      <c r="U10" s="87"/>
      <c r="V10" s="88">
        <f>SUM(V5:V9)</f>
        <v>47858082.103812963</v>
      </c>
      <c r="W10" s="88">
        <f>SUM(W5:W9)</f>
        <v>47858082.103812963</v>
      </c>
      <c r="X10" s="87"/>
      <c r="Y10" s="87"/>
      <c r="Z10" s="87"/>
      <c r="AA10" s="88">
        <f>SUM(AA5:AA9)</f>
        <v>81494090.612932026</v>
      </c>
      <c r="AB10" s="85">
        <f>SUM(AB5:AB9)</f>
        <v>81494090.612932026</v>
      </c>
      <c r="AC10" s="88">
        <f>SUM(AC5:AC9)</f>
        <v>81494090.612932026</v>
      </c>
      <c r="AD10" s="87"/>
      <c r="AE10" s="88">
        <f>SUM(AE5:AE9)</f>
        <v>510601.67999999993</v>
      </c>
      <c r="AF10" s="88">
        <f>SUM(AF5:AF9)</f>
        <v>17253298.566</v>
      </c>
      <c r="AG10" s="88">
        <f>SUM(AG5:AG9)</f>
        <v>1874120.3754057598</v>
      </c>
      <c r="AH10" s="89"/>
      <c r="AI10" s="89"/>
      <c r="AJ10" s="90">
        <f>SUM(AJ5:AJ9)</f>
        <v>59102556.695283189</v>
      </c>
      <c r="AK10" s="90">
        <f>SUM(AK5:AK9)</f>
        <v>59102556.695283189</v>
      </c>
      <c r="AL10" s="89"/>
      <c r="AM10" s="89"/>
      <c r="AN10" s="89"/>
      <c r="AO10" s="90">
        <f>SUM(AO5:AO9)</f>
        <v>100764260.0687968</v>
      </c>
      <c r="AP10" s="90">
        <f>SUM(AP5:AP9)</f>
        <v>100764260.0687968</v>
      </c>
      <c r="AQ10" s="90">
        <f>SUM(AQ5:AQ9)</f>
        <v>100764260.0687968</v>
      </c>
      <c r="AR10" s="89"/>
      <c r="AS10" s="88">
        <f>SUM(AS5:AS9)</f>
        <v>510601.67999999993</v>
      </c>
      <c r="AT10" s="90">
        <f>SUM(AT5:AT9)</f>
        <v>18115963.4943</v>
      </c>
      <c r="AU10" s="88">
        <f>SUM(AU5:AU9)</f>
        <v>2203844.1396806813</v>
      </c>
      <c r="AV10" s="91"/>
      <c r="AW10" s="91"/>
      <c r="AX10" s="92">
        <f>SUM(AX5:AX9)</f>
        <v>73018299.878040463</v>
      </c>
      <c r="AY10" s="94">
        <f>SUM(AY5:AY9)</f>
        <v>73018299.878040463</v>
      </c>
      <c r="AZ10" s="91"/>
      <c r="BA10" s="91"/>
      <c r="BB10" s="91"/>
      <c r="BC10" s="92">
        <f>SUM(BC5:BC9)</f>
        <v>124639513.62329516</v>
      </c>
      <c r="BD10" s="92">
        <f t="shared" ref="BD10:BF10" si="46">SUM(BD5:BD9)</f>
        <v>124639513.62329516</v>
      </c>
      <c r="BE10" s="92">
        <f t="shared" si="46"/>
        <v>124639513.62329516</v>
      </c>
      <c r="BF10" s="92">
        <f t="shared" si="46"/>
        <v>260929.55120710222</v>
      </c>
      <c r="BG10" s="88">
        <f>SUM(BG5:BG9)</f>
        <v>510601.67999999993</v>
      </c>
      <c r="BH10" s="92">
        <f>SUM(BH5:BH9)</f>
        <v>19021761.669015002</v>
      </c>
      <c r="BI10" s="88">
        <f>SUM(BI5:BI9)</f>
        <v>2592445.4989270908</v>
      </c>
      <c r="BJ10" s="93"/>
      <c r="BK10" s="93"/>
      <c r="BL10" s="94">
        <f>SUM(BL5:BL9)</f>
        <v>90246437.143369675</v>
      </c>
      <c r="BM10" s="94">
        <f>SUM(BM5:BM9)</f>
        <v>90246437.143369675</v>
      </c>
      <c r="BN10" s="93"/>
      <c r="BO10" s="93"/>
      <c r="BP10" s="93"/>
      <c r="BQ10" s="94">
        <f>SUM(BQ5:BQ9)</f>
        <v>154231152.66444665</v>
      </c>
      <c r="BR10" s="94">
        <f>SUM(BR5:BR9)</f>
        <v>154231152.66444665</v>
      </c>
      <c r="BS10" s="94">
        <f>SUM(BS5:BS9)</f>
        <v>154231152.66444665</v>
      </c>
      <c r="BT10" s="93"/>
      <c r="BU10" s="88">
        <f>SUM(BU5:BU9)</f>
        <v>510601.68</v>
      </c>
      <c r="BV10" s="94">
        <f>SUM(BV5:BV9)</f>
        <v>19972849.752465751</v>
      </c>
    </row>
    <row r="13" spans="1:74" x14ac:dyDescent="0.25">
      <c r="D13" s="35">
        <v>0</v>
      </c>
      <c r="E13" s="35">
        <v>1</v>
      </c>
      <c r="F13" s="35">
        <v>2</v>
      </c>
      <c r="H13" s="40">
        <v>3</v>
      </c>
      <c r="I13" s="40"/>
      <c r="J13" s="40">
        <v>4</v>
      </c>
      <c r="K13" s="40">
        <v>5</v>
      </c>
      <c r="L13" s="40"/>
    </row>
    <row r="14" spans="1:74" x14ac:dyDescent="0.25">
      <c r="C14" s="35" t="s">
        <v>274</v>
      </c>
      <c r="D14" s="60"/>
      <c r="E14" s="267">
        <v>0.2</v>
      </c>
      <c r="F14" s="60">
        <f>(S10-E10)/E10</f>
        <v>0.17514796967313392</v>
      </c>
      <c r="G14" s="60"/>
      <c r="H14" s="60">
        <f>(AG10-S10)/S10</f>
        <v>0.17554152890536953</v>
      </c>
      <c r="I14" s="60"/>
      <c r="J14" s="60">
        <f>(AU10-AG10)/AG10</f>
        <v>0.17593521131401929</v>
      </c>
      <c r="K14" s="60">
        <f>(BI10-AU10)/AU10</f>
        <v>0.17632887564486052</v>
      </c>
      <c r="L14" s="60"/>
    </row>
  </sheetData>
  <mergeCells count="5">
    <mergeCell ref="D3:Q3"/>
    <mergeCell ref="S3:AE3"/>
    <mergeCell ref="AG3:AS3"/>
    <mergeCell ref="AU3:BG3"/>
    <mergeCell ref="BI3:BU3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I86"/>
  <sheetViews>
    <sheetView zoomScale="118" zoomScaleNormal="118" workbookViewId="0">
      <selection activeCell="I10" sqref="I10"/>
    </sheetView>
  </sheetViews>
  <sheetFormatPr defaultRowHeight="15" x14ac:dyDescent="0.25"/>
  <cols>
    <col min="1" max="1" width="36" customWidth="1"/>
    <col min="2" max="2" width="15" bestFit="1" customWidth="1"/>
    <col min="3" max="3" width="15" style="453" customWidth="1"/>
    <col min="4" max="5" width="14.85546875" bestFit="1" customWidth="1"/>
    <col min="6" max="7" width="15.28515625" bestFit="1" customWidth="1"/>
    <col min="8" max="8" width="15.85546875" bestFit="1" customWidth="1"/>
  </cols>
  <sheetData>
    <row r="1" spans="1:9" ht="21" x14ac:dyDescent="0.35">
      <c r="A1" s="268" t="s">
        <v>354</v>
      </c>
    </row>
    <row r="4" spans="1:9" x14ac:dyDescent="0.25">
      <c r="A4" s="99" t="s">
        <v>1</v>
      </c>
      <c r="B4" s="99" t="s">
        <v>449</v>
      </c>
      <c r="C4" s="454" t="s">
        <v>3</v>
      </c>
      <c r="D4" s="99">
        <v>1</v>
      </c>
      <c r="E4" s="99">
        <v>2</v>
      </c>
      <c r="F4" s="99">
        <v>3</v>
      </c>
      <c r="G4" s="99">
        <v>4</v>
      </c>
      <c r="H4" s="99">
        <v>5</v>
      </c>
    </row>
    <row r="5" spans="1:9" x14ac:dyDescent="0.25">
      <c r="A5" t="s">
        <v>56</v>
      </c>
      <c r="B5" s="10">
        <f>Audited!C102</f>
        <v>11490620.66</v>
      </c>
      <c r="C5" s="455">
        <f>+'General details'!H18</f>
        <v>13159260</v>
      </c>
      <c r="D5" s="10">
        <f>B8</f>
        <v>14632004.15</v>
      </c>
      <c r="E5" s="10">
        <f>D8</f>
        <v>16431712.919999998</v>
      </c>
      <c r="F5" s="10">
        <f>E8</f>
        <v>17253298.566</v>
      </c>
      <c r="G5" s="10">
        <f>F8</f>
        <v>18115963.4943</v>
      </c>
      <c r="H5" s="10">
        <f>G8</f>
        <v>19021761.669015002</v>
      </c>
    </row>
    <row r="6" spans="1:9" x14ac:dyDescent="0.25">
      <c r="A6" t="s">
        <v>57</v>
      </c>
      <c r="B6" s="10">
        <f>Audited!M47</f>
        <v>42805784</v>
      </c>
      <c r="C6" s="455">
        <f>+'General details'!Q17</f>
        <v>31418318.039999999</v>
      </c>
      <c r="D6" s="10">
        <f>Inventories!H10</f>
        <v>38768619.252719998</v>
      </c>
      <c r="E6" s="10">
        <f>Inventories!V10</f>
        <v>47858082.103812963</v>
      </c>
      <c r="F6" s="10">
        <f>Inventories!AJ10</f>
        <v>59102556.695283189</v>
      </c>
      <c r="G6" s="10">
        <f>Inventories!AX10</f>
        <v>73018299.878040463</v>
      </c>
      <c r="H6" s="10">
        <f>Inventories!BL10</f>
        <v>90246437.143369675</v>
      </c>
    </row>
    <row r="7" spans="1:9" x14ac:dyDescent="0.25">
      <c r="A7" t="s">
        <v>118</v>
      </c>
      <c r="B7" s="10">
        <f t="shared" ref="B7:H7" si="0">B32</f>
        <v>12251550.75</v>
      </c>
      <c r="C7" s="455">
        <f t="shared" si="0"/>
        <v>9788985.75</v>
      </c>
      <c r="D7" s="10">
        <f t="shared" si="0"/>
        <v>11754082.9</v>
      </c>
      <c r="E7" s="10">
        <f t="shared" si="0"/>
        <v>13683554.691857813</v>
      </c>
      <c r="F7" s="10">
        <f t="shared" si="0"/>
        <v>15942687.159342356</v>
      </c>
      <c r="G7" s="10">
        <f t="shared" si="0"/>
        <v>18589558.396329526</v>
      </c>
      <c r="H7" s="10">
        <f t="shared" si="0"/>
        <v>21692723.583617542</v>
      </c>
    </row>
    <row r="8" spans="1:9" x14ac:dyDescent="0.25">
      <c r="A8" s="100" t="s">
        <v>119</v>
      </c>
      <c r="B8" s="10">
        <f>'Balance Sheet'!D40</f>
        <v>14632004.15</v>
      </c>
      <c r="C8" s="455">
        <v>13129362</v>
      </c>
      <c r="D8" s="10">
        <f>Inventories!R10</f>
        <v>16431712.919999998</v>
      </c>
      <c r="E8" s="10">
        <f>+Inventories!AF10</f>
        <v>17253298.566</v>
      </c>
      <c r="F8" s="10">
        <f>Inventories!AT10</f>
        <v>18115963.4943</v>
      </c>
      <c r="G8" s="10">
        <f>Inventories!BH10</f>
        <v>19021761.669015002</v>
      </c>
      <c r="H8" s="10">
        <f>Inventories!BV10</f>
        <v>19972849.752465751</v>
      </c>
    </row>
    <row r="9" spans="1:9" x14ac:dyDescent="0.25">
      <c r="B9" s="10"/>
      <c r="C9" s="455"/>
      <c r="D9" s="10"/>
      <c r="E9" s="10"/>
      <c r="F9" s="10"/>
      <c r="G9" s="10"/>
      <c r="H9" s="10"/>
    </row>
    <row r="10" spans="1:9" x14ac:dyDescent="0.25">
      <c r="A10" t="s">
        <v>393</v>
      </c>
      <c r="B10" s="10">
        <f>B5+B6+B7-B8</f>
        <v>51915951.259999998</v>
      </c>
      <c r="C10" s="455">
        <f t="shared" ref="C10:H10" si="1">C5+C6+C7-C8</f>
        <v>41237201.789999999</v>
      </c>
      <c r="D10" s="10">
        <f t="shared" si="1"/>
        <v>48722993.382719994</v>
      </c>
      <c r="E10" s="10">
        <f t="shared" si="1"/>
        <v>60720051.14967078</v>
      </c>
      <c r="F10" s="10">
        <f t="shared" si="1"/>
        <v>74182578.92632553</v>
      </c>
      <c r="G10" s="10">
        <f t="shared" si="1"/>
        <v>90702060.099654987</v>
      </c>
      <c r="H10" s="10">
        <f t="shared" si="1"/>
        <v>110988072.64353646</v>
      </c>
    </row>
    <row r="11" spans="1:9" x14ac:dyDescent="0.25">
      <c r="D11" s="13">
        <f>D6+D67</f>
        <v>43077919.252719998</v>
      </c>
    </row>
    <row r="13" spans="1:9" x14ac:dyDescent="0.25">
      <c r="A13" s="505" t="s">
        <v>118</v>
      </c>
      <c r="B13" s="505"/>
      <c r="C13" s="505"/>
      <c r="D13" s="505"/>
      <c r="E13" s="505"/>
      <c r="F13" s="505"/>
      <c r="G13" s="505"/>
      <c r="H13" s="505"/>
    </row>
    <row r="14" spans="1:9" x14ac:dyDescent="0.25">
      <c r="A14" s="30" t="str">
        <f>'General details'!B23</f>
        <v>PLANT BREEDER</v>
      </c>
      <c r="B14" s="10">
        <f>Audited!D52</f>
        <v>0</v>
      </c>
      <c r="C14" s="455"/>
      <c r="D14" s="10">
        <v>150000</v>
      </c>
      <c r="E14" s="10">
        <f>IFERROR(D14*(100%+'General details'!$G23),D14*(100%+Inventories!F$14))</f>
        <v>165000</v>
      </c>
      <c r="F14" s="10">
        <f>IFERROR(E14*(100%+'General details'!$G23),E14*(100%+Inventories!H$14))</f>
        <v>181500.00000000003</v>
      </c>
      <c r="G14" s="10">
        <f>IFERROR(F14*(100%+'General details'!$G23),F14*(100%+Inventories!J$14))</f>
        <v>199650.00000000006</v>
      </c>
      <c r="H14" s="10">
        <f>IFERROR(G14*(100%+'General details'!$G23),G14*(100%+Inventories!K$14))</f>
        <v>219615.00000000009</v>
      </c>
      <c r="I14" t="s">
        <v>276</v>
      </c>
    </row>
    <row r="15" spans="1:9" x14ac:dyDescent="0.25">
      <c r="A15" s="30" t="str">
        <f>'General details'!B24</f>
        <v>SEED TECHNOLOGIST</v>
      </c>
      <c r="B15" s="10">
        <f>Audited!D53</f>
        <v>399500</v>
      </c>
      <c r="C15" s="455">
        <f>'General details'!I24</f>
        <v>399500</v>
      </c>
      <c r="D15" s="10">
        <f>IFERROR(C15*(100%+'General details'!$G24),C15*(100%+Inventories!E$14))</f>
        <v>439450.00000000006</v>
      </c>
      <c r="E15" s="10">
        <f>IFERROR(D15*(100%+'General details'!$G24),D15*(100%+Inventories!F$14))</f>
        <v>483395.00000000012</v>
      </c>
      <c r="F15" s="10">
        <f>IFERROR(E15*(100%+'General details'!$G24),E15*(100%+Inventories!H$14))</f>
        <v>531734.50000000012</v>
      </c>
      <c r="G15" s="10">
        <f>IFERROR(F15*(100%+'General details'!$G24),F15*(100%+Inventories!J$14))</f>
        <v>584907.95000000019</v>
      </c>
      <c r="H15" s="10">
        <f>IFERROR(G15*(100%+'General details'!$G24),G15*(100%+Inventories!K$14))</f>
        <v>643398.74500000023</v>
      </c>
      <c r="I15" t="s">
        <v>276</v>
      </c>
    </row>
    <row r="16" spans="1:9" x14ac:dyDescent="0.25">
      <c r="A16" s="30" t="str">
        <f>'General details'!B25</f>
        <v>AGRICULTURE TECHNICIAN</v>
      </c>
      <c r="B16" s="10">
        <f>Audited!D54</f>
        <v>832500</v>
      </c>
      <c r="C16" s="455">
        <f>'General details'!I25</f>
        <v>832500</v>
      </c>
      <c r="D16" s="10">
        <f>IFERROR(C16*(100%+'General details'!$G25),C16*(100%+Inventories!E$14))</f>
        <v>915750.00000000012</v>
      </c>
      <c r="E16" s="10">
        <f>IFERROR(D16*(100%+'General details'!$G25),D16*(100%+Inventories!F$14))</f>
        <v>1007325.0000000002</v>
      </c>
      <c r="F16" s="10">
        <f>IFERROR(E16*(100%+'General details'!$G25),E16*(100%+Inventories!H$14))</f>
        <v>1108057.5000000002</v>
      </c>
      <c r="G16" s="10">
        <f>IFERROR(F16*(100%+'General details'!$G25),F16*(100%+Inventories!J$14))</f>
        <v>1218863.2500000005</v>
      </c>
      <c r="H16" s="10">
        <f>IFERROR(G16*(100%+'General details'!$G25),G16*(100%+Inventories!K$14))</f>
        <v>1340749.5750000007</v>
      </c>
      <c r="I16" t="s">
        <v>276</v>
      </c>
    </row>
    <row r="17" spans="1:9" x14ac:dyDescent="0.25">
      <c r="A17" s="30" t="str">
        <f>'General details'!B26</f>
        <v>MACHINE OPERATOR</v>
      </c>
      <c r="B17" s="10">
        <f>Audited!D55</f>
        <v>239500</v>
      </c>
      <c r="C17" s="455">
        <f>'General details'!I26</f>
        <v>195000</v>
      </c>
      <c r="D17" s="10">
        <f>IFERROR(C17*(100%+'General details'!$G26),C17*(100%+Inventories!E$14))</f>
        <v>214500.00000000003</v>
      </c>
      <c r="E17" s="10">
        <f>IFERROR(D17*(100%+'General details'!$G26),D17*(100%+Inventories!F$14))</f>
        <v>235950.00000000006</v>
      </c>
      <c r="F17" s="10">
        <f>IFERROR(E17*(100%+'General details'!$G26),E17*(100%+Inventories!H$14))</f>
        <v>259545.00000000009</v>
      </c>
      <c r="G17" s="10">
        <f>IFERROR(F17*(100%+'General details'!$G26),F17*(100%+Inventories!J$14))</f>
        <v>285499.50000000012</v>
      </c>
      <c r="H17" s="10">
        <f>IFERROR(G17*(100%+'General details'!$G26),G17*(100%+Inventories!K$14))</f>
        <v>314049.45000000013</v>
      </c>
      <c r="I17" t="s">
        <v>276</v>
      </c>
    </row>
    <row r="18" spans="1:9" x14ac:dyDescent="0.25">
      <c r="A18" s="30" t="str">
        <f>'General details'!B27</f>
        <v>DAILY LABOUR</v>
      </c>
      <c r="B18" s="10">
        <f>Audited!D56</f>
        <v>2695508</v>
      </c>
      <c r="C18" s="455">
        <f>'General details'!I27</f>
        <v>1300000</v>
      </c>
      <c r="D18" s="10">
        <f>IFERROR(C18*(100%+'General details'!$G27),C18*(100%+Inventories!E$14))</f>
        <v>1560000</v>
      </c>
      <c r="E18" s="10">
        <f>IFERROR(D18*(100%+'General details'!$G27),D18*(100%+Inventories!F$14))</f>
        <v>1833230.832690089</v>
      </c>
      <c r="F18" s="10">
        <f>IFERROR(E18*(100%+'General details'!$G27),E18*(100%+Inventories!H$14))</f>
        <v>2155038.9758969708</v>
      </c>
      <c r="G18" s="10">
        <f>IFERROR(F18*(100%+'General details'!$G27),F18*(100%+Inventories!J$14))</f>
        <v>2534186.2135113524</v>
      </c>
      <c r="H18" s="10">
        <f>IFERROR(G18*(100%+'General details'!$G27),G18*(100%+Inventories!K$14))</f>
        <v>2981036.4192145155</v>
      </c>
      <c r="I18" t="s">
        <v>276</v>
      </c>
    </row>
    <row r="19" spans="1:9" x14ac:dyDescent="0.25">
      <c r="A19" t="s">
        <v>512</v>
      </c>
      <c r="B19" s="10">
        <f>Audited!D57</f>
        <v>1002925</v>
      </c>
      <c r="C19" s="455">
        <v>0</v>
      </c>
      <c r="D19" s="10">
        <f>IFERROR(C19*(100%+'General details'!$G28),C19*(100%+Inventories!E$14))</f>
        <v>0</v>
      </c>
      <c r="E19" s="10">
        <f>IFERROR(D19*(100%+'General details'!$G28),D19*(100%+Inventories!F$14))</f>
        <v>0</v>
      </c>
      <c r="F19" s="10">
        <f>IFERROR(E19*(100%+'General details'!$G28),E19*(100%+Inventories!H$14))</f>
        <v>0</v>
      </c>
      <c r="G19" s="10">
        <f>IFERROR(F19*(100%+'General details'!$G28),F19*(100%+Inventories!J$14))</f>
        <v>0</v>
      </c>
      <c r="H19" s="10">
        <f>IFERROR(G19*(100%+'General details'!$G28),G19*(100%+Inventories!K$14))</f>
        <v>0</v>
      </c>
      <c r="I19" t="s">
        <v>277</v>
      </c>
    </row>
    <row r="20" spans="1:9" x14ac:dyDescent="0.25">
      <c r="A20" s="30" t="str">
        <f>'General details'!B28</f>
        <v>ELECTRICITY AND WATER</v>
      </c>
      <c r="B20" s="10">
        <f>Audited!D58</f>
        <v>148460.75</v>
      </c>
      <c r="C20" s="455">
        <f>'General details'!I28</f>
        <v>148460.75</v>
      </c>
      <c r="D20" s="10">
        <f>IFERROR(C20*(100%+'General details'!$G28),C20*(100%+Inventories!E$14))</f>
        <v>178152.9</v>
      </c>
      <c r="E20" s="10">
        <f>IFERROR(D20*(100%+'General details'!$G29),D20*(100%+Inventories!F$14))</f>
        <v>209356.01872638086</v>
      </c>
      <c r="F20" s="10">
        <f>IFERROR(E20*(100%+'General details'!$G29),E20*(100%+Inventories!H$14))</f>
        <v>246106.69433915091</v>
      </c>
      <c r="G20" s="10">
        <f>IFERROR(F20*(100%+'General details'!$G29),F20*(100%+Inventories!J$14))</f>
        <v>289405.52761350421</v>
      </c>
      <c r="H20" s="10">
        <f>IFERROR(G20*(100%+'General details'!$G29),G20*(100%+Inventories!K$14))</f>
        <v>340436.07890300103</v>
      </c>
      <c r="I20" t="s">
        <v>277</v>
      </c>
    </row>
    <row r="21" spans="1:9" x14ac:dyDescent="0.25">
      <c r="A21" s="30" t="s">
        <v>400</v>
      </c>
      <c r="B21" s="10">
        <f>Audited!D59</f>
        <v>1919632</v>
      </c>
      <c r="C21" s="455">
        <f>'General details'!I29</f>
        <v>1500000</v>
      </c>
      <c r="D21" s="10">
        <f>IFERROR(C21*(100%+'General details'!$G29),C21*(100%+Inventories!E$14))</f>
        <v>1800000</v>
      </c>
      <c r="E21" s="10">
        <f>IFERROR(D21*(100%+'General details'!$G30),D21*(100%+Inventories!F$14))</f>
        <v>2115266.3454116411</v>
      </c>
      <c r="F21" s="10">
        <f>IFERROR(E21*(100%+'General details'!$G30),E21*(100%+Inventories!H$14))</f>
        <v>2486583.4337272737</v>
      </c>
      <c r="G21" s="10">
        <f>IFERROR(F21*(100%+'General details'!$G30),F21*(100%+Inventories!J$14))</f>
        <v>2924061.0155900214</v>
      </c>
      <c r="H21" s="10">
        <f>IFERROR(G21*(100%+'General details'!$G30),G21*(100%+Inventories!K$14))</f>
        <v>3439657.4067859785</v>
      </c>
      <c r="I21" t="s">
        <v>277</v>
      </c>
    </row>
    <row r="22" spans="1:9" x14ac:dyDescent="0.25">
      <c r="A22" s="30" t="str">
        <f>'General details'!B30</f>
        <v>SKILL DEVELOPMENT TRAINING</v>
      </c>
      <c r="B22" s="10">
        <f>Audited!D60</f>
        <v>325153</v>
      </c>
      <c r="C22" s="455">
        <f>'General details'!I30</f>
        <v>325153</v>
      </c>
      <c r="D22" s="10">
        <f>IFERROR(C22*(100%+'General details'!$G30),C22*(100%+Inventories!E$14))</f>
        <v>390183.6</v>
      </c>
      <c r="E22" s="10">
        <f>IFERROR(D22*(100%+'General details'!$G30),D22*(100%+Inventories!F$14))</f>
        <v>458523.46533975418</v>
      </c>
      <c r="F22" s="10">
        <f>IFERROR(E22*(100%+'General details'!$G30),E22*(100%+Inventories!H$14))</f>
        <v>539013.37548448285</v>
      </c>
      <c r="G22" s="10">
        <f>IFERROR(F22*(100%+'General details'!$G30),F22*(100%+Inventories!J$14))</f>
        <v>633844.80760142824</v>
      </c>
      <c r="H22" s="10">
        <f>IFERROR(G22*(100%+'General details'!$G30),G22*(100%+Inventories!K$14))</f>
        <v>745609.949859121</v>
      </c>
      <c r="I22" t="s">
        <v>277</v>
      </c>
    </row>
    <row r="23" spans="1:9" x14ac:dyDescent="0.25">
      <c r="A23" s="30" t="str">
        <f>'General details'!B31</f>
        <v xml:space="preserve"> SEED TREATMENT AND FUMIGATION</v>
      </c>
      <c r="B23" s="10">
        <f>Audited!D61</f>
        <v>1000000</v>
      </c>
      <c r="C23" s="455">
        <f>'General details'!I31</f>
        <v>1400000</v>
      </c>
      <c r="D23" s="10">
        <f>IFERROR(C23*(100%+'General details'!$G31),C23*(100%+Inventories!E$14))</f>
        <v>1680000</v>
      </c>
      <c r="E23" s="10">
        <f>IFERROR(D23*(100%+'General details'!$G31),D23*(100%+Inventories!F$14))</f>
        <v>1974248.589050865</v>
      </c>
      <c r="F23" s="10">
        <f>IFERROR(E23*(100%+'General details'!$G31),E23*(100%+Inventories!H$14))</f>
        <v>2320811.2048121225</v>
      </c>
      <c r="G23" s="10">
        <f>IFERROR(F23*(100%+'General details'!$G31),F23*(100%+Inventories!J$14))</f>
        <v>2729123.6145506869</v>
      </c>
      <c r="H23" s="10">
        <f>IFERROR(G23*(100%+'General details'!$G31),G23*(100%+Inventories!K$14))</f>
        <v>3210346.913000247</v>
      </c>
      <c r="I23" t="s">
        <v>277</v>
      </c>
    </row>
    <row r="24" spans="1:9" x14ac:dyDescent="0.25">
      <c r="A24" s="30" t="str">
        <f>'General details'!B32</f>
        <v>BAGS PURCHASE</v>
      </c>
      <c r="B24" s="10">
        <f>Audited!D62</f>
        <v>2691704</v>
      </c>
      <c r="C24" s="455">
        <f>'General details'!I32</f>
        <v>2691704</v>
      </c>
      <c r="D24" s="10">
        <f>IFERROR(C24*(100%+'General details'!$G32),C24*(100%+Inventories!E$14))</f>
        <v>3230044.8</v>
      </c>
      <c r="E24" s="10">
        <f>IFERROR(D24*(100%+'General details'!$G32),D24*(100%+Inventories!F$14))</f>
        <v>3795780.5886732638</v>
      </c>
      <c r="F24" s="10">
        <f>IFERROR(E24*(100%+'General details'!$G32),E24*(100%+Inventories!H$14))</f>
        <v>4462097.7165982919</v>
      </c>
      <c r="G24" s="10">
        <f>IFERROR(F24*(100%+'General details'!$G32),F24*(100%+Inventories!J$14))</f>
        <v>5247137.8212718153</v>
      </c>
      <c r="H24" s="10">
        <f>IFERROR(G24*(100%+'General details'!$G32),G24*(100%+Inventories!K$14))</f>
        <v>6172359.7336502969</v>
      </c>
      <c r="I24" t="s">
        <v>277</v>
      </c>
    </row>
    <row r="25" spans="1:9" x14ac:dyDescent="0.25">
      <c r="A25" s="30" t="str">
        <f>'General details'!B33</f>
        <v>TRANSPORTATION COST</v>
      </c>
      <c r="B25" s="10">
        <f>Audited!D63</f>
        <v>715011</v>
      </c>
      <c r="C25" s="455">
        <f>'General details'!I33</f>
        <v>715011</v>
      </c>
      <c r="D25" s="10">
        <f>IFERROR(C25*(100%+'General details'!$G33),C25*(100%+Inventories!E$14))</f>
        <v>858013.2</v>
      </c>
      <c r="E25" s="10">
        <f>IFERROR(D25*(100%+'General details'!$G33),D25*(100%+Inventories!F$14))</f>
        <v>1008292.4699327486</v>
      </c>
      <c r="F25" s="10">
        <f>IFERROR(E25*(100%+'General details'!$G33),E25*(100%+Inventories!H$14))</f>
        <v>1185289.6716885145</v>
      </c>
      <c r="G25" s="10">
        <f>IFERROR(F25*(100%+'General details'!$G33),F25*(100%+Inventories!J$14))</f>
        <v>1393823.8605453579</v>
      </c>
      <c r="H25" s="10">
        <f>IFERROR(G25*(100%+'General details'!$G33),G25*(100%+Inventories!K$14))</f>
        <v>1639595.2547222998</v>
      </c>
      <c r="I25" t="s">
        <v>277</v>
      </c>
    </row>
    <row r="26" spans="1:9" x14ac:dyDescent="0.25">
      <c r="A26" s="30" t="str">
        <f>'General details'!B34</f>
        <v>FUEL COST (VEHICLE, GENERATOR, ETC.)</v>
      </c>
      <c r="B26" s="10">
        <f>Audited!D64</f>
        <v>281657</v>
      </c>
      <c r="C26" s="455">
        <f>'General details'!I34</f>
        <v>281657</v>
      </c>
      <c r="D26" s="10">
        <f>IFERROR(C26*(100%+'General details'!$G34),C26*(100%+Inventories!E$14))</f>
        <v>337988.39999999997</v>
      </c>
      <c r="E26" s="10">
        <f>IFERROR(D26*(100%+'General details'!$G34),D26*(100%+Inventories!F$14))</f>
        <v>397186.38203307102</v>
      </c>
      <c r="F26" s="10">
        <f>IFERROR(E26*(100%+'General details'!$G34),E26*(100%+Inventories!H$14))</f>
        <v>466909.08679554844</v>
      </c>
      <c r="G26" s="10">
        <f>IFERROR(F26*(100%+'General details'!$G34),F26*(100%+Inventories!J$14))</f>
        <v>549054.83564535901</v>
      </c>
      <c r="H26" s="10">
        <f>IFERROR(G26*(100%+'General details'!$G34),G26*(100%+Inventories!K$14))</f>
        <v>645869.05748207879</v>
      </c>
      <c r="I26" t="s">
        <v>277</v>
      </c>
    </row>
    <row r="27" spans="1:9" x14ac:dyDescent="0.25">
      <c r="A27" s="30"/>
      <c r="B27" s="10"/>
      <c r="C27" s="455"/>
      <c r="D27" s="10"/>
      <c r="E27" s="10"/>
      <c r="F27" s="10"/>
      <c r="G27" s="10"/>
      <c r="H27" s="10"/>
    </row>
    <row r="28" spans="1:9" x14ac:dyDescent="0.25">
      <c r="A28" s="30"/>
      <c r="B28" s="10"/>
      <c r="C28" s="455"/>
      <c r="D28" s="10"/>
      <c r="E28" s="10"/>
      <c r="F28" s="10"/>
      <c r="G28" s="10"/>
      <c r="H28" s="10"/>
    </row>
    <row r="29" spans="1:9" x14ac:dyDescent="0.25">
      <c r="A29" s="30"/>
      <c r="B29" s="10"/>
      <c r="C29" s="455"/>
      <c r="D29" s="10"/>
      <c r="E29" s="10"/>
      <c r="F29" s="10"/>
      <c r="G29" s="10"/>
      <c r="H29" s="10"/>
    </row>
    <row r="30" spans="1:9" x14ac:dyDescent="0.25">
      <c r="A30" s="30"/>
      <c r="B30" s="10"/>
      <c r="C30" s="455"/>
      <c r="D30" s="10"/>
      <c r="E30" s="10"/>
      <c r="F30" s="10"/>
      <c r="G30" s="10"/>
      <c r="H30" s="10"/>
    </row>
    <row r="31" spans="1:9" x14ac:dyDescent="0.25">
      <c r="A31" s="30"/>
      <c r="B31" s="10"/>
      <c r="C31" s="455"/>
      <c r="D31" s="10"/>
      <c r="E31" s="10"/>
      <c r="F31" s="10"/>
      <c r="G31" s="10"/>
      <c r="H31" s="10"/>
    </row>
    <row r="32" spans="1:9" x14ac:dyDescent="0.25">
      <c r="A32" s="101" t="s">
        <v>54</v>
      </c>
      <c r="B32" s="103">
        <f t="shared" ref="B32:H32" si="2">SUM(B14:B31)</f>
        <v>12251550.75</v>
      </c>
      <c r="C32" s="455">
        <f t="shared" si="2"/>
        <v>9788985.75</v>
      </c>
      <c r="D32" s="103">
        <f t="shared" si="2"/>
        <v>11754082.9</v>
      </c>
      <c r="E32" s="103">
        <f t="shared" si="2"/>
        <v>13683554.691857813</v>
      </c>
      <c r="F32" s="103">
        <f t="shared" si="2"/>
        <v>15942687.159342356</v>
      </c>
      <c r="G32" s="103">
        <f t="shared" si="2"/>
        <v>18589558.396329526</v>
      </c>
      <c r="H32" s="103">
        <f t="shared" si="2"/>
        <v>21692723.583617542</v>
      </c>
    </row>
    <row r="35" spans="1:9" x14ac:dyDescent="0.25">
      <c r="A35" s="505" t="s">
        <v>116</v>
      </c>
      <c r="B35" s="505"/>
      <c r="C35" s="505"/>
      <c r="D35" s="505"/>
      <c r="E35" s="505"/>
      <c r="F35" s="505"/>
      <c r="G35" s="505"/>
      <c r="H35" s="505"/>
    </row>
    <row r="36" spans="1:9" x14ac:dyDescent="0.25">
      <c r="A36" t="str">
        <f>'General details'!B38</f>
        <v>ACCOUNTANT</v>
      </c>
      <c r="B36" s="13">
        <f>Audited!D69</f>
        <v>302800</v>
      </c>
      <c r="C36" s="456">
        <f>'General details'!I38</f>
        <v>195000</v>
      </c>
      <c r="D36" s="10">
        <f>IFERROR(C36*(100%+'General details'!$G38),C36*(100%+Inventories!E$14))</f>
        <v>214500.00000000003</v>
      </c>
      <c r="E36" s="10">
        <f>IFERROR(D36*(100%+'General details'!$G38),D36*(100%+Inventories!F$14))</f>
        <v>235950.00000000006</v>
      </c>
      <c r="F36" s="10">
        <f>IFERROR(E36*(100%+'General details'!$G38),E36*(100%+Inventories!H$14))</f>
        <v>259545.00000000009</v>
      </c>
      <c r="G36" s="10">
        <f>IFERROR(F36*(100%+'General details'!$G38),F36*(100%+Inventories!J$14))</f>
        <v>285499.50000000012</v>
      </c>
      <c r="H36" s="10">
        <f>IFERROR(G36*(100%+'General details'!$G38),G36*(100%+Inventories!K$14))</f>
        <v>314049.45000000013</v>
      </c>
      <c r="I36" t="s">
        <v>276</v>
      </c>
    </row>
    <row r="37" spans="1:9" x14ac:dyDescent="0.25">
      <c r="A37" t="str">
        <f>'General details'!B39</f>
        <v>ADMIN ASSISTANT</v>
      </c>
      <c r="B37" s="13">
        <f>Audited!D70</f>
        <v>187000</v>
      </c>
      <c r="C37" s="456">
        <f>'General details'!I39</f>
        <v>156000</v>
      </c>
      <c r="D37" s="10">
        <f>IFERROR(C37*(100%+'General details'!$G39),C37*(100%+Inventories!E$14))</f>
        <v>171600</v>
      </c>
      <c r="E37" s="10">
        <f>IFERROR(D37*(100%+'General details'!$G39),D37*(100%+Inventories!F$14))</f>
        <v>188760.00000000003</v>
      </c>
      <c r="F37" s="10">
        <f>IFERROR(E37*(100%+'General details'!$G39),E37*(100%+Inventories!H$14))</f>
        <v>207636.00000000006</v>
      </c>
      <c r="G37" s="10">
        <f>IFERROR(F37*(100%+'General details'!$G39),F37*(100%+Inventories!J$14))</f>
        <v>228399.60000000009</v>
      </c>
      <c r="H37" s="10">
        <f>IFERROR(G37*(100%+'General details'!$G39),G37*(100%+Inventories!K$14))</f>
        <v>251239.56000000011</v>
      </c>
      <c r="I37" t="s">
        <v>276</v>
      </c>
    </row>
    <row r="38" spans="1:9" x14ac:dyDescent="0.25">
      <c r="A38" t="str">
        <f>'General details'!B40</f>
        <v>DRIVER</v>
      </c>
      <c r="B38" s="13">
        <f>Audited!D71</f>
        <v>122000</v>
      </c>
      <c r="C38" s="456">
        <f>'General details'!I40</f>
        <v>195000</v>
      </c>
      <c r="D38" s="10">
        <f>IFERROR(C38*(100%+'General details'!$G40),C38*(100%+Inventories!E$14))</f>
        <v>214500.00000000003</v>
      </c>
      <c r="E38" s="10">
        <f>IFERROR(D38*(100%+'General details'!$G40),D38*(100%+Inventories!F$14))</f>
        <v>235950.00000000006</v>
      </c>
      <c r="F38" s="10">
        <f>IFERROR(E38*(100%+'General details'!$G40),E38*(100%+Inventories!H$14))</f>
        <v>259545.00000000009</v>
      </c>
      <c r="G38" s="10">
        <f>IFERROR(F38*(100%+'General details'!$G40),F38*(100%+Inventories!J$14))</f>
        <v>285499.50000000012</v>
      </c>
      <c r="H38" s="10">
        <f>IFERROR(G38*(100%+'General details'!$G40),G38*(100%+Inventories!K$14))</f>
        <v>314049.45000000013</v>
      </c>
      <c r="I38" t="s">
        <v>276</v>
      </c>
    </row>
    <row r="39" spans="1:9" x14ac:dyDescent="0.25">
      <c r="A39" t="str">
        <f>'General details'!B41</f>
        <v>PRINTING &amp; STATIONARY</v>
      </c>
      <c r="B39" s="13">
        <f>Audited!D72</f>
        <v>115200</v>
      </c>
      <c r="C39" s="456">
        <f>'General details'!I41</f>
        <v>115200</v>
      </c>
      <c r="D39" s="10">
        <f>IFERROR(C39*(100%+'General details'!$G41),C39*(100%+Inventories!E$14))</f>
        <v>126720.00000000001</v>
      </c>
      <c r="E39" s="10">
        <f>IFERROR(D39*(100%+'General details'!$G41),D39*(100%+Inventories!F$14))</f>
        <v>139392.00000000003</v>
      </c>
      <c r="F39" s="10">
        <f>IFERROR(E39*(100%+'General details'!$G41),E39*(100%+Inventories!H$14))</f>
        <v>153331.20000000004</v>
      </c>
      <c r="G39" s="10">
        <f>IFERROR(F39*(100%+'General details'!$G41),F39*(100%+Inventories!J$14))</f>
        <v>168664.32000000007</v>
      </c>
      <c r="H39" s="10">
        <f>IFERROR(G39*(100%+'General details'!$G41),G39*(100%+Inventories!K$14))</f>
        <v>185530.75200000009</v>
      </c>
      <c r="I39" t="s">
        <v>277</v>
      </c>
    </row>
    <row r="40" spans="1:9" x14ac:dyDescent="0.25">
      <c r="A40" t="str">
        <f>'General details'!B42</f>
        <v>OFFICE   AND OTHER EXPENSES</v>
      </c>
      <c r="B40" s="13">
        <f>Audited!D73</f>
        <v>289500</v>
      </c>
      <c r="C40" s="456">
        <f>'General details'!I42</f>
        <v>500000</v>
      </c>
      <c r="D40" s="10">
        <f>IFERROR(C40*(100%+'General details'!$G42),C40*(100%+Inventories!E$14))</f>
        <v>550000</v>
      </c>
      <c r="E40" s="10">
        <f>IFERROR(D40*(100%+'General details'!$G42),D40*(100%+Inventories!F$14))</f>
        <v>605000</v>
      </c>
      <c r="F40" s="10">
        <f>IFERROR(E40*(100%+'General details'!$G42),E40*(100%+Inventories!H$14))</f>
        <v>665500</v>
      </c>
      <c r="G40" s="10">
        <f>IFERROR(F40*(100%+'General details'!$G42),F40*(100%+Inventories!J$14))</f>
        <v>732050.00000000012</v>
      </c>
      <c r="H40" s="10">
        <f>IFERROR(G40*(100%+'General details'!$G42),G40*(100%+Inventories!K$14))</f>
        <v>805255.00000000023</v>
      </c>
      <c r="I40" t="s">
        <v>277</v>
      </c>
    </row>
    <row r="41" spans="1:9" x14ac:dyDescent="0.25">
      <c r="A41" t="str">
        <f>'General details'!B43</f>
        <v>TELEPONE AND INTERNET EXPENSES</v>
      </c>
      <c r="B41" s="13">
        <f>Audited!D74</f>
        <v>65235</v>
      </c>
      <c r="C41" s="456">
        <f>'General details'!I43</f>
        <v>65235</v>
      </c>
      <c r="D41" s="10">
        <f>IFERROR(C41*(100%+'General details'!$G43),C41*(100%+Inventories!E$14))</f>
        <v>71758.5</v>
      </c>
      <c r="E41" s="10">
        <f>IFERROR(D41*(100%+'General details'!$G43),D41*(100%+Inventories!F$14))</f>
        <v>78934.350000000006</v>
      </c>
      <c r="F41" s="10">
        <f>IFERROR(E41*(100%+'General details'!$G43),E41*(100%+Inventories!H$14))</f>
        <v>86827.785000000018</v>
      </c>
      <c r="G41" s="10">
        <f>IFERROR(F41*(100%+'General details'!$G43),F41*(100%+Inventories!J$14))</f>
        <v>95510.563500000033</v>
      </c>
      <c r="H41" s="10">
        <f>IFERROR(G41*(100%+'General details'!$G43),G41*(100%+Inventories!K$14))</f>
        <v>105061.61985000005</v>
      </c>
      <c r="I41" t="s">
        <v>277</v>
      </c>
    </row>
    <row r="42" spans="1:9" x14ac:dyDescent="0.25">
      <c r="A42" t="s">
        <v>516</v>
      </c>
      <c r="B42" s="13">
        <f>Audited!D75</f>
        <v>520200</v>
      </c>
      <c r="C42" s="455">
        <v>0</v>
      </c>
      <c r="D42" s="10">
        <f>IFERROR(C42*(100%+'General details'!$G44),C42*(100%+Inventories!E$14))</f>
        <v>0</v>
      </c>
      <c r="E42" s="10">
        <v>0</v>
      </c>
      <c r="F42" s="10">
        <v>0</v>
      </c>
      <c r="G42" s="10">
        <v>0</v>
      </c>
      <c r="H42" s="10">
        <v>0</v>
      </c>
      <c r="I42" t="s">
        <v>277</v>
      </c>
    </row>
    <row r="43" spans="1:9" x14ac:dyDescent="0.25">
      <c r="A43" t="str">
        <f>'General details'!B44</f>
        <v>TRAVELLING EXPESNES</v>
      </c>
      <c r="B43" s="13">
        <f>Audited!D76</f>
        <v>325400</v>
      </c>
      <c r="C43" s="456">
        <f>'General details'!I44</f>
        <v>325400</v>
      </c>
      <c r="D43" s="10">
        <f>IFERROR(C43*(100%+'General details'!$G44),C43*(100%+Inventories!E$14))</f>
        <v>357940</v>
      </c>
      <c r="E43" s="10">
        <f>IFERROR(D43*(100%+'General details'!$G44),D43*(100%+Inventories!F$14))</f>
        <v>393734.00000000006</v>
      </c>
      <c r="F43" s="10">
        <f>IFERROR(E43*(100%+'General details'!$G44),E43*(100%+Inventories!H$14))</f>
        <v>433107.40000000008</v>
      </c>
      <c r="G43" s="10">
        <f>IFERROR(F43*(100%+'General details'!$G44),F43*(100%+Inventories!J$14))</f>
        <v>476418.14000000013</v>
      </c>
      <c r="H43" s="10">
        <f>IFERROR(G43*(100%+'General details'!$G44),G43*(100%+Inventories!K$14))</f>
        <v>524059.9540000002</v>
      </c>
      <c r="I43" t="s">
        <v>277</v>
      </c>
    </row>
    <row r="44" spans="1:9" x14ac:dyDescent="0.25">
      <c r="A44" t="str">
        <f>'General details'!B45</f>
        <v>AUDIT FEE</v>
      </c>
      <c r="B44" s="13">
        <f>Audited!D77</f>
        <v>40000</v>
      </c>
      <c r="C44" s="456">
        <f>'General details'!I45</f>
        <v>40000</v>
      </c>
      <c r="D44" s="10">
        <f>IFERROR(C44*(100%+'General details'!$G45),C44*(100%+Inventories!E$14))</f>
        <v>48000</v>
      </c>
      <c r="E44" s="10">
        <f>IFERROR(D44*(100%+'General details'!$G45),D44*(100%+Inventories!F$14))</f>
        <v>57600</v>
      </c>
      <c r="F44" s="10">
        <f>IFERROR(E44*(100%+'General details'!$G45),E44*(100%+Inventories!H$14))</f>
        <v>69120</v>
      </c>
      <c r="G44" s="10">
        <f>IFERROR(F44*(100%+'General details'!$G45),F44*(100%+Inventories!J$14))</f>
        <v>82944</v>
      </c>
      <c r="H44" s="10">
        <f>IFERROR(G44*(100%+'General details'!$G45),G44*(100%+Inventories!K$14))</f>
        <v>99532.800000000003</v>
      </c>
      <c r="I44" t="s">
        <v>277</v>
      </c>
    </row>
    <row r="45" spans="1:9" x14ac:dyDescent="0.25">
      <c r="A45" t="str">
        <f>'General details'!B46</f>
        <v>REPAIR &amp; MAINTENANCE</v>
      </c>
      <c r="B45" s="13">
        <f>Audited!D78</f>
        <v>918050</v>
      </c>
      <c r="C45" s="456">
        <f>'General details'!I46</f>
        <v>918050</v>
      </c>
      <c r="D45" s="10">
        <f>IFERROR(C45*(100%+'General details'!$G46),C45*(100%+Inventories!E$14))</f>
        <v>963952.5</v>
      </c>
      <c r="E45" s="10">
        <f>IFERROR(D45*(100%+'General details'!$G46),D45*(100%+Inventories!F$14))</f>
        <v>1012150.125</v>
      </c>
      <c r="F45" s="10">
        <f>IFERROR(E45*(100%+'General details'!$G46),E45*(100%+Inventories!H$14))</f>
        <v>1062757.6312500001</v>
      </c>
      <c r="G45" s="10">
        <f>IFERROR(F45*(100%+'General details'!$G46),F45*(100%+Inventories!J$14))</f>
        <v>1115895.5128125001</v>
      </c>
      <c r="H45" s="10">
        <f>IFERROR(G45*(100%+'General details'!$G46),G45*(100%+Inventories!K$14))</f>
        <v>1171690.2884531252</v>
      </c>
      <c r="I45" t="s">
        <v>277</v>
      </c>
    </row>
    <row r="46" spans="1:9" x14ac:dyDescent="0.25">
      <c r="A46" t="str">
        <f>'General details'!B47</f>
        <v>GUEST HANDLING</v>
      </c>
      <c r="B46" s="13">
        <f>Audited!D79</f>
        <v>175600</v>
      </c>
      <c r="C46" s="456">
        <f>'General details'!I47</f>
        <v>175600</v>
      </c>
      <c r="D46" s="10">
        <f>IFERROR(C46*(100%+'General details'!$G47),C46*(100%+Inventories!E$14))</f>
        <v>193160.00000000003</v>
      </c>
      <c r="E46" s="10">
        <f>IFERROR(D46*(100%+'General details'!$G47),D46*(100%+Inventories!F$14))</f>
        <v>212476.00000000006</v>
      </c>
      <c r="F46" s="10">
        <f>IFERROR(E46*(100%+'General details'!$G47),E46*(100%+Inventories!H$14))</f>
        <v>233723.60000000009</v>
      </c>
      <c r="G46" s="10">
        <f>IFERROR(F46*(100%+'General details'!$G47),F46*(100%+Inventories!J$14))</f>
        <v>257095.96000000014</v>
      </c>
      <c r="H46" s="10">
        <f>IFERROR(G46*(100%+'General details'!$G47),G46*(100%+Inventories!K$14))</f>
        <v>282805.55600000016</v>
      </c>
      <c r="I46" t="s">
        <v>277</v>
      </c>
    </row>
    <row r="47" spans="1:9" x14ac:dyDescent="0.25">
      <c r="B47" s="13"/>
      <c r="C47" s="456"/>
      <c r="D47" s="10"/>
      <c r="E47" s="10"/>
      <c r="F47" s="10"/>
      <c r="G47" s="10"/>
      <c r="H47" s="10"/>
    </row>
    <row r="50" spans="1:9" x14ac:dyDescent="0.25">
      <c r="A50" s="101" t="s">
        <v>54</v>
      </c>
      <c r="B50" s="105">
        <f t="shared" ref="B50:H50" si="3">SUM(B36:B49)</f>
        <v>3060985</v>
      </c>
      <c r="C50" s="456">
        <f t="shared" si="3"/>
        <v>2685485</v>
      </c>
      <c r="D50" s="105">
        <f t="shared" si="3"/>
        <v>2912131</v>
      </c>
      <c r="E50" s="105">
        <f t="shared" si="3"/>
        <v>3159946.4750000006</v>
      </c>
      <c r="F50" s="105">
        <f t="shared" si="3"/>
        <v>3431093.6162500004</v>
      </c>
      <c r="G50" s="105">
        <f t="shared" si="3"/>
        <v>3727977.0963125005</v>
      </c>
      <c r="H50" s="105">
        <f t="shared" si="3"/>
        <v>4053274.4303031261</v>
      </c>
    </row>
    <row r="53" spans="1:9" x14ac:dyDescent="0.25">
      <c r="A53" s="505" t="s">
        <v>122</v>
      </c>
      <c r="B53" s="505"/>
      <c r="C53" s="505"/>
      <c r="D53" s="505"/>
      <c r="E53" s="505"/>
      <c r="F53" s="505"/>
      <c r="G53" s="505"/>
      <c r="H53" s="505"/>
    </row>
    <row r="54" spans="1:9" x14ac:dyDescent="0.25">
      <c r="A54" t="str">
        <f>'General details'!B50</f>
        <v>MARKETING SUPERVISOR</v>
      </c>
      <c r="B54" s="13">
        <v>0</v>
      </c>
      <c r="C54" s="456">
        <f>13*30000</f>
        <v>390000</v>
      </c>
      <c r="D54" s="10">
        <f>IFERROR(C54*(100%+'General details'!$G50),C54*(100%+Inventories!E$14))</f>
        <v>429000.00000000006</v>
      </c>
      <c r="E54" s="10">
        <f>IFERROR(D54*(100%+'General details'!$G50),D54*(100%+Inventories!F$14))</f>
        <v>471900.00000000012</v>
      </c>
      <c r="F54" s="10">
        <f>IFERROR(E54*(100%+'General details'!$G50),E54*(100%+Inventories!G$14))</f>
        <v>519090.00000000017</v>
      </c>
      <c r="G54" s="10">
        <f>IFERROR(F54*(100%+'General details'!$G50),F54*(100%+Inventories!H$14))</f>
        <v>570999.00000000023</v>
      </c>
      <c r="H54" s="10">
        <f>IFERROR(G54*(100%+'General details'!$G50),G54*(100%+Inventories!I$14))</f>
        <v>628098.90000000026</v>
      </c>
      <c r="I54" t="s">
        <v>276</v>
      </c>
    </row>
    <row r="55" spans="1:9" x14ac:dyDescent="0.25">
      <c r="A55" t="s">
        <v>442</v>
      </c>
      <c r="B55" s="13">
        <v>0</v>
      </c>
      <c r="C55" s="456">
        <v>200000</v>
      </c>
      <c r="D55" s="10">
        <f>IFERROR(C55*(100%+'General details'!$G50),C55*(100%+Inventories!E$14))</f>
        <v>220000.00000000003</v>
      </c>
      <c r="E55" s="10">
        <f>IFERROR(D55*(100%+'General details'!$G50),D55*(100%+Inventories!F$14))</f>
        <v>242000.00000000006</v>
      </c>
      <c r="F55" s="10">
        <f>IFERROR(E55*(100%+'General details'!$G50),E55*(100%+Inventories!G$14))</f>
        <v>266200.00000000006</v>
      </c>
      <c r="G55" s="10">
        <f>IFERROR(F55*(100%+'General details'!$G50),F55*(100%+Inventories!H$14))</f>
        <v>292820.00000000012</v>
      </c>
      <c r="H55" s="10">
        <f>IFERROR(G55*(100%+'General details'!$G50),G55*(100%+Inventories!I$14))</f>
        <v>322102.00000000017</v>
      </c>
      <c r="I55" t="s">
        <v>277</v>
      </c>
    </row>
    <row r="56" spans="1:9" x14ac:dyDescent="0.25">
      <c r="B56" s="13"/>
      <c r="C56" s="456"/>
      <c r="D56" s="13"/>
      <c r="E56" s="13"/>
      <c r="F56" s="13"/>
      <c r="G56" s="13"/>
      <c r="H56" s="13"/>
    </row>
    <row r="59" spans="1:9" x14ac:dyDescent="0.25">
      <c r="A59" s="101" t="s">
        <v>54</v>
      </c>
      <c r="B59" s="105">
        <f>SUM(B54:B58)</f>
        <v>0</v>
      </c>
      <c r="C59" s="456">
        <f>SUM(C54:C58)</f>
        <v>590000</v>
      </c>
      <c r="D59" s="105">
        <f t="shared" ref="D59:H59" si="4">SUM(D54:D58)</f>
        <v>649000.00000000012</v>
      </c>
      <c r="E59" s="105">
        <f t="shared" si="4"/>
        <v>713900.00000000023</v>
      </c>
      <c r="F59" s="105">
        <f t="shared" si="4"/>
        <v>785290.00000000023</v>
      </c>
      <c r="G59" s="105">
        <f t="shared" si="4"/>
        <v>863819.00000000035</v>
      </c>
      <c r="H59" s="105">
        <f t="shared" si="4"/>
        <v>950200.90000000037</v>
      </c>
    </row>
    <row r="62" spans="1:9" x14ac:dyDescent="0.25">
      <c r="A62" t="s">
        <v>207</v>
      </c>
    </row>
    <row r="63" spans="1:9" x14ac:dyDescent="0.25">
      <c r="A63" s="197" t="s">
        <v>208</v>
      </c>
      <c r="B63" s="197"/>
      <c r="D63" s="197"/>
      <c r="E63" s="197"/>
      <c r="F63" s="197"/>
      <c r="G63" s="197"/>
      <c r="H63" s="197"/>
    </row>
    <row r="64" spans="1:9" x14ac:dyDescent="0.25">
      <c r="A64" t="s">
        <v>210</v>
      </c>
      <c r="B64" s="13">
        <f t="shared" ref="B64:H64" si="5">SUMIF($I$14:$I$30,"f",B14:B30)</f>
        <v>4167008</v>
      </c>
      <c r="C64" s="456">
        <f t="shared" si="5"/>
        <v>2727000</v>
      </c>
      <c r="D64" s="13">
        <f t="shared" si="5"/>
        <v>3279700</v>
      </c>
      <c r="E64" s="13">
        <f t="shared" si="5"/>
        <v>3724900.8326900895</v>
      </c>
      <c r="F64" s="13">
        <f t="shared" si="5"/>
        <v>4235875.9758969713</v>
      </c>
      <c r="G64" s="13">
        <f t="shared" si="5"/>
        <v>4823106.9135113526</v>
      </c>
      <c r="H64" s="13">
        <f t="shared" si="5"/>
        <v>5498849.1892145164</v>
      </c>
    </row>
    <row r="65" spans="1:8" x14ac:dyDescent="0.25">
      <c r="A65" t="s">
        <v>211</v>
      </c>
      <c r="B65" s="13">
        <f t="shared" ref="B65:H65" si="6">SUMIF($I$36:$I$49,"f",B36:B49)</f>
        <v>611800</v>
      </c>
      <c r="C65" s="456">
        <f t="shared" si="6"/>
        <v>546000</v>
      </c>
      <c r="D65" s="13">
        <f t="shared" si="6"/>
        <v>600600</v>
      </c>
      <c r="E65" s="13">
        <f t="shared" si="6"/>
        <v>660660.00000000023</v>
      </c>
      <c r="F65" s="13">
        <f t="shared" si="6"/>
        <v>726726.00000000023</v>
      </c>
      <c r="G65" s="13">
        <f t="shared" si="6"/>
        <v>799398.60000000033</v>
      </c>
      <c r="H65" s="13">
        <f t="shared" si="6"/>
        <v>879338.46000000043</v>
      </c>
    </row>
    <row r="66" spans="1:8" x14ac:dyDescent="0.25">
      <c r="A66" t="s">
        <v>122</v>
      </c>
      <c r="B66" s="13">
        <f>+B54</f>
        <v>0</v>
      </c>
      <c r="C66" s="456">
        <f>+C54</f>
        <v>390000</v>
      </c>
      <c r="D66" s="13">
        <f t="shared" ref="D66:H66" si="7">+D54</f>
        <v>429000.00000000006</v>
      </c>
      <c r="E66" s="13">
        <f t="shared" si="7"/>
        <v>471900.00000000012</v>
      </c>
      <c r="F66" s="13">
        <f t="shared" si="7"/>
        <v>519090.00000000017</v>
      </c>
      <c r="G66" s="13">
        <f t="shared" si="7"/>
        <v>570999.00000000023</v>
      </c>
      <c r="H66" s="13">
        <f t="shared" si="7"/>
        <v>628098.90000000026</v>
      </c>
    </row>
    <row r="67" spans="1:8" x14ac:dyDescent="0.25">
      <c r="A67" s="198" t="s">
        <v>54</v>
      </c>
      <c r="B67" s="199">
        <f>SUM(B64:B66)</f>
        <v>4778808</v>
      </c>
      <c r="C67" s="456">
        <f>SUM(C64:C66)</f>
        <v>3663000</v>
      </c>
      <c r="D67" s="199">
        <f>SUM(D64:D66)</f>
        <v>4309300</v>
      </c>
      <c r="E67" s="199">
        <f t="shared" ref="E67:H67" si="8">SUM(E64:E66)</f>
        <v>4857460.8326900899</v>
      </c>
      <c r="F67" s="199">
        <f t="shared" si="8"/>
        <v>5481691.9758969713</v>
      </c>
      <c r="G67" s="199">
        <f t="shared" si="8"/>
        <v>6193504.5135113532</v>
      </c>
      <c r="H67" s="199">
        <f t="shared" si="8"/>
        <v>7006286.5492145177</v>
      </c>
    </row>
    <row r="68" spans="1:8" x14ac:dyDescent="0.25">
      <c r="B68" s="13"/>
      <c r="C68" s="456"/>
      <c r="D68" s="13"/>
      <c r="E68" s="13"/>
      <c r="F68" s="13"/>
      <c r="G68" s="13"/>
      <c r="H68" s="13"/>
    </row>
    <row r="69" spans="1:8" x14ac:dyDescent="0.25">
      <c r="A69" s="197" t="s">
        <v>209</v>
      </c>
      <c r="B69" s="197"/>
      <c r="D69" s="197"/>
      <c r="E69" s="197"/>
      <c r="F69" s="197"/>
      <c r="G69" s="197"/>
      <c r="H69" s="197"/>
    </row>
    <row r="70" spans="1:8" x14ac:dyDescent="0.25">
      <c r="A70" t="s">
        <v>210</v>
      </c>
      <c r="B70" s="13">
        <f t="shared" ref="B70:H70" si="9">SUMIF($I$14:$I$30,"v",B14:B30)</f>
        <v>8084542.75</v>
      </c>
      <c r="C70" s="456">
        <f t="shared" si="9"/>
        <v>7061985.75</v>
      </c>
      <c r="D70" s="13">
        <f t="shared" si="9"/>
        <v>8474382.9000000004</v>
      </c>
      <c r="E70" s="13">
        <f t="shared" si="9"/>
        <v>9958653.8591677248</v>
      </c>
      <c r="F70" s="13">
        <f t="shared" si="9"/>
        <v>11706811.183445383</v>
      </c>
      <c r="G70" s="13">
        <f t="shared" si="9"/>
        <v>13766451.482818173</v>
      </c>
      <c r="H70" s="13">
        <f t="shared" si="9"/>
        <v>16193874.394403022</v>
      </c>
    </row>
    <row r="71" spans="1:8" x14ac:dyDescent="0.25">
      <c r="A71" t="s">
        <v>211</v>
      </c>
      <c r="B71" s="13">
        <f t="shared" ref="B71:H71" si="10">SUMIF($I$36:$I$49,"v",B36:B49)</f>
        <v>2449185</v>
      </c>
      <c r="C71" s="456">
        <f t="shared" si="10"/>
        <v>2139485</v>
      </c>
      <c r="D71" s="13">
        <f t="shared" si="10"/>
        <v>2311531</v>
      </c>
      <c r="E71" s="13">
        <f t="shared" si="10"/>
        <v>2499286.4750000001</v>
      </c>
      <c r="F71" s="13">
        <f t="shared" si="10"/>
        <v>2704367.6162500004</v>
      </c>
      <c r="G71" s="13">
        <f t="shared" si="10"/>
        <v>2928578.4963125004</v>
      </c>
      <c r="H71" s="13">
        <f t="shared" si="10"/>
        <v>3173935.9703031261</v>
      </c>
    </row>
    <row r="72" spans="1:8" x14ac:dyDescent="0.25">
      <c r="A72" t="s">
        <v>122</v>
      </c>
      <c r="B72" s="13">
        <f>+B55</f>
        <v>0</v>
      </c>
      <c r="C72" s="456">
        <f>+C55</f>
        <v>200000</v>
      </c>
      <c r="D72" s="13">
        <f t="shared" ref="D72:H72" si="11">+D55</f>
        <v>220000.00000000003</v>
      </c>
      <c r="E72" s="13">
        <f t="shared" si="11"/>
        <v>242000.00000000006</v>
      </c>
      <c r="F72" s="13">
        <f t="shared" si="11"/>
        <v>266200.00000000006</v>
      </c>
      <c r="G72" s="13">
        <f>+G55</f>
        <v>292820.00000000012</v>
      </c>
      <c r="H72" s="13">
        <f t="shared" si="11"/>
        <v>322102.00000000017</v>
      </c>
    </row>
    <row r="73" spans="1:8" x14ac:dyDescent="0.25">
      <c r="A73" s="198" t="s">
        <v>54</v>
      </c>
      <c r="B73" s="199">
        <f>SUM(B70:B72)</f>
        <v>10533727.75</v>
      </c>
      <c r="C73" s="456">
        <f>SUM(C70:C72)</f>
        <v>9401470.75</v>
      </c>
      <c r="D73" s="199">
        <f>SUM(D70:D72)</f>
        <v>11005913.9</v>
      </c>
      <c r="E73" s="199">
        <f t="shared" ref="E73:H73" si="12">SUM(E70:E72)</f>
        <v>12699940.334167724</v>
      </c>
      <c r="F73" s="199">
        <f t="shared" si="12"/>
        <v>14677378.799695384</v>
      </c>
      <c r="G73" s="199">
        <f t="shared" si="12"/>
        <v>16987849.979130674</v>
      </c>
      <c r="H73" s="199">
        <f t="shared" si="12"/>
        <v>19689912.364706147</v>
      </c>
    </row>
    <row r="75" spans="1:8" x14ac:dyDescent="0.25">
      <c r="A75" t="s">
        <v>35</v>
      </c>
      <c r="B75" s="13">
        <f>SUM(B64:B73)/2-B59-B50-B32</f>
        <v>0</v>
      </c>
      <c r="C75" s="13">
        <f>SUM(C64:C73)/2-C59-C50-C32</f>
        <v>0</v>
      </c>
      <c r="D75" s="13">
        <f t="shared" ref="D75:H75" si="13">SUM(D64:D73)/2-D59-D50-D32</f>
        <v>0</v>
      </c>
      <c r="E75" s="13">
        <f t="shared" si="13"/>
        <v>0</v>
      </c>
      <c r="F75" s="13">
        <f t="shared" si="13"/>
        <v>0</v>
      </c>
      <c r="G75" s="13">
        <f t="shared" si="13"/>
        <v>0</v>
      </c>
      <c r="H75" s="13">
        <f t="shared" si="13"/>
        <v>0</v>
      </c>
    </row>
    <row r="76" spans="1:8" x14ac:dyDescent="0.25">
      <c r="B76" s="310" t="s">
        <v>92</v>
      </c>
      <c r="D76" s="310" t="s">
        <v>468</v>
      </c>
      <c r="E76" s="310" t="s">
        <v>469</v>
      </c>
      <c r="F76" s="310" t="s">
        <v>470</v>
      </c>
    </row>
    <row r="77" spans="1:8" x14ac:dyDescent="0.25">
      <c r="A77" t="s">
        <v>403</v>
      </c>
      <c r="B77" s="407">
        <f>+'General details'!Q11</f>
        <v>12089978.039999999</v>
      </c>
      <c r="C77" s="456">
        <f>+'General details'!R11</f>
        <v>0</v>
      </c>
      <c r="D77" s="407">
        <f>+$B$32*0.45</f>
        <v>5513197.8375000004</v>
      </c>
      <c r="E77" s="407">
        <f>+$B$50*0.45</f>
        <v>1377443.25</v>
      </c>
      <c r="F77" s="407">
        <f>590000*0.5</f>
        <v>295000</v>
      </c>
      <c r="G77" s="13">
        <f>+B77+D77+E77+F77</f>
        <v>19275619.127499998</v>
      </c>
      <c r="H77" s="13">
        <f>+G77/$G$81</f>
        <v>0.40733878583512345</v>
      </c>
    </row>
    <row r="78" spans="1:8" x14ac:dyDescent="0.25">
      <c r="A78" t="s">
        <v>60</v>
      </c>
      <c r="B78" s="407">
        <f>+'General details'!Q12</f>
        <v>13999380</v>
      </c>
      <c r="C78" s="456"/>
      <c r="D78" s="407">
        <f>+$B$32*0.4</f>
        <v>4900620.3</v>
      </c>
      <c r="E78" s="407">
        <f>+$B$50*0.45</f>
        <v>1377443.25</v>
      </c>
      <c r="F78" s="310">
        <f>590000*0.45</f>
        <v>265500</v>
      </c>
      <c r="G78" s="13">
        <f t="shared" ref="G78:G80" si="14">+B78+D78+E78+F78</f>
        <v>20542943.550000001</v>
      </c>
      <c r="H78" s="13">
        <f t="shared" ref="H78:H80" si="15">+G78/$G$81</f>
        <v>0.43412030647556082</v>
      </c>
    </row>
    <row r="79" spans="1:8" x14ac:dyDescent="0.25">
      <c r="A79" t="s">
        <v>61</v>
      </c>
      <c r="B79" s="407">
        <f>+'General details'!Q13</f>
        <v>4740160</v>
      </c>
      <c r="C79" s="456"/>
      <c r="D79" s="407">
        <f>+$B$32*0.1</f>
        <v>1225155.075</v>
      </c>
      <c r="E79" s="407">
        <f>+$B$50*0.07</f>
        <v>214268.95</v>
      </c>
      <c r="F79" s="310">
        <f>590000*0.01</f>
        <v>5900</v>
      </c>
      <c r="G79" s="13">
        <f t="shared" si="14"/>
        <v>6185484.0250000004</v>
      </c>
      <c r="H79" s="13">
        <f t="shared" si="15"/>
        <v>0.13071370293633922</v>
      </c>
    </row>
    <row r="80" spans="1:8" x14ac:dyDescent="0.25">
      <c r="A80" t="s">
        <v>62</v>
      </c>
      <c r="B80" s="407">
        <f>+'General details'!Q14</f>
        <v>588800</v>
      </c>
      <c r="C80" s="456"/>
      <c r="D80" s="407">
        <f>+$B$32*0.05</f>
        <v>612577.53749999998</v>
      </c>
      <c r="E80" s="407">
        <f>+$B$50*0.03</f>
        <v>91829.55</v>
      </c>
      <c r="F80" s="310">
        <f>590000*0.04</f>
        <v>23600</v>
      </c>
      <c r="G80" s="13">
        <f t="shared" si="14"/>
        <v>1316807.0875000001</v>
      </c>
      <c r="H80" s="13">
        <f t="shared" si="15"/>
        <v>2.7827204752976634E-2</v>
      </c>
    </row>
    <row r="81" spans="1:8" x14ac:dyDescent="0.25">
      <c r="B81" s="407">
        <f>SUM(B77:B80)</f>
        <v>31418318.039999999</v>
      </c>
      <c r="C81" s="456"/>
      <c r="D81" s="407">
        <f t="shared" ref="D81:F81" si="16">SUM(D77:D80)</f>
        <v>12251550.749999998</v>
      </c>
      <c r="E81" s="407">
        <f>SUM(E77:E80)</f>
        <v>3060985</v>
      </c>
      <c r="F81" s="407">
        <f t="shared" si="16"/>
        <v>590000</v>
      </c>
      <c r="G81" s="13">
        <f>SUM(G77:G80)</f>
        <v>47320853.789999992</v>
      </c>
      <c r="H81" s="13"/>
    </row>
    <row r="82" spans="1:8" x14ac:dyDescent="0.25">
      <c r="B82" s="13">
        <f>+B81/$G$81</f>
        <v>0.6639423324741327</v>
      </c>
      <c r="C82" s="456"/>
      <c r="D82" s="13">
        <f>+D81/$G$81</f>
        <v>0.25890383982439974</v>
      </c>
      <c r="E82" s="13">
        <f>+E81/$G$81</f>
        <v>6.468575173186876E-2</v>
      </c>
      <c r="F82" s="13">
        <f>+F81/$G$81</f>
        <v>1.246807596959886E-2</v>
      </c>
    </row>
    <row r="83" spans="1:8" x14ac:dyDescent="0.25">
      <c r="A83" t="s">
        <v>482</v>
      </c>
    </row>
    <row r="84" spans="1:8" x14ac:dyDescent="0.25">
      <c r="A84" t="s">
        <v>92</v>
      </c>
    </row>
    <row r="85" spans="1:8" x14ac:dyDescent="0.25">
      <c r="A85" t="s">
        <v>468</v>
      </c>
    </row>
    <row r="86" spans="1:8" x14ac:dyDescent="0.25">
      <c r="A86" t="s">
        <v>470</v>
      </c>
    </row>
  </sheetData>
  <mergeCells count="3">
    <mergeCell ref="A13:H13"/>
    <mergeCell ref="A35:H35"/>
    <mergeCell ref="A53:H5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6" sqref="D6"/>
    </sheetView>
  </sheetViews>
  <sheetFormatPr defaultRowHeight="15" x14ac:dyDescent="0.25"/>
  <cols>
    <col min="3" max="3" width="42" customWidth="1"/>
    <col min="4" max="4" width="26.28515625" customWidth="1"/>
    <col min="5" max="5" width="32.28515625" bestFit="1" customWidth="1"/>
    <col min="6" max="6" width="24" customWidth="1"/>
  </cols>
  <sheetData>
    <row r="1" spans="1:6" x14ac:dyDescent="0.25">
      <c r="A1" s="352" t="s">
        <v>396</v>
      </c>
      <c r="B1" s="353" t="s">
        <v>394</v>
      </c>
      <c r="C1" s="506" t="s">
        <v>203</v>
      </c>
      <c r="D1" s="506"/>
      <c r="E1" s="506"/>
      <c r="F1" s="354" t="s">
        <v>202</v>
      </c>
    </row>
    <row r="2" spans="1:6" x14ac:dyDescent="0.25">
      <c r="A2" s="355"/>
      <c r="B2" s="356"/>
      <c r="C2" s="357" t="s">
        <v>57</v>
      </c>
      <c r="D2" s="357" t="s">
        <v>196</v>
      </c>
      <c r="E2" s="357" t="s">
        <v>198</v>
      </c>
      <c r="F2" s="358" t="s">
        <v>200</v>
      </c>
    </row>
    <row r="3" spans="1:6" x14ac:dyDescent="0.25">
      <c r="A3" s="355" t="s">
        <v>397</v>
      </c>
      <c r="B3" s="355" t="s">
        <v>395</v>
      </c>
      <c r="C3" s="355" t="s">
        <v>479</v>
      </c>
      <c r="D3" s="355" t="s">
        <v>199</v>
      </c>
      <c r="E3" s="355" t="s">
        <v>428</v>
      </c>
      <c r="F3" s="355" t="s">
        <v>201</v>
      </c>
    </row>
    <row r="4" spans="1:6" x14ac:dyDescent="0.25">
      <c r="A4" s="355" t="s">
        <v>398</v>
      </c>
      <c r="B4" s="355" t="s">
        <v>60</v>
      </c>
      <c r="C4" s="355" t="s">
        <v>429</v>
      </c>
      <c r="D4" s="355" t="s">
        <v>201</v>
      </c>
      <c r="E4" s="355" t="s">
        <v>430</v>
      </c>
      <c r="F4" s="355" t="s">
        <v>204</v>
      </c>
    </row>
    <row r="5" spans="1:6" x14ac:dyDescent="0.25">
      <c r="A5" s="355" t="s">
        <v>399</v>
      </c>
      <c r="B5" s="355" t="s">
        <v>61</v>
      </c>
      <c r="C5" s="355" t="s">
        <v>431</v>
      </c>
      <c r="D5" s="355" t="s">
        <v>205</v>
      </c>
      <c r="E5" s="355" t="s">
        <v>432</v>
      </c>
      <c r="F5" s="355" t="s">
        <v>197</v>
      </c>
    </row>
    <row r="6" spans="1:6" x14ac:dyDescent="0.25">
      <c r="A6" s="355" t="s">
        <v>399</v>
      </c>
      <c r="B6" s="355" t="s">
        <v>62</v>
      </c>
      <c r="C6" s="355" t="s">
        <v>433</v>
      </c>
      <c r="D6" s="355" t="s">
        <v>201</v>
      </c>
      <c r="E6" s="355" t="s">
        <v>434</v>
      </c>
      <c r="F6" s="355" t="s">
        <v>204</v>
      </c>
    </row>
  </sheetData>
  <mergeCells count="1">
    <mergeCell ref="C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activeCell="C9" sqref="C9"/>
      <selection pane="bottomLeft" activeCell="F18" sqref="F18"/>
    </sheetView>
  </sheetViews>
  <sheetFormatPr defaultRowHeight="12.75" x14ac:dyDescent="0.2"/>
  <cols>
    <col min="1" max="1" width="6.28515625" style="150" customWidth="1"/>
    <col min="2" max="2" width="15.7109375" style="149" customWidth="1"/>
    <col min="3" max="3" width="21.7109375" style="149" customWidth="1"/>
    <col min="4" max="8" width="14.7109375" style="149" customWidth="1"/>
    <col min="9" max="10" width="21.7109375" style="149" customWidth="1"/>
    <col min="11" max="16384" width="9.140625" style="148"/>
  </cols>
  <sheetData>
    <row r="1" spans="1:10" ht="24" customHeight="1" x14ac:dyDescent="0.35">
      <c r="A1" s="183" t="s">
        <v>178</v>
      </c>
      <c r="B1" s="182"/>
      <c r="C1" s="182"/>
      <c r="D1" s="182"/>
      <c r="E1" s="169"/>
      <c r="F1" s="169"/>
      <c r="G1" s="169"/>
      <c r="H1" s="169"/>
      <c r="I1" s="169"/>
      <c r="J1" s="169"/>
    </row>
    <row r="2" spans="1:10" ht="3" customHeight="1" x14ac:dyDescent="0.2">
      <c r="A2" s="165"/>
      <c r="B2" s="164"/>
      <c r="C2" s="164"/>
      <c r="D2" s="164"/>
      <c r="E2" s="164"/>
      <c r="F2" s="164"/>
      <c r="G2" s="164"/>
      <c r="H2" s="164"/>
      <c r="I2" s="164"/>
      <c r="J2" s="164"/>
    </row>
    <row r="3" spans="1:10" ht="20.25" customHeight="1" x14ac:dyDescent="0.2">
      <c r="A3" s="169"/>
      <c r="B3" s="166"/>
      <c r="C3" s="166"/>
      <c r="D3" s="166"/>
      <c r="E3" s="166"/>
      <c r="F3" s="166"/>
      <c r="G3" s="166"/>
      <c r="H3" s="166"/>
      <c r="I3" s="166"/>
      <c r="J3" s="166"/>
    </row>
    <row r="4" spans="1:10" ht="14.25" customHeight="1" x14ac:dyDescent="0.2">
      <c r="A4" s="169"/>
      <c r="B4" s="509" t="s">
        <v>177</v>
      </c>
      <c r="C4" s="510"/>
      <c r="D4" s="511"/>
      <c r="E4" s="169"/>
      <c r="F4" s="148"/>
      <c r="G4" s="148"/>
      <c r="H4" s="509" t="s">
        <v>176</v>
      </c>
      <c r="I4" s="510"/>
      <c r="J4" s="511"/>
    </row>
    <row r="5" spans="1:10" x14ac:dyDescent="0.2">
      <c r="A5" s="169"/>
      <c r="B5" s="178"/>
      <c r="C5" s="177" t="s">
        <v>175</v>
      </c>
      <c r="D5" s="172">
        <f>'General details'!C59</f>
        <v>20000000</v>
      </c>
      <c r="E5" s="169"/>
      <c r="F5" s="148"/>
      <c r="G5" s="148"/>
      <c r="H5" s="178"/>
      <c r="I5" s="177" t="s">
        <v>174</v>
      </c>
      <c r="J5" s="175">
        <f>IF(Values_Entered,-PMT(Interest_Rate/Num_Pmt_Per_Year,Loan_Years*Num_Pmt_Per_Year,Loan_Amount),"")</f>
        <v>1136407.7926360879</v>
      </c>
    </row>
    <row r="6" spans="1:10" x14ac:dyDescent="0.2">
      <c r="A6" s="169"/>
      <c r="B6" s="178"/>
      <c r="C6" s="177" t="s">
        <v>173</v>
      </c>
      <c r="D6" s="181">
        <f>'General details'!C55</f>
        <v>0.05</v>
      </c>
      <c r="E6" s="169"/>
      <c r="F6" s="148"/>
      <c r="G6" s="148"/>
      <c r="H6" s="178"/>
      <c r="I6" s="177" t="s">
        <v>172</v>
      </c>
      <c r="J6" s="180">
        <f>IF(Values_Entered,Loan_Years*Num_Pmt_Per_Year,"")</f>
        <v>20</v>
      </c>
    </row>
    <row r="7" spans="1:10" x14ac:dyDescent="0.2">
      <c r="A7" s="169"/>
      <c r="B7" s="178"/>
      <c r="C7" s="177" t="s">
        <v>171</v>
      </c>
      <c r="D7" s="179">
        <f>'General details'!C56</f>
        <v>5</v>
      </c>
      <c r="E7" s="169"/>
      <c r="F7" s="148"/>
      <c r="G7" s="148"/>
      <c r="H7" s="178"/>
      <c r="I7" s="177" t="s">
        <v>170</v>
      </c>
      <c r="J7" s="180">
        <f>IF(Values_Entered,Number_of_Payments,"")</f>
        <v>20</v>
      </c>
    </row>
    <row r="8" spans="1:10" x14ac:dyDescent="0.2">
      <c r="A8" s="169"/>
      <c r="B8" s="178"/>
      <c r="C8" s="177" t="s">
        <v>169</v>
      </c>
      <c r="D8" s="179">
        <f>'General details'!C57</f>
        <v>4</v>
      </c>
      <c r="E8" s="169"/>
      <c r="F8" s="148"/>
      <c r="G8" s="148"/>
      <c r="H8" s="178"/>
      <c r="I8" s="177" t="s">
        <v>168</v>
      </c>
      <c r="J8" s="175">
        <f>IF(Values_Entered,SUMIF(Beg_Bal,"&gt;0",Extra_Pay),"")</f>
        <v>0</v>
      </c>
    </row>
    <row r="9" spans="1:10" x14ac:dyDescent="0.2">
      <c r="A9" s="169"/>
      <c r="B9" s="178"/>
      <c r="C9" s="177" t="s">
        <v>167</v>
      </c>
      <c r="D9" s="176">
        <f>'General details'!C58</f>
        <v>43313</v>
      </c>
      <c r="E9" s="169"/>
      <c r="F9" s="148"/>
      <c r="G9" s="148"/>
      <c r="H9" s="174"/>
      <c r="I9" s="173" t="s">
        <v>166</v>
      </c>
      <c r="J9" s="175">
        <f>IF(Values_Entered,SUMIF(Beg_Bal,"&gt;0",Int),"")</f>
        <v>2728155.8527217521</v>
      </c>
    </row>
    <row r="10" spans="1:10" x14ac:dyDescent="0.2">
      <c r="A10" s="169"/>
      <c r="B10" s="174"/>
      <c r="C10" s="173" t="s">
        <v>165</v>
      </c>
      <c r="D10" s="172"/>
      <c r="E10" s="169"/>
      <c r="F10" s="166"/>
      <c r="G10" s="166"/>
      <c r="H10" s="166"/>
      <c r="I10" s="166"/>
      <c r="J10" s="171"/>
    </row>
    <row r="11" spans="1:10" x14ac:dyDescent="0.2">
      <c r="A11" s="169"/>
      <c r="B11" s="166"/>
      <c r="C11" s="166"/>
      <c r="D11" s="166"/>
      <c r="E11" s="166"/>
      <c r="F11" s="166"/>
      <c r="G11" s="166"/>
      <c r="H11" s="166"/>
      <c r="I11" s="166"/>
      <c r="J11" s="166"/>
    </row>
    <row r="12" spans="1:10" x14ac:dyDescent="0.2">
      <c r="A12" s="169"/>
      <c r="B12" s="168" t="s">
        <v>164</v>
      </c>
      <c r="C12" s="507"/>
      <c r="D12" s="508"/>
      <c r="E12" s="170"/>
      <c r="F12" s="166"/>
      <c r="G12" s="166"/>
      <c r="H12" s="166"/>
      <c r="I12" s="166"/>
      <c r="J12" s="166"/>
    </row>
    <row r="13" spans="1:10" x14ac:dyDescent="0.2">
      <c r="A13" s="169"/>
      <c r="B13" s="168"/>
      <c r="C13" s="167"/>
      <c r="D13" s="167"/>
      <c r="E13" s="166"/>
      <c r="F13" s="166"/>
      <c r="G13" s="166"/>
      <c r="H13" s="166"/>
      <c r="I13" s="166"/>
      <c r="J13" s="166"/>
    </row>
    <row r="14" spans="1:10" ht="6" customHeight="1" x14ac:dyDescent="0.2">
      <c r="A14" s="165"/>
      <c r="B14" s="164"/>
      <c r="C14" s="164"/>
      <c r="D14" s="164"/>
      <c r="E14" s="164"/>
      <c r="F14" s="164"/>
      <c r="G14" s="164"/>
      <c r="H14" s="164"/>
      <c r="I14" s="164"/>
      <c r="J14" s="164"/>
    </row>
    <row r="15" spans="1:10" ht="3.75" customHeight="1" x14ac:dyDescent="0.25">
      <c r="A15" s="163"/>
      <c r="B15" s="162"/>
      <c r="C15" s="162"/>
      <c r="D15" s="162"/>
      <c r="E15" s="162"/>
      <c r="F15" s="162"/>
      <c r="G15" s="162"/>
      <c r="H15" s="162"/>
      <c r="I15" s="162"/>
      <c r="J15" s="162"/>
    </row>
    <row r="16" spans="1:10" s="155" customFormat="1" ht="25.5" x14ac:dyDescent="0.2">
      <c r="A16" s="161" t="s">
        <v>163</v>
      </c>
      <c r="B16" s="160" t="s">
        <v>162</v>
      </c>
      <c r="C16" s="160" t="s">
        <v>161</v>
      </c>
      <c r="D16" s="160" t="s">
        <v>160</v>
      </c>
      <c r="E16" s="160" t="s">
        <v>159</v>
      </c>
      <c r="F16" s="160" t="s">
        <v>158</v>
      </c>
      <c r="G16" s="160" t="s">
        <v>157</v>
      </c>
      <c r="H16" s="160" t="s">
        <v>156</v>
      </c>
      <c r="I16" s="160" t="s">
        <v>155</v>
      </c>
      <c r="J16" s="159" t="s">
        <v>154</v>
      </c>
    </row>
    <row r="17" spans="1:10" s="155" customFormat="1" ht="6" customHeight="1" x14ac:dyDescent="0.25">
      <c r="A17" s="158"/>
      <c r="B17" s="157"/>
      <c r="C17" s="157"/>
      <c r="D17" s="157"/>
      <c r="E17" s="157"/>
      <c r="F17" s="157"/>
      <c r="G17" s="157"/>
      <c r="H17" s="157"/>
      <c r="I17" s="157"/>
      <c r="J17" s="156"/>
    </row>
    <row r="18" spans="1:10" s="155" customFormat="1" x14ac:dyDescent="0.2">
      <c r="A18" s="154">
        <f>IF(Values_Entered,1,"")</f>
        <v>1</v>
      </c>
      <c r="B18" s="153">
        <f t="shared" ref="B18:B81" si="0">IF(Pay_Num&lt;&gt;"",DATE(YEAR(Loan_Start),MONTH(Loan_Start)+(Pay_Num)*12/Num_Pmt_Per_Year,DAY(Loan_Start)),"")</f>
        <v>43405</v>
      </c>
      <c r="C18" s="151">
        <f>IF(Values_Entered,Loan_Amount,"")</f>
        <v>20000000</v>
      </c>
      <c r="D18" s="151">
        <f t="shared" ref="D18:D81" si="1">IF(Pay_Num&lt;&gt;"",Scheduled_Monthly_Payment,"")</f>
        <v>1136407.7926360879</v>
      </c>
      <c r="E18" s="152">
        <f t="shared" ref="E18:E81" si="2">IF(AND(Pay_Num&lt;&gt;"",Sched_Pay+Scheduled_Extra_Payments&lt;Beg_Bal),Scheduled_Extra_Payments,IF(AND(Pay_Num&lt;&gt;"",Beg_Bal-Sched_Pay&gt;0),Beg_Bal-Sched_Pay,IF(Pay_Num&lt;&gt;"",0,"")))</f>
        <v>0</v>
      </c>
      <c r="F18" s="151">
        <f t="shared" ref="F18:F81" si="3">IF(AND(Pay_Num&lt;&gt;"",Sched_Pay+Extra_Pay&lt;Beg_Bal),Sched_Pay+Extra_Pay,IF(Pay_Num&lt;&gt;"",Beg_Bal,""))</f>
        <v>1136407.7926360879</v>
      </c>
      <c r="G18" s="151">
        <f t="shared" ref="G18:G81" si="4">IF(Pay_Num&lt;&gt;"",Total_Pay-Int,"")</f>
        <v>886407.79263608786</v>
      </c>
      <c r="H18" s="151">
        <f>IF(Pay_Num&lt;&gt;"",Beg_Bal*(Interest_Rate/Num_Pmt_Per_Year),"")</f>
        <v>250000</v>
      </c>
      <c r="I18" s="151">
        <f t="shared" ref="I18:I81" si="5">IF(AND(Pay_Num&lt;&gt;"",Sched_Pay+Extra_Pay&lt;Beg_Bal),Beg_Bal-Princ,IF(Pay_Num&lt;&gt;"",0,""))</f>
        <v>19113592.207363911</v>
      </c>
      <c r="J18" s="151">
        <f>SUM($H$18:$H18)</f>
        <v>250000</v>
      </c>
    </row>
    <row r="19" spans="1:10" s="155" customFormat="1" ht="12.75" customHeight="1" x14ac:dyDescent="0.2">
      <c r="A19" s="154">
        <f>IF(Values_Entered,A18+1,"")</f>
        <v>2</v>
      </c>
      <c r="B19" s="153">
        <f t="shared" si="0"/>
        <v>43497</v>
      </c>
      <c r="C19" s="151">
        <f t="shared" ref="C19:C82" si="6">IF(Pay_Num&lt;&gt;"",I18,"")</f>
        <v>19113592.207363911</v>
      </c>
      <c r="D19" s="151">
        <f t="shared" si="1"/>
        <v>1136407.7926360879</v>
      </c>
      <c r="E19" s="152">
        <f t="shared" si="2"/>
        <v>0</v>
      </c>
      <c r="F19" s="151">
        <f t="shared" si="3"/>
        <v>1136407.7926360879</v>
      </c>
      <c r="G19" s="151">
        <f t="shared" si="4"/>
        <v>897487.890044039</v>
      </c>
      <c r="H19" s="151">
        <f t="shared" ref="H19:H82" si="7">IF(Pay_Num&lt;&gt;"",Beg_Bal*Interest_Rate/Num_Pmt_Per_Year,"")</f>
        <v>238919.90259204889</v>
      </c>
      <c r="I19" s="151">
        <f t="shared" si="5"/>
        <v>18216104.317319874</v>
      </c>
      <c r="J19" s="151">
        <f>SUM($H$18:$H19)</f>
        <v>488919.90259204886</v>
      </c>
    </row>
    <row r="20" spans="1:10" s="155" customFormat="1" ht="12.75" customHeight="1" x14ac:dyDescent="0.2">
      <c r="A20" s="154">
        <f>IF(Values_Entered,A19+1,"")</f>
        <v>3</v>
      </c>
      <c r="B20" s="153">
        <f t="shared" si="0"/>
        <v>43586</v>
      </c>
      <c r="C20" s="151">
        <f t="shared" si="6"/>
        <v>18216104.317319874</v>
      </c>
      <c r="D20" s="151">
        <f t="shared" si="1"/>
        <v>1136407.7926360879</v>
      </c>
      <c r="E20" s="152">
        <f t="shared" si="2"/>
        <v>0</v>
      </c>
      <c r="F20" s="151">
        <f t="shared" si="3"/>
        <v>1136407.7926360879</v>
      </c>
      <c r="G20" s="151">
        <f t="shared" si="4"/>
        <v>908706.48866958939</v>
      </c>
      <c r="H20" s="151">
        <f t="shared" si="7"/>
        <v>227701.30396649844</v>
      </c>
      <c r="I20" s="151">
        <f t="shared" si="5"/>
        <v>17307397.828650285</v>
      </c>
      <c r="J20" s="151">
        <f>SUM($H$18:$H20)</f>
        <v>716621.20655854733</v>
      </c>
    </row>
    <row r="21" spans="1:10" s="155" customFormat="1" x14ac:dyDescent="0.2">
      <c r="A21" s="154">
        <f>IF(Values_Entered,A20+1,"")</f>
        <v>4</v>
      </c>
      <c r="B21" s="153">
        <f t="shared" si="0"/>
        <v>43678</v>
      </c>
      <c r="C21" s="151">
        <f t="shared" si="6"/>
        <v>17307397.828650285</v>
      </c>
      <c r="D21" s="151">
        <f t="shared" si="1"/>
        <v>1136407.7926360879</v>
      </c>
      <c r="E21" s="152">
        <f t="shared" si="2"/>
        <v>0</v>
      </c>
      <c r="F21" s="151">
        <f t="shared" si="3"/>
        <v>1136407.7926360879</v>
      </c>
      <c r="G21" s="151">
        <f t="shared" si="4"/>
        <v>920065.31977795926</v>
      </c>
      <c r="H21" s="151">
        <f t="shared" si="7"/>
        <v>216342.47285812857</v>
      </c>
      <c r="I21" s="151">
        <f t="shared" si="5"/>
        <v>16387332.508872325</v>
      </c>
      <c r="J21" s="151">
        <f>SUM($H$18:$H21)</f>
        <v>932963.67941667594</v>
      </c>
    </row>
    <row r="22" spans="1:10" s="155" customFormat="1" x14ac:dyDescent="0.2">
      <c r="A22" s="154">
        <f>IF(Values_Entered,A21+1,"")</f>
        <v>5</v>
      </c>
      <c r="B22" s="153">
        <f t="shared" si="0"/>
        <v>43770</v>
      </c>
      <c r="C22" s="151">
        <f t="shared" si="6"/>
        <v>16387332.508872325</v>
      </c>
      <c r="D22" s="151">
        <f t="shared" si="1"/>
        <v>1136407.7926360879</v>
      </c>
      <c r="E22" s="152">
        <f t="shared" si="2"/>
        <v>0</v>
      </c>
      <c r="F22" s="151">
        <f t="shared" si="3"/>
        <v>1136407.7926360879</v>
      </c>
      <c r="G22" s="151">
        <f t="shared" si="4"/>
        <v>931566.13627518376</v>
      </c>
      <c r="H22" s="151">
        <f t="shared" si="7"/>
        <v>204841.65636090407</v>
      </c>
      <c r="I22" s="151">
        <f t="shared" si="5"/>
        <v>15455766.372597141</v>
      </c>
      <c r="J22" s="151">
        <f>SUM($H$18:$H22)</f>
        <v>1137805.33577758</v>
      </c>
    </row>
    <row r="23" spans="1:10" x14ac:dyDescent="0.2">
      <c r="A23" s="154">
        <f>IF(Values_Entered,A22+1,"")</f>
        <v>6</v>
      </c>
      <c r="B23" s="153">
        <f t="shared" si="0"/>
        <v>43862</v>
      </c>
      <c r="C23" s="151">
        <f t="shared" si="6"/>
        <v>15455766.372597141</v>
      </c>
      <c r="D23" s="151">
        <f t="shared" si="1"/>
        <v>1136407.7926360879</v>
      </c>
      <c r="E23" s="152">
        <f t="shared" si="2"/>
        <v>0</v>
      </c>
      <c r="F23" s="151">
        <f t="shared" si="3"/>
        <v>1136407.7926360879</v>
      </c>
      <c r="G23" s="151">
        <f t="shared" si="4"/>
        <v>943210.71297862357</v>
      </c>
      <c r="H23" s="151">
        <f t="shared" si="7"/>
        <v>193197.07965746429</v>
      </c>
      <c r="I23" s="151">
        <f t="shared" si="5"/>
        <v>14512555.659618517</v>
      </c>
      <c r="J23" s="151">
        <f>SUM($H$18:$H23)</f>
        <v>1331002.4154350443</v>
      </c>
    </row>
    <row r="24" spans="1:10" x14ac:dyDescent="0.2">
      <c r="A24" s="154">
        <f>IF(Values_Entered,A23+1,"")</f>
        <v>7</v>
      </c>
      <c r="B24" s="153">
        <f t="shared" si="0"/>
        <v>43952</v>
      </c>
      <c r="C24" s="151">
        <f t="shared" si="6"/>
        <v>14512555.659618517</v>
      </c>
      <c r="D24" s="151">
        <f t="shared" si="1"/>
        <v>1136407.7926360879</v>
      </c>
      <c r="E24" s="152">
        <f t="shared" si="2"/>
        <v>0</v>
      </c>
      <c r="F24" s="151">
        <f t="shared" si="3"/>
        <v>1136407.7926360879</v>
      </c>
      <c r="G24" s="151">
        <f t="shared" si="4"/>
        <v>955000.8468908564</v>
      </c>
      <c r="H24" s="151">
        <f t="shared" si="7"/>
        <v>181406.94574523147</v>
      </c>
      <c r="I24" s="151">
        <f t="shared" si="5"/>
        <v>13557554.812727662</v>
      </c>
      <c r="J24" s="151">
        <f>SUM($H$18:$H24)</f>
        <v>1512409.3611802757</v>
      </c>
    </row>
    <row r="25" spans="1:10" x14ac:dyDescent="0.2">
      <c r="A25" s="154">
        <f>IF(Values_Entered,A24+1,"")</f>
        <v>8</v>
      </c>
      <c r="B25" s="153">
        <f t="shared" si="0"/>
        <v>44044</v>
      </c>
      <c r="C25" s="151">
        <f t="shared" si="6"/>
        <v>13557554.812727662</v>
      </c>
      <c r="D25" s="151">
        <f t="shared" si="1"/>
        <v>1136407.7926360879</v>
      </c>
      <c r="E25" s="152">
        <f t="shared" si="2"/>
        <v>0</v>
      </c>
      <c r="F25" s="151">
        <f t="shared" si="3"/>
        <v>1136407.7926360879</v>
      </c>
      <c r="G25" s="151">
        <f t="shared" si="4"/>
        <v>966938.35747699207</v>
      </c>
      <c r="H25" s="151">
        <f t="shared" si="7"/>
        <v>169469.4351590958</v>
      </c>
      <c r="I25" s="151">
        <f t="shared" si="5"/>
        <v>12590616.455250669</v>
      </c>
      <c r="J25" s="151">
        <f>SUM($H$18:$H25)</f>
        <v>1681878.7963393715</v>
      </c>
    </row>
    <row r="26" spans="1:10" x14ac:dyDescent="0.2">
      <c r="A26" s="154">
        <f>IF(Values_Entered,A25+1,"")</f>
        <v>9</v>
      </c>
      <c r="B26" s="153">
        <f t="shared" si="0"/>
        <v>44136</v>
      </c>
      <c r="C26" s="151">
        <f t="shared" si="6"/>
        <v>12590616.455250669</v>
      </c>
      <c r="D26" s="151">
        <f t="shared" si="1"/>
        <v>1136407.7926360879</v>
      </c>
      <c r="E26" s="152">
        <f t="shared" si="2"/>
        <v>0</v>
      </c>
      <c r="F26" s="151">
        <f t="shared" si="3"/>
        <v>1136407.7926360879</v>
      </c>
      <c r="G26" s="151">
        <f t="shared" si="4"/>
        <v>979025.08694545447</v>
      </c>
      <c r="H26" s="151">
        <f t="shared" si="7"/>
        <v>157382.70569063339</v>
      </c>
      <c r="I26" s="151">
        <f t="shared" si="5"/>
        <v>11611591.368305216</v>
      </c>
      <c r="J26" s="151">
        <f>SUM($H$18:$H26)</f>
        <v>1839261.5020300047</v>
      </c>
    </row>
    <row r="27" spans="1:10" x14ac:dyDescent="0.2">
      <c r="A27" s="154">
        <f>IF(Values_Entered,A26+1,"")</f>
        <v>10</v>
      </c>
      <c r="B27" s="153">
        <f t="shared" si="0"/>
        <v>44228</v>
      </c>
      <c r="C27" s="151">
        <f t="shared" si="6"/>
        <v>11611591.368305216</v>
      </c>
      <c r="D27" s="151">
        <f t="shared" si="1"/>
        <v>1136407.7926360879</v>
      </c>
      <c r="E27" s="152">
        <f t="shared" si="2"/>
        <v>0</v>
      </c>
      <c r="F27" s="151">
        <f t="shared" si="3"/>
        <v>1136407.7926360879</v>
      </c>
      <c r="G27" s="151">
        <f t="shared" si="4"/>
        <v>991262.90053227264</v>
      </c>
      <c r="H27" s="151">
        <f t="shared" si="7"/>
        <v>145144.89210381519</v>
      </c>
      <c r="I27" s="151">
        <f t="shared" si="5"/>
        <v>10620328.467772942</v>
      </c>
      <c r="J27" s="151">
        <f>SUM($H$18:$H27)</f>
        <v>1984406.39413382</v>
      </c>
    </row>
    <row r="28" spans="1:10" x14ac:dyDescent="0.2">
      <c r="A28" s="154">
        <f>IF(Values_Entered,A27+1,"")</f>
        <v>11</v>
      </c>
      <c r="B28" s="153">
        <f t="shared" si="0"/>
        <v>44317</v>
      </c>
      <c r="C28" s="151">
        <f t="shared" si="6"/>
        <v>10620328.467772942</v>
      </c>
      <c r="D28" s="151">
        <f t="shared" si="1"/>
        <v>1136407.7926360879</v>
      </c>
      <c r="E28" s="152">
        <f t="shared" si="2"/>
        <v>0</v>
      </c>
      <c r="F28" s="151">
        <f t="shared" si="3"/>
        <v>1136407.7926360879</v>
      </c>
      <c r="G28" s="151">
        <f t="shared" si="4"/>
        <v>1003653.6867889261</v>
      </c>
      <c r="H28" s="151">
        <f t="shared" si="7"/>
        <v>132754.10584716179</v>
      </c>
      <c r="I28" s="151">
        <f t="shared" si="5"/>
        <v>9616674.7809840161</v>
      </c>
      <c r="J28" s="151">
        <f>SUM($H$18:$H28)</f>
        <v>2117160.4999809819</v>
      </c>
    </row>
    <row r="29" spans="1:10" x14ac:dyDescent="0.2">
      <c r="A29" s="154">
        <f>IF(Values_Entered,A28+1,"")</f>
        <v>12</v>
      </c>
      <c r="B29" s="153">
        <f t="shared" si="0"/>
        <v>44409</v>
      </c>
      <c r="C29" s="151">
        <f t="shared" si="6"/>
        <v>9616674.7809840161</v>
      </c>
      <c r="D29" s="151">
        <f t="shared" si="1"/>
        <v>1136407.7926360879</v>
      </c>
      <c r="E29" s="152">
        <f t="shared" si="2"/>
        <v>0</v>
      </c>
      <c r="F29" s="151">
        <f t="shared" si="3"/>
        <v>1136407.7926360879</v>
      </c>
      <c r="G29" s="151">
        <f t="shared" si="4"/>
        <v>1016199.3578737876</v>
      </c>
      <c r="H29" s="151">
        <f t="shared" si="7"/>
        <v>120208.43476230021</v>
      </c>
      <c r="I29" s="151">
        <f t="shared" si="5"/>
        <v>8600475.423110228</v>
      </c>
      <c r="J29" s="151">
        <f>SUM($H$18:$H29)</f>
        <v>2237368.9347432819</v>
      </c>
    </row>
    <row r="30" spans="1:10" x14ac:dyDescent="0.2">
      <c r="A30" s="154">
        <f>IF(Values_Entered,A29+1,"")</f>
        <v>13</v>
      </c>
      <c r="B30" s="153">
        <f t="shared" si="0"/>
        <v>44501</v>
      </c>
      <c r="C30" s="151">
        <f t="shared" si="6"/>
        <v>8600475.423110228</v>
      </c>
      <c r="D30" s="151">
        <f t="shared" si="1"/>
        <v>1136407.7926360879</v>
      </c>
      <c r="E30" s="152">
        <f t="shared" si="2"/>
        <v>0</v>
      </c>
      <c r="F30" s="151">
        <f t="shared" si="3"/>
        <v>1136407.7926360879</v>
      </c>
      <c r="G30" s="151">
        <f t="shared" si="4"/>
        <v>1028901.84984721</v>
      </c>
      <c r="H30" s="151">
        <f t="shared" si="7"/>
        <v>107505.94278887786</v>
      </c>
      <c r="I30" s="151">
        <f t="shared" si="5"/>
        <v>7571573.5732630184</v>
      </c>
      <c r="J30" s="151">
        <f>SUM($H$18:$H30)</f>
        <v>2344874.8775321599</v>
      </c>
    </row>
    <row r="31" spans="1:10" x14ac:dyDescent="0.2">
      <c r="A31" s="154">
        <f>IF(Values_Entered,A30+1,"")</f>
        <v>14</v>
      </c>
      <c r="B31" s="153">
        <f t="shared" si="0"/>
        <v>44593</v>
      </c>
      <c r="C31" s="151">
        <f t="shared" si="6"/>
        <v>7571573.5732630184</v>
      </c>
      <c r="D31" s="151">
        <f t="shared" si="1"/>
        <v>1136407.7926360879</v>
      </c>
      <c r="E31" s="152">
        <f t="shared" si="2"/>
        <v>0</v>
      </c>
      <c r="F31" s="151">
        <f t="shared" si="3"/>
        <v>1136407.7926360879</v>
      </c>
      <c r="G31" s="151">
        <f t="shared" si="4"/>
        <v>1041763.1229703001</v>
      </c>
      <c r="H31" s="151">
        <f t="shared" si="7"/>
        <v>94644.669665787733</v>
      </c>
      <c r="I31" s="151">
        <f t="shared" si="5"/>
        <v>6529810.4502927186</v>
      </c>
      <c r="J31" s="151">
        <f>SUM($H$18:$H31)</f>
        <v>2439519.5471979477</v>
      </c>
    </row>
    <row r="32" spans="1:10" x14ac:dyDescent="0.2">
      <c r="A32" s="154">
        <f>IF(Values_Entered,A31+1,"")</f>
        <v>15</v>
      </c>
      <c r="B32" s="153">
        <f t="shared" si="0"/>
        <v>44682</v>
      </c>
      <c r="C32" s="151">
        <f t="shared" si="6"/>
        <v>6529810.4502927186</v>
      </c>
      <c r="D32" s="151">
        <f t="shared" si="1"/>
        <v>1136407.7926360879</v>
      </c>
      <c r="E32" s="152">
        <f t="shared" si="2"/>
        <v>0</v>
      </c>
      <c r="F32" s="151">
        <f t="shared" si="3"/>
        <v>1136407.7926360879</v>
      </c>
      <c r="G32" s="151">
        <f t="shared" si="4"/>
        <v>1054785.1620074289</v>
      </c>
      <c r="H32" s="151">
        <f t="shared" si="7"/>
        <v>81622.630628658982</v>
      </c>
      <c r="I32" s="151">
        <f t="shared" si="5"/>
        <v>5475025.2882852899</v>
      </c>
      <c r="J32" s="151">
        <f>SUM($H$18:$H32)</f>
        <v>2521142.1778266067</v>
      </c>
    </row>
    <row r="33" spans="1:10" x14ac:dyDescent="0.2">
      <c r="A33" s="154">
        <f>IF(Values_Entered,A32+1,"")</f>
        <v>16</v>
      </c>
      <c r="B33" s="153">
        <f t="shared" si="0"/>
        <v>44774</v>
      </c>
      <c r="C33" s="151">
        <f t="shared" si="6"/>
        <v>5475025.2882852899</v>
      </c>
      <c r="D33" s="151">
        <f t="shared" si="1"/>
        <v>1136407.7926360879</v>
      </c>
      <c r="E33" s="152">
        <f t="shared" si="2"/>
        <v>0</v>
      </c>
      <c r="F33" s="151">
        <f t="shared" si="3"/>
        <v>1136407.7926360879</v>
      </c>
      <c r="G33" s="151">
        <f t="shared" si="4"/>
        <v>1067969.9765325217</v>
      </c>
      <c r="H33" s="151">
        <f t="shared" si="7"/>
        <v>68437.816103566132</v>
      </c>
      <c r="I33" s="151">
        <f t="shared" si="5"/>
        <v>4407055.3117527682</v>
      </c>
      <c r="J33" s="151">
        <f>SUM($H$18:$H33)</f>
        <v>2589579.9939301726</v>
      </c>
    </row>
    <row r="34" spans="1:10" x14ac:dyDescent="0.2">
      <c r="A34" s="154">
        <f>IF(Values_Entered,A33+1,"")</f>
        <v>17</v>
      </c>
      <c r="B34" s="153">
        <f t="shared" si="0"/>
        <v>44866</v>
      </c>
      <c r="C34" s="151">
        <f t="shared" si="6"/>
        <v>4407055.3117527682</v>
      </c>
      <c r="D34" s="151">
        <f t="shared" si="1"/>
        <v>1136407.7926360879</v>
      </c>
      <c r="E34" s="152">
        <f t="shared" si="2"/>
        <v>0</v>
      </c>
      <c r="F34" s="151">
        <f t="shared" si="3"/>
        <v>1136407.7926360879</v>
      </c>
      <c r="G34" s="151">
        <f t="shared" si="4"/>
        <v>1081319.6012391783</v>
      </c>
      <c r="H34" s="151">
        <f t="shared" si="7"/>
        <v>55088.191396909606</v>
      </c>
      <c r="I34" s="151">
        <f t="shared" si="5"/>
        <v>3325735.7105135899</v>
      </c>
      <c r="J34" s="151">
        <f>SUM($H$18:$H34)</f>
        <v>2644668.1853270824</v>
      </c>
    </row>
    <row r="35" spans="1:10" x14ac:dyDescent="0.2">
      <c r="A35" s="154">
        <f>IF(Values_Entered,A34+1,"")</f>
        <v>18</v>
      </c>
      <c r="B35" s="153">
        <f t="shared" si="0"/>
        <v>44958</v>
      </c>
      <c r="C35" s="151">
        <f t="shared" si="6"/>
        <v>3325735.7105135899</v>
      </c>
      <c r="D35" s="151">
        <f t="shared" si="1"/>
        <v>1136407.7926360879</v>
      </c>
      <c r="E35" s="152">
        <f t="shared" si="2"/>
        <v>0</v>
      </c>
      <c r="F35" s="151">
        <f t="shared" si="3"/>
        <v>1136407.7926360879</v>
      </c>
      <c r="G35" s="151">
        <f t="shared" si="4"/>
        <v>1094836.096254668</v>
      </c>
      <c r="H35" s="151">
        <f t="shared" si="7"/>
        <v>41571.696381419875</v>
      </c>
      <c r="I35" s="151">
        <f t="shared" si="5"/>
        <v>2230899.6142589217</v>
      </c>
      <c r="J35" s="151">
        <f>SUM($H$18:$H35)</f>
        <v>2686239.8817085023</v>
      </c>
    </row>
    <row r="36" spans="1:10" x14ac:dyDescent="0.2">
      <c r="A36" s="154">
        <f>IF(Values_Entered,A35+1,"")</f>
        <v>19</v>
      </c>
      <c r="B36" s="153">
        <f t="shared" si="0"/>
        <v>45047</v>
      </c>
      <c r="C36" s="151">
        <f t="shared" si="6"/>
        <v>2230899.6142589217</v>
      </c>
      <c r="D36" s="151">
        <f t="shared" si="1"/>
        <v>1136407.7926360879</v>
      </c>
      <c r="E36" s="152">
        <f t="shared" si="2"/>
        <v>0</v>
      </c>
      <c r="F36" s="151">
        <f t="shared" si="3"/>
        <v>1136407.7926360879</v>
      </c>
      <c r="G36" s="151">
        <f t="shared" si="4"/>
        <v>1108521.5474578512</v>
      </c>
      <c r="H36" s="151">
        <f t="shared" si="7"/>
        <v>27886.245178236524</v>
      </c>
      <c r="I36" s="151">
        <f t="shared" si="5"/>
        <v>1122378.0668010705</v>
      </c>
      <c r="J36" s="151">
        <f>SUM($H$18:$H36)</f>
        <v>2714126.1268867389</v>
      </c>
    </row>
    <row r="37" spans="1:10" x14ac:dyDescent="0.2">
      <c r="A37" s="154">
        <f>IF(Values_Entered,A36+1,"")</f>
        <v>20</v>
      </c>
      <c r="B37" s="153">
        <f t="shared" si="0"/>
        <v>45139</v>
      </c>
      <c r="C37" s="151">
        <f t="shared" si="6"/>
        <v>1122378.0668010705</v>
      </c>
      <c r="D37" s="151">
        <f t="shared" si="1"/>
        <v>1136407.7926360879</v>
      </c>
      <c r="E37" s="152">
        <f t="shared" si="2"/>
        <v>0</v>
      </c>
      <c r="F37" s="151">
        <f t="shared" si="3"/>
        <v>1122378.0668010705</v>
      </c>
      <c r="G37" s="151">
        <f t="shared" si="4"/>
        <v>1108348.340966057</v>
      </c>
      <c r="H37" s="151">
        <f t="shared" si="7"/>
        <v>14029.725835013382</v>
      </c>
      <c r="I37" s="151">
        <f t="shared" si="5"/>
        <v>0</v>
      </c>
      <c r="J37" s="151">
        <f>SUM($H$18:$H37)</f>
        <v>2728155.8527217521</v>
      </c>
    </row>
    <row r="38" spans="1:10" x14ac:dyDescent="0.2">
      <c r="A38" s="154">
        <f>IF(Values_Entered,A37+1,"")</f>
        <v>21</v>
      </c>
      <c r="B38" s="153">
        <f t="shared" si="0"/>
        <v>45231</v>
      </c>
      <c r="C38" s="151">
        <f t="shared" si="6"/>
        <v>0</v>
      </c>
      <c r="D38" s="151">
        <f t="shared" si="1"/>
        <v>1136407.7926360879</v>
      </c>
      <c r="E38" s="152">
        <f t="shared" si="2"/>
        <v>0</v>
      </c>
      <c r="F38" s="151">
        <f t="shared" si="3"/>
        <v>0</v>
      </c>
      <c r="G38" s="151">
        <f t="shared" si="4"/>
        <v>0</v>
      </c>
      <c r="H38" s="151">
        <f t="shared" si="7"/>
        <v>0</v>
      </c>
      <c r="I38" s="151">
        <f t="shared" si="5"/>
        <v>0</v>
      </c>
      <c r="J38" s="151">
        <f>SUM($H$18:$H38)</f>
        <v>2728155.8527217521</v>
      </c>
    </row>
    <row r="39" spans="1:10" x14ac:dyDescent="0.2">
      <c r="A39" s="154">
        <f>IF(Values_Entered,A38+1,"")</f>
        <v>22</v>
      </c>
      <c r="B39" s="153">
        <f t="shared" si="0"/>
        <v>45323</v>
      </c>
      <c r="C39" s="151">
        <f t="shared" si="6"/>
        <v>0</v>
      </c>
      <c r="D39" s="151">
        <f t="shared" si="1"/>
        <v>1136407.7926360879</v>
      </c>
      <c r="E39" s="152">
        <f t="shared" si="2"/>
        <v>0</v>
      </c>
      <c r="F39" s="151">
        <f t="shared" si="3"/>
        <v>0</v>
      </c>
      <c r="G39" s="151">
        <f t="shared" si="4"/>
        <v>0</v>
      </c>
      <c r="H39" s="151">
        <f t="shared" si="7"/>
        <v>0</v>
      </c>
      <c r="I39" s="151">
        <f t="shared" si="5"/>
        <v>0</v>
      </c>
      <c r="J39" s="151">
        <f>SUM($H$18:$H39)</f>
        <v>2728155.8527217521</v>
      </c>
    </row>
    <row r="40" spans="1:10" x14ac:dyDescent="0.2">
      <c r="A40" s="154">
        <f>IF(Values_Entered,A39+1,"")</f>
        <v>23</v>
      </c>
      <c r="B40" s="153">
        <f t="shared" si="0"/>
        <v>45413</v>
      </c>
      <c r="C40" s="151">
        <f t="shared" si="6"/>
        <v>0</v>
      </c>
      <c r="D40" s="151">
        <f t="shared" si="1"/>
        <v>1136407.7926360879</v>
      </c>
      <c r="E40" s="152">
        <f t="shared" si="2"/>
        <v>0</v>
      </c>
      <c r="F40" s="151">
        <f t="shared" si="3"/>
        <v>0</v>
      </c>
      <c r="G40" s="151">
        <f t="shared" si="4"/>
        <v>0</v>
      </c>
      <c r="H40" s="151">
        <f t="shared" si="7"/>
        <v>0</v>
      </c>
      <c r="I40" s="151">
        <f t="shared" si="5"/>
        <v>0</v>
      </c>
      <c r="J40" s="151">
        <f>SUM($H$18:$H40)</f>
        <v>2728155.8527217521</v>
      </c>
    </row>
    <row r="41" spans="1:10" x14ac:dyDescent="0.2">
      <c r="A41" s="154">
        <f>IF(Values_Entered,A40+1,"")</f>
        <v>24</v>
      </c>
      <c r="B41" s="153">
        <f t="shared" si="0"/>
        <v>45505</v>
      </c>
      <c r="C41" s="151">
        <f t="shared" si="6"/>
        <v>0</v>
      </c>
      <c r="D41" s="151">
        <f t="shared" si="1"/>
        <v>1136407.7926360879</v>
      </c>
      <c r="E41" s="152">
        <f t="shared" si="2"/>
        <v>0</v>
      </c>
      <c r="F41" s="151">
        <f t="shared" si="3"/>
        <v>0</v>
      </c>
      <c r="G41" s="151">
        <f t="shared" si="4"/>
        <v>0</v>
      </c>
      <c r="H41" s="151">
        <f t="shared" si="7"/>
        <v>0</v>
      </c>
      <c r="I41" s="151">
        <f t="shared" si="5"/>
        <v>0</v>
      </c>
      <c r="J41" s="151">
        <f>SUM($H$18:$H41)</f>
        <v>2728155.8527217521</v>
      </c>
    </row>
    <row r="42" spans="1:10" x14ac:dyDescent="0.2">
      <c r="A42" s="154">
        <f>IF(Values_Entered,A41+1,"")</f>
        <v>25</v>
      </c>
      <c r="B42" s="153">
        <f t="shared" si="0"/>
        <v>45597</v>
      </c>
      <c r="C42" s="151">
        <f t="shared" si="6"/>
        <v>0</v>
      </c>
      <c r="D42" s="151">
        <f t="shared" si="1"/>
        <v>1136407.7926360879</v>
      </c>
      <c r="E42" s="152">
        <f t="shared" si="2"/>
        <v>0</v>
      </c>
      <c r="F42" s="151">
        <f t="shared" si="3"/>
        <v>0</v>
      </c>
      <c r="G42" s="151">
        <f t="shared" si="4"/>
        <v>0</v>
      </c>
      <c r="H42" s="151">
        <f t="shared" si="7"/>
        <v>0</v>
      </c>
      <c r="I42" s="151">
        <f t="shared" si="5"/>
        <v>0</v>
      </c>
      <c r="J42" s="151">
        <f>SUM($H$18:$H42)</f>
        <v>2728155.8527217521</v>
      </c>
    </row>
    <row r="43" spans="1:10" x14ac:dyDescent="0.2">
      <c r="A43" s="154">
        <f>IF(Values_Entered,A42+1,"")</f>
        <v>26</v>
      </c>
      <c r="B43" s="153">
        <f t="shared" si="0"/>
        <v>45689</v>
      </c>
      <c r="C43" s="151">
        <f t="shared" si="6"/>
        <v>0</v>
      </c>
      <c r="D43" s="151">
        <f t="shared" si="1"/>
        <v>1136407.7926360879</v>
      </c>
      <c r="E43" s="152">
        <f t="shared" si="2"/>
        <v>0</v>
      </c>
      <c r="F43" s="151">
        <f t="shared" si="3"/>
        <v>0</v>
      </c>
      <c r="G43" s="151">
        <f t="shared" si="4"/>
        <v>0</v>
      </c>
      <c r="H43" s="151">
        <f t="shared" si="7"/>
        <v>0</v>
      </c>
      <c r="I43" s="151">
        <f t="shared" si="5"/>
        <v>0</v>
      </c>
      <c r="J43" s="151">
        <f>SUM($H$18:$H43)</f>
        <v>2728155.8527217521</v>
      </c>
    </row>
    <row r="44" spans="1:10" x14ac:dyDescent="0.2">
      <c r="A44" s="154">
        <f>IF(Values_Entered,A43+1,"")</f>
        <v>27</v>
      </c>
      <c r="B44" s="153">
        <f t="shared" si="0"/>
        <v>45778</v>
      </c>
      <c r="C44" s="151">
        <f t="shared" si="6"/>
        <v>0</v>
      </c>
      <c r="D44" s="151">
        <f t="shared" si="1"/>
        <v>1136407.7926360879</v>
      </c>
      <c r="E44" s="152">
        <f t="shared" si="2"/>
        <v>0</v>
      </c>
      <c r="F44" s="151">
        <f t="shared" si="3"/>
        <v>0</v>
      </c>
      <c r="G44" s="151">
        <f t="shared" si="4"/>
        <v>0</v>
      </c>
      <c r="H44" s="151">
        <f t="shared" si="7"/>
        <v>0</v>
      </c>
      <c r="I44" s="151">
        <f t="shared" si="5"/>
        <v>0</v>
      </c>
      <c r="J44" s="151">
        <f>SUM($H$18:$H44)</f>
        <v>2728155.8527217521</v>
      </c>
    </row>
    <row r="45" spans="1:10" x14ac:dyDescent="0.2">
      <c r="A45" s="154">
        <f>IF(Values_Entered,A44+1,"")</f>
        <v>28</v>
      </c>
      <c r="B45" s="153">
        <f t="shared" si="0"/>
        <v>45870</v>
      </c>
      <c r="C45" s="151">
        <f t="shared" si="6"/>
        <v>0</v>
      </c>
      <c r="D45" s="151">
        <f t="shared" si="1"/>
        <v>1136407.7926360879</v>
      </c>
      <c r="E45" s="152">
        <f t="shared" si="2"/>
        <v>0</v>
      </c>
      <c r="F45" s="151">
        <f t="shared" si="3"/>
        <v>0</v>
      </c>
      <c r="G45" s="151">
        <f t="shared" si="4"/>
        <v>0</v>
      </c>
      <c r="H45" s="151">
        <f t="shared" si="7"/>
        <v>0</v>
      </c>
      <c r="I45" s="151">
        <f t="shared" si="5"/>
        <v>0</v>
      </c>
      <c r="J45" s="151">
        <f>SUM($H$18:$H45)</f>
        <v>2728155.8527217521</v>
      </c>
    </row>
    <row r="46" spans="1:10" x14ac:dyDescent="0.2">
      <c r="A46" s="154">
        <f>IF(Values_Entered,A45+1,"")</f>
        <v>29</v>
      </c>
      <c r="B46" s="153">
        <f t="shared" si="0"/>
        <v>45962</v>
      </c>
      <c r="C46" s="151">
        <f t="shared" si="6"/>
        <v>0</v>
      </c>
      <c r="D46" s="151">
        <f t="shared" si="1"/>
        <v>1136407.7926360879</v>
      </c>
      <c r="E46" s="152">
        <f t="shared" si="2"/>
        <v>0</v>
      </c>
      <c r="F46" s="151">
        <f t="shared" si="3"/>
        <v>0</v>
      </c>
      <c r="G46" s="151">
        <f t="shared" si="4"/>
        <v>0</v>
      </c>
      <c r="H46" s="151">
        <f t="shared" si="7"/>
        <v>0</v>
      </c>
      <c r="I46" s="151">
        <f t="shared" si="5"/>
        <v>0</v>
      </c>
      <c r="J46" s="151">
        <f>SUM($H$18:$H46)</f>
        <v>2728155.8527217521</v>
      </c>
    </row>
    <row r="47" spans="1:10" x14ac:dyDescent="0.2">
      <c r="A47" s="154">
        <f>IF(Values_Entered,A46+1,"")</f>
        <v>30</v>
      </c>
      <c r="B47" s="153">
        <f t="shared" si="0"/>
        <v>46054</v>
      </c>
      <c r="C47" s="151">
        <f t="shared" si="6"/>
        <v>0</v>
      </c>
      <c r="D47" s="151">
        <f t="shared" si="1"/>
        <v>1136407.7926360879</v>
      </c>
      <c r="E47" s="152">
        <f t="shared" si="2"/>
        <v>0</v>
      </c>
      <c r="F47" s="151">
        <f t="shared" si="3"/>
        <v>0</v>
      </c>
      <c r="G47" s="151">
        <f t="shared" si="4"/>
        <v>0</v>
      </c>
      <c r="H47" s="151">
        <f t="shared" si="7"/>
        <v>0</v>
      </c>
      <c r="I47" s="151">
        <f t="shared" si="5"/>
        <v>0</v>
      </c>
      <c r="J47" s="151">
        <f>SUM($H$18:$H47)</f>
        <v>2728155.8527217521</v>
      </c>
    </row>
    <row r="48" spans="1:10" x14ac:dyDescent="0.2">
      <c r="A48" s="154">
        <f>IF(Values_Entered,A47+1,"")</f>
        <v>31</v>
      </c>
      <c r="B48" s="153">
        <f t="shared" si="0"/>
        <v>46143</v>
      </c>
      <c r="C48" s="151">
        <f t="shared" si="6"/>
        <v>0</v>
      </c>
      <c r="D48" s="151">
        <f t="shared" si="1"/>
        <v>1136407.7926360879</v>
      </c>
      <c r="E48" s="152">
        <f t="shared" si="2"/>
        <v>0</v>
      </c>
      <c r="F48" s="151">
        <f t="shared" si="3"/>
        <v>0</v>
      </c>
      <c r="G48" s="151">
        <f t="shared" si="4"/>
        <v>0</v>
      </c>
      <c r="H48" s="151">
        <f t="shared" si="7"/>
        <v>0</v>
      </c>
      <c r="I48" s="151">
        <f t="shared" si="5"/>
        <v>0</v>
      </c>
      <c r="J48" s="151">
        <f>SUM($H$18:$H48)</f>
        <v>2728155.8527217521</v>
      </c>
    </row>
    <row r="49" spans="1:10" x14ac:dyDescent="0.2">
      <c r="A49" s="154">
        <f>IF(Values_Entered,A48+1,"")</f>
        <v>32</v>
      </c>
      <c r="B49" s="153">
        <f t="shared" si="0"/>
        <v>46235</v>
      </c>
      <c r="C49" s="151">
        <f t="shared" si="6"/>
        <v>0</v>
      </c>
      <c r="D49" s="151">
        <f t="shared" si="1"/>
        <v>1136407.7926360879</v>
      </c>
      <c r="E49" s="152">
        <f t="shared" si="2"/>
        <v>0</v>
      </c>
      <c r="F49" s="151">
        <f t="shared" si="3"/>
        <v>0</v>
      </c>
      <c r="G49" s="151">
        <f t="shared" si="4"/>
        <v>0</v>
      </c>
      <c r="H49" s="151">
        <f t="shared" si="7"/>
        <v>0</v>
      </c>
      <c r="I49" s="151">
        <f t="shared" si="5"/>
        <v>0</v>
      </c>
      <c r="J49" s="151">
        <f>SUM($H$18:$H49)</f>
        <v>2728155.8527217521</v>
      </c>
    </row>
    <row r="50" spans="1:10" x14ac:dyDescent="0.2">
      <c r="A50" s="154">
        <f>IF(Values_Entered,A49+1,"")</f>
        <v>33</v>
      </c>
      <c r="B50" s="153">
        <f t="shared" si="0"/>
        <v>46327</v>
      </c>
      <c r="C50" s="151">
        <f t="shared" si="6"/>
        <v>0</v>
      </c>
      <c r="D50" s="151">
        <f t="shared" si="1"/>
        <v>1136407.7926360879</v>
      </c>
      <c r="E50" s="152">
        <f t="shared" si="2"/>
        <v>0</v>
      </c>
      <c r="F50" s="151">
        <f t="shared" si="3"/>
        <v>0</v>
      </c>
      <c r="G50" s="151">
        <f t="shared" si="4"/>
        <v>0</v>
      </c>
      <c r="H50" s="151">
        <f t="shared" si="7"/>
        <v>0</v>
      </c>
      <c r="I50" s="151">
        <f t="shared" si="5"/>
        <v>0</v>
      </c>
      <c r="J50" s="151">
        <f>SUM($H$18:$H50)</f>
        <v>2728155.8527217521</v>
      </c>
    </row>
    <row r="51" spans="1:10" x14ac:dyDescent="0.2">
      <c r="A51" s="154">
        <f>IF(Values_Entered,A50+1,"")</f>
        <v>34</v>
      </c>
      <c r="B51" s="153">
        <f t="shared" si="0"/>
        <v>46419</v>
      </c>
      <c r="C51" s="151">
        <f t="shared" si="6"/>
        <v>0</v>
      </c>
      <c r="D51" s="151">
        <f t="shared" si="1"/>
        <v>1136407.7926360879</v>
      </c>
      <c r="E51" s="152">
        <f t="shared" si="2"/>
        <v>0</v>
      </c>
      <c r="F51" s="151">
        <f t="shared" si="3"/>
        <v>0</v>
      </c>
      <c r="G51" s="151">
        <f t="shared" si="4"/>
        <v>0</v>
      </c>
      <c r="H51" s="151">
        <f t="shared" si="7"/>
        <v>0</v>
      </c>
      <c r="I51" s="151">
        <f t="shared" si="5"/>
        <v>0</v>
      </c>
      <c r="J51" s="151">
        <f>SUM($H$18:$H51)</f>
        <v>2728155.8527217521</v>
      </c>
    </row>
    <row r="52" spans="1:10" x14ac:dyDescent="0.2">
      <c r="A52" s="154">
        <f>IF(Values_Entered,A51+1,"")</f>
        <v>35</v>
      </c>
      <c r="B52" s="153">
        <f t="shared" si="0"/>
        <v>46508</v>
      </c>
      <c r="C52" s="151">
        <f t="shared" si="6"/>
        <v>0</v>
      </c>
      <c r="D52" s="151">
        <f t="shared" si="1"/>
        <v>1136407.7926360879</v>
      </c>
      <c r="E52" s="152">
        <f t="shared" si="2"/>
        <v>0</v>
      </c>
      <c r="F52" s="151">
        <f t="shared" si="3"/>
        <v>0</v>
      </c>
      <c r="G52" s="151">
        <f t="shared" si="4"/>
        <v>0</v>
      </c>
      <c r="H52" s="151">
        <f t="shared" si="7"/>
        <v>0</v>
      </c>
      <c r="I52" s="151">
        <f t="shared" si="5"/>
        <v>0</v>
      </c>
      <c r="J52" s="151">
        <f>SUM($H$18:$H52)</f>
        <v>2728155.8527217521</v>
      </c>
    </row>
    <row r="53" spans="1:10" x14ac:dyDescent="0.2">
      <c r="A53" s="154">
        <f>IF(Values_Entered,A52+1,"")</f>
        <v>36</v>
      </c>
      <c r="B53" s="153">
        <f t="shared" si="0"/>
        <v>46600</v>
      </c>
      <c r="C53" s="151">
        <f t="shared" si="6"/>
        <v>0</v>
      </c>
      <c r="D53" s="151">
        <f t="shared" si="1"/>
        <v>1136407.7926360879</v>
      </c>
      <c r="E53" s="152">
        <f t="shared" si="2"/>
        <v>0</v>
      </c>
      <c r="F53" s="151">
        <f t="shared" si="3"/>
        <v>0</v>
      </c>
      <c r="G53" s="151">
        <f t="shared" si="4"/>
        <v>0</v>
      </c>
      <c r="H53" s="151">
        <f t="shared" si="7"/>
        <v>0</v>
      </c>
      <c r="I53" s="151">
        <f t="shared" si="5"/>
        <v>0</v>
      </c>
      <c r="J53" s="151">
        <f>SUM($H$18:$H53)</f>
        <v>2728155.8527217521</v>
      </c>
    </row>
    <row r="54" spans="1:10" x14ac:dyDescent="0.2">
      <c r="A54" s="154">
        <f>IF(Values_Entered,A53+1,"")</f>
        <v>37</v>
      </c>
      <c r="B54" s="153">
        <f t="shared" si="0"/>
        <v>46692</v>
      </c>
      <c r="C54" s="151">
        <f t="shared" si="6"/>
        <v>0</v>
      </c>
      <c r="D54" s="151">
        <f t="shared" si="1"/>
        <v>1136407.7926360879</v>
      </c>
      <c r="E54" s="152">
        <f t="shared" si="2"/>
        <v>0</v>
      </c>
      <c r="F54" s="151">
        <f t="shared" si="3"/>
        <v>0</v>
      </c>
      <c r="G54" s="151">
        <f t="shared" si="4"/>
        <v>0</v>
      </c>
      <c r="H54" s="151">
        <f t="shared" si="7"/>
        <v>0</v>
      </c>
      <c r="I54" s="151">
        <f t="shared" si="5"/>
        <v>0</v>
      </c>
      <c r="J54" s="151">
        <f>SUM($H$18:$H54)</f>
        <v>2728155.8527217521</v>
      </c>
    </row>
    <row r="55" spans="1:10" x14ac:dyDescent="0.2">
      <c r="A55" s="154">
        <f>IF(Values_Entered,A54+1,"")</f>
        <v>38</v>
      </c>
      <c r="B55" s="153">
        <f t="shared" si="0"/>
        <v>46784</v>
      </c>
      <c r="C55" s="151">
        <f t="shared" si="6"/>
        <v>0</v>
      </c>
      <c r="D55" s="151">
        <f t="shared" si="1"/>
        <v>1136407.7926360879</v>
      </c>
      <c r="E55" s="152">
        <f t="shared" si="2"/>
        <v>0</v>
      </c>
      <c r="F55" s="151">
        <f t="shared" si="3"/>
        <v>0</v>
      </c>
      <c r="G55" s="151">
        <f t="shared" si="4"/>
        <v>0</v>
      </c>
      <c r="H55" s="151">
        <f t="shared" si="7"/>
        <v>0</v>
      </c>
      <c r="I55" s="151">
        <f t="shared" si="5"/>
        <v>0</v>
      </c>
      <c r="J55" s="151">
        <f>SUM($H$18:$H55)</f>
        <v>2728155.8527217521</v>
      </c>
    </row>
    <row r="56" spans="1:10" x14ac:dyDescent="0.2">
      <c r="A56" s="154">
        <f>IF(Values_Entered,A55+1,"")</f>
        <v>39</v>
      </c>
      <c r="B56" s="153">
        <f t="shared" si="0"/>
        <v>46874</v>
      </c>
      <c r="C56" s="151">
        <f t="shared" si="6"/>
        <v>0</v>
      </c>
      <c r="D56" s="151">
        <f t="shared" si="1"/>
        <v>1136407.7926360879</v>
      </c>
      <c r="E56" s="152">
        <f t="shared" si="2"/>
        <v>0</v>
      </c>
      <c r="F56" s="151">
        <f t="shared" si="3"/>
        <v>0</v>
      </c>
      <c r="G56" s="151">
        <f t="shared" si="4"/>
        <v>0</v>
      </c>
      <c r="H56" s="151">
        <f t="shared" si="7"/>
        <v>0</v>
      </c>
      <c r="I56" s="151">
        <f t="shared" si="5"/>
        <v>0</v>
      </c>
      <c r="J56" s="151">
        <f>SUM($H$18:$H56)</f>
        <v>2728155.8527217521</v>
      </c>
    </row>
    <row r="57" spans="1:10" x14ac:dyDescent="0.2">
      <c r="A57" s="154">
        <f>IF(Values_Entered,A56+1,"")</f>
        <v>40</v>
      </c>
      <c r="B57" s="153">
        <f t="shared" si="0"/>
        <v>46966</v>
      </c>
      <c r="C57" s="151">
        <f t="shared" si="6"/>
        <v>0</v>
      </c>
      <c r="D57" s="151">
        <f t="shared" si="1"/>
        <v>1136407.7926360879</v>
      </c>
      <c r="E57" s="152">
        <f t="shared" si="2"/>
        <v>0</v>
      </c>
      <c r="F57" s="151">
        <f t="shared" si="3"/>
        <v>0</v>
      </c>
      <c r="G57" s="151">
        <f t="shared" si="4"/>
        <v>0</v>
      </c>
      <c r="H57" s="151">
        <f t="shared" si="7"/>
        <v>0</v>
      </c>
      <c r="I57" s="151">
        <f t="shared" si="5"/>
        <v>0</v>
      </c>
      <c r="J57" s="151">
        <f>SUM($H$18:$H57)</f>
        <v>2728155.8527217521</v>
      </c>
    </row>
    <row r="58" spans="1:10" x14ac:dyDescent="0.2">
      <c r="A58" s="154">
        <f>IF(Values_Entered,A57+1,"")</f>
        <v>41</v>
      </c>
      <c r="B58" s="153">
        <f t="shared" si="0"/>
        <v>47058</v>
      </c>
      <c r="C58" s="151">
        <f t="shared" si="6"/>
        <v>0</v>
      </c>
      <c r="D58" s="151">
        <f t="shared" si="1"/>
        <v>1136407.7926360879</v>
      </c>
      <c r="E58" s="152">
        <f t="shared" si="2"/>
        <v>0</v>
      </c>
      <c r="F58" s="151">
        <f t="shared" si="3"/>
        <v>0</v>
      </c>
      <c r="G58" s="151">
        <f t="shared" si="4"/>
        <v>0</v>
      </c>
      <c r="H58" s="151">
        <f t="shared" si="7"/>
        <v>0</v>
      </c>
      <c r="I58" s="151">
        <f t="shared" si="5"/>
        <v>0</v>
      </c>
      <c r="J58" s="151">
        <f>SUM($H$18:$H58)</f>
        <v>2728155.8527217521</v>
      </c>
    </row>
    <row r="59" spans="1:10" x14ac:dyDescent="0.2">
      <c r="A59" s="154">
        <f>IF(Values_Entered,A58+1,"")</f>
        <v>42</v>
      </c>
      <c r="B59" s="153">
        <f t="shared" si="0"/>
        <v>47150</v>
      </c>
      <c r="C59" s="151">
        <f t="shared" si="6"/>
        <v>0</v>
      </c>
      <c r="D59" s="151">
        <f t="shared" si="1"/>
        <v>1136407.7926360879</v>
      </c>
      <c r="E59" s="152">
        <f t="shared" si="2"/>
        <v>0</v>
      </c>
      <c r="F59" s="151">
        <f t="shared" si="3"/>
        <v>0</v>
      </c>
      <c r="G59" s="151">
        <f t="shared" si="4"/>
        <v>0</v>
      </c>
      <c r="H59" s="151">
        <f t="shared" si="7"/>
        <v>0</v>
      </c>
      <c r="I59" s="151">
        <f t="shared" si="5"/>
        <v>0</v>
      </c>
      <c r="J59" s="151">
        <f>SUM($H$18:$H59)</f>
        <v>2728155.8527217521</v>
      </c>
    </row>
    <row r="60" spans="1:10" x14ac:dyDescent="0.2">
      <c r="A60" s="154">
        <f>IF(Values_Entered,A59+1,"")</f>
        <v>43</v>
      </c>
      <c r="B60" s="153">
        <f t="shared" si="0"/>
        <v>47239</v>
      </c>
      <c r="C60" s="151">
        <f t="shared" si="6"/>
        <v>0</v>
      </c>
      <c r="D60" s="151">
        <f t="shared" si="1"/>
        <v>1136407.7926360879</v>
      </c>
      <c r="E60" s="152">
        <f t="shared" si="2"/>
        <v>0</v>
      </c>
      <c r="F60" s="151">
        <f t="shared" si="3"/>
        <v>0</v>
      </c>
      <c r="G60" s="151">
        <f t="shared" si="4"/>
        <v>0</v>
      </c>
      <c r="H60" s="151">
        <f t="shared" si="7"/>
        <v>0</v>
      </c>
      <c r="I60" s="151">
        <f t="shared" si="5"/>
        <v>0</v>
      </c>
      <c r="J60" s="151">
        <f>SUM($H$18:$H60)</f>
        <v>2728155.8527217521</v>
      </c>
    </row>
    <row r="61" spans="1:10" x14ac:dyDescent="0.2">
      <c r="A61" s="154">
        <f>IF(Values_Entered,A60+1,"")</f>
        <v>44</v>
      </c>
      <c r="B61" s="153">
        <f t="shared" si="0"/>
        <v>47331</v>
      </c>
      <c r="C61" s="151">
        <f t="shared" si="6"/>
        <v>0</v>
      </c>
      <c r="D61" s="151">
        <f t="shared" si="1"/>
        <v>1136407.7926360879</v>
      </c>
      <c r="E61" s="152">
        <f t="shared" si="2"/>
        <v>0</v>
      </c>
      <c r="F61" s="151">
        <f t="shared" si="3"/>
        <v>0</v>
      </c>
      <c r="G61" s="151">
        <f t="shared" si="4"/>
        <v>0</v>
      </c>
      <c r="H61" s="151">
        <f t="shared" si="7"/>
        <v>0</v>
      </c>
      <c r="I61" s="151">
        <f t="shared" si="5"/>
        <v>0</v>
      </c>
      <c r="J61" s="151">
        <f>SUM($H$18:$H61)</f>
        <v>2728155.8527217521</v>
      </c>
    </row>
    <row r="62" spans="1:10" x14ac:dyDescent="0.2">
      <c r="A62" s="154">
        <f>IF(Values_Entered,A61+1,"")</f>
        <v>45</v>
      </c>
      <c r="B62" s="153">
        <f t="shared" si="0"/>
        <v>47423</v>
      </c>
      <c r="C62" s="151">
        <f t="shared" si="6"/>
        <v>0</v>
      </c>
      <c r="D62" s="151">
        <f t="shared" si="1"/>
        <v>1136407.7926360879</v>
      </c>
      <c r="E62" s="152">
        <f t="shared" si="2"/>
        <v>0</v>
      </c>
      <c r="F62" s="151">
        <f t="shared" si="3"/>
        <v>0</v>
      </c>
      <c r="G62" s="151">
        <f t="shared" si="4"/>
        <v>0</v>
      </c>
      <c r="H62" s="151">
        <f t="shared" si="7"/>
        <v>0</v>
      </c>
      <c r="I62" s="151">
        <f t="shared" si="5"/>
        <v>0</v>
      </c>
      <c r="J62" s="151">
        <f>SUM($H$18:$H62)</f>
        <v>2728155.8527217521</v>
      </c>
    </row>
    <row r="63" spans="1:10" x14ac:dyDescent="0.2">
      <c r="A63" s="154">
        <f>IF(Values_Entered,A62+1,"")</f>
        <v>46</v>
      </c>
      <c r="B63" s="153">
        <f t="shared" si="0"/>
        <v>47515</v>
      </c>
      <c r="C63" s="151">
        <f t="shared" si="6"/>
        <v>0</v>
      </c>
      <c r="D63" s="151">
        <f t="shared" si="1"/>
        <v>1136407.7926360879</v>
      </c>
      <c r="E63" s="152">
        <f t="shared" si="2"/>
        <v>0</v>
      </c>
      <c r="F63" s="151">
        <f t="shared" si="3"/>
        <v>0</v>
      </c>
      <c r="G63" s="151">
        <f t="shared" si="4"/>
        <v>0</v>
      </c>
      <c r="H63" s="151">
        <f t="shared" si="7"/>
        <v>0</v>
      </c>
      <c r="I63" s="151">
        <f t="shared" si="5"/>
        <v>0</v>
      </c>
      <c r="J63" s="151">
        <f>SUM($H$18:$H63)</f>
        <v>2728155.8527217521</v>
      </c>
    </row>
    <row r="64" spans="1:10" x14ac:dyDescent="0.2">
      <c r="A64" s="154">
        <f>IF(Values_Entered,A63+1,"")</f>
        <v>47</v>
      </c>
      <c r="B64" s="153">
        <f t="shared" si="0"/>
        <v>47604</v>
      </c>
      <c r="C64" s="151">
        <f t="shared" si="6"/>
        <v>0</v>
      </c>
      <c r="D64" s="151">
        <f t="shared" si="1"/>
        <v>1136407.7926360879</v>
      </c>
      <c r="E64" s="152">
        <f t="shared" si="2"/>
        <v>0</v>
      </c>
      <c r="F64" s="151">
        <f t="shared" si="3"/>
        <v>0</v>
      </c>
      <c r="G64" s="151">
        <f t="shared" si="4"/>
        <v>0</v>
      </c>
      <c r="H64" s="151">
        <f t="shared" si="7"/>
        <v>0</v>
      </c>
      <c r="I64" s="151">
        <f t="shared" si="5"/>
        <v>0</v>
      </c>
      <c r="J64" s="151">
        <f>SUM($H$18:$H64)</f>
        <v>2728155.8527217521</v>
      </c>
    </row>
    <row r="65" spans="1:10" x14ac:dyDescent="0.2">
      <c r="A65" s="154">
        <f>IF(Values_Entered,A64+1,"")</f>
        <v>48</v>
      </c>
      <c r="B65" s="153">
        <f t="shared" si="0"/>
        <v>47696</v>
      </c>
      <c r="C65" s="151">
        <f t="shared" si="6"/>
        <v>0</v>
      </c>
      <c r="D65" s="151">
        <f t="shared" si="1"/>
        <v>1136407.7926360879</v>
      </c>
      <c r="E65" s="152">
        <f t="shared" si="2"/>
        <v>0</v>
      </c>
      <c r="F65" s="151">
        <f t="shared" si="3"/>
        <v>0</v>
      </c>
      <c r="G65" s="151">
        <f t="shared" si="4"/>
        <v>0</v>
      </c>
      <c r="H65" s="151">
        <f t="shared" si="7"/>
        <v>0</v>
      </c>
      <c r="I65" s="151">
        <f t="shared" si="5"/>
        <v>0</v>
      </c>
      <c r="J65" s="151">
        <f>SUM($H$18:$H65)</f>
        <v>2728155.8527217521</v>
      </c>
    </row>
    <row r="66" spans="1:10" x14ac:dyDescent="0.2">
      <c r="A66" s="154">
        <f>IF(Values_Entered,A65+1,"")</f>
        <v>49</v>
      </c>
      <c r="B66" s="153">
        <f t="shared" si="0"/>
        <v>47788</v>
      </c>
      <c r="C66" s="151">
        <f t="shared" si="6"/>
        <v>0</v>
      </c>
      <c r="D66" s="151">
        <f t="shared" si="1"/>
        <v>1136407.7926360879</v>
      </c>
      <c r="E66" s="152">
        <f t="shared" si="2"/>
        <v>0</v>
      </c>
      <c r="F66" s="151">
        <f t="shared" si="3"/>
        <v>0</v>
      </c>
      <c r="G66" s="151">
        <f t="shared" si="4"/>
        <v>0</v>
      </c>
      <c r="H66" s="151">
        <f t="shared" si="7"/>
        <v>0</v>
      </c>
      <c r="I66" s="151">
        <f t="shared" si="5"/>
        <v>0</v>
      </c>
      <c r="J66" s="151">
        <f>SUM($H$18:$H66)</f>
        <v>2728155.8527217521</v>
      </c>
    </row>
    <row r="67" spans="1:10" x14ac:dyDescent="0.2">
      <c r="A67" s="154">
        <f>IF(Values_Entered,A66+1,"")</f>
        <v>50</v>
      </c>
      <c r="B67" s="153">
        <f t="shared" si="0"/>
        <v>47880</v>
      </c>
      <c r="C67" s="151">
        <f t="shared" si="6"/>
        <v>0</v>
      </c>
      <c r="D67" s="151">
        <f t="shared" si="1"/>
        <v>1136407.7926360879</v>
      </c>
      <c r="E67" s="152">
        <f t="shared" si="2"/>
        <v>0</v>
      </c>
      <c r="F67" s="151">
        <f t="shared" si="3"/>
        <v>0</v>
      </c>
      <c r="G67" s="151">
        <f t="shared" si="4"/>
        <v>0</v>
      </c>
      <c r="H67" s="151">
        <f t="shared" si="7"/>
        <v>0</v>
      </c>
      <c r="I67" s="151">
        <f t="shared" si="5"/>
        <v>0</v>
      </c>
      <c r="J67" s="151">
        <f>SUM($H$18:$H67)</f>
        <v>2728155.8527217521</v>
      </c>
    </row>
    <row r="68" spans="1:10" x14ac:dyDescent="0.2">
      <c r="A68" s="154">
        <f>IF(Values_Entered,A67+1,"")</f>
        <v>51</v>
      </c>
      <c r="B68" s="153">
        <f t="shared" si="0"/>
        <v>47969</v>
      </c>
      <c r="C68" s="151">
        <f t="shared" si="6"/>
        <v>0</v>
      </c>
      <c r="D68" s="151">
        <f t="shared" si="1"/>
        <v>1136407.7926360879</v>
      </c>
      <c r="E68" s="152">
        <f t="shared" si="2"/>
        <v>0</v>
      </c>
      <c r="F68" s="151">
        <f t="shared" si="3"/>
        <v>0</v>
      </c>
      <c r="G68" s="151">
        <f t="shared" si="4"/>
        <v>0</v>
      </c>
      <c r="H68" s="151">
        <f t="shared" si="7"/>
        <v>0</v>
      </c>
      <c r="I68" s="151">
        <f t="shared" si="5"/>
        <v>0</v>
      </c>
      <c r="J68" s="151">
        <f>SUM($H$18:$H68)</f>
        <v>2728155.8527217521</v>
      </c>
    </row>
    <row r="69" spans="1:10" x14ac:dyDescent="0.2">
      <c r="A69" s="154">
        <f>IF(Values_Entered,A68+1,"")</f>
        <v>52</v>
      </c>
      <c r="B69" s="153">
        <f t="shared" si="0"/>
        <v>48061</v>
      </c>
      <c r="C69" s="151">
        <f t="shared" si="6"/>
        <v>0</v>
      </c>
      <c r="D69" s="151">
        <f t="shared" si="1"/>
        <v>1136407.7926360879</v>
      </c>
      <c r="E69" s="152">
        <f t="shared" si="2"/>
        <v>0</v>
      </c>
      <c r="F69" s="151">
        <f t="shared" si="3"/>
        <v>0</v>
      </c>
      <c r="G69" s="151">
        <f t="shared" si="4"/>
        <v>0</v>
      </c>
      <c r="H69" s="151">
        <f t="shared" si="7"/>
        <v>0</v>
      </c>
      <c r="I69" s="151">
        <f t="shared" si="5"/>
        <v>0</v>
      </c>
      <c r="J69" s="151">
        <f>SUM($H$18:$H69)</f>
        <v>2728155.8527217521</v>
      </c>
    </row>
    <row r="70" spans="1:10" x14ac:dyDescent="0.2">
      <c r="A70" s="154">
        <f>IF(Values_Entered,A69+1,"")</f>
        <v>53</v>
      </c>
      <c r="B70" s="153">
        <f t="shared" si="0"/>
        <v>48153</v>
      </c>
      <c r="C70" s="151">
        <f t="shared" si="6"/>
        <v>0</v>
      </c>
      <c r="D70" s="151">
        <f t="shared" si="1"/>
        <v>1136407.7926360879</v>
      </c>
      <c r="E70" s="152">
        <f t="shared" si="2"/>
        <v>0</v>
      </c>
      <c r="F70" s="151">
        <f t="shared" si="3"/>
        <v>0</v>
      </c>
      <c r="G70" s="151">
        <f t="shared" si="4"/>
        <v>0</v>
      </c>
      <c r="H70" s="151">
        <f t="shared" si="7"/>
        <v>0</v>
      </c>
      <c r="I70" s="151">
        <f t="shared" si="5"/>
        <v>0</v>
      </c>
      <c r="J70" s="151">
        <f>SUM($H$18:$H70)</f>
        <v>2728155.8527217521</v>
      </c>
    </row>
    <row r="71" spans="1:10" x14ac:dyDescent="0.2">
      <c r="A71" s="154">
        <f>IF(Values_Entered,A70+1,"")</f>
        <v>54</v>
      </c>
      <c r="B71" s="153">
        <f t="shared" si="0"/>
        <v>48245</v>
      </c>
      <c r="C71" s="151">
        <f t="shared" si="6"/>
        <v>0</v>
      </c>
      <c r="D71" s="151">
        <f t="shared" si="1"/>
        <v>1136407.7926360879</v>
      </c>
      <c r="E71" s="152">
        <f t="shared" si="2"/>
        <v>0</v>
      </c>
      <c r="F71" s="151">
        <f t="shared" si="3"/>
        <v>0</v>
      </c>
      <c r="G71" s="151">
        <f t="shared" si="4"/>
        <v>0</v>
      </c>
      <c r="H71" s="151">
        <f t="shared" si="7"/>
        <v>0</v>
      </c>
      <c r="I71" s="151">
        <f t="shared" si="5"/>
        <v>0</v>
      </c>
      <c r="J71" s="151">
        <f>SUM($H$18:$H71)</f>
        <v>2728155.8527217521</v>
      </c>
    </row>
    <row r="72" spans="1:10" x14ac:dyDescent="0.2">
      <c r="A72" s="154">
        <f>IF(Values_Entered,A71+1,"")</f>
        <v>55</v>
      </c>
      <c r="B72" s="153">
        <f t="shared" si="0"/>
        <v>48335</v>
      </c>
      <c r="C72" s="151">
        <f t="shared" si="6"/>
        <v>0</v>
      </c>
      <c r="D72" s="151">
        <f t="shared" si="1"/>
        <v>1136407.7926360879</v>
      </c>
      <c r="E72" s="152">
        <f t="shared" si="2"/>
        <v>0</v>
      </c>
      <c r="F72" s="151">
        <f t="shared" si="3"/>
        <v>0</v>
      </c>
      <c r="G72" s="151">
        <f t="shared" si="4"/>
        <v>0</v>
      </c>
      <c r="H72" s="151">
        <f t="shared" si="7"/>
        <v>0</v>
      </c>
      <c r="I72" s="151">
        <f t="shared" si="5"/>
        <v>0</v>
      </c>
      <c r="J72" s="151">
        <f>SUM($H$18:$H72)</f>
        <v>2728155.8527217521</v>
      </c>
    </row>
    <row r="73" spans="1:10" x14ac:dyDescent="0.2">
      <c r="A73" s="154">
        <f>IF(Values_Entered,A72+1,"")</f>
        <v>56</v>
      </c>
      <c r="B73" s="153">
        <f t="shared" si="0"/>
        <v>48427</v>
      </c>
      <c r="C73" s="151">
        <f t="shared" si="6"/>
        <v>0</v>
      </c>
      <c r="D73" s="151">
        <f t="shared" si="1"/>
        <v>1136407.7926360879</v>
      </c>
      <c r="E73" s="152">
        <f t="shared" si="2"/>
        <v>0</v>
      </c>
      <c r="F73" s="151">
        <f t="shared" si="3"/>
        <v>0</v>
      </c>
      <c r="G73" s="151">
        <f t="shared" si="4"/>
        <v>0</v>
      </c>
      <c r="H73" s="151">
        <f t="shared" si="7"/>
        <v>0</v>
      </c>
      <c r="I73" s="151">
        <f t="shared" si="5"/>
        <v>0</v>
      </c>
      <c r="J73" s="151">
        <f>SUM($H$18:$H73)</f>
        <v>2728155.8527217521</v>
      </c>
    </row>
    <row r="74" spans="1:10" x14ac:dyDescent="0.2">
      <c r="A74" s="154">
        <f>IF(Values_Entered,A73+1,"")</f>
        <v>57</v>
      </c>
      <c r="B74" s="153">
        <f t="shared" si="0"/>
        <v>48519</v>
      </c>
      <c r="C74" s="151">
        <f t="shared" si="6"/>
        <v>0</v>
      </c>
      <c r="D74" s="151">
        <f t="shared" si="1"/>
        <v>1136407.7926360879</v>
      </c>
      <c r="E74" s="152">
        <f t="shared" si="2"/>
        <v>0</v>
      </c>
      <c r="F74" s="151">
        <f t="shared" si="3"/>
        <v>0</v>
      </c>
      <c r="G74" s="151">
        <f t="shared" si="4"/>
        <v>0</v>
      </c>
      <c r="H74" s="151">
        <f t="shared" si="7"/>
        <v>0</v>
      </c>
      <c r="I74" s="151">
        <f t="shared" si="5"/>
        <v>0</v>
      </c>
      <c r="J74" s="151">
        <f>SUM($H$18:$H74)</f>
        <v>2728155.8527217521</v>
      </c>
    </row>
    <row r="75" spans="1:10" x14ac:dyDescent="0.2">
      <c r="A75" s="154">
        <f>IF(Values_Entered,A74+1,"")</f>
        <v>58</v>
      </c>
      <c r="B75" s="153">
        <f t="shared" si="0"/>
        <v>48611</v>
      </c>
      <c r="C75" s="151">
        <f t="shared" si="6"/>
        <v>0</v>
      </c>
      <c r="D75" s="151">
        <f t="shared" si="1"/>
        <v>1136407.7926360879</v>
      </c>
      <c r="E75" s="152">
        <f t="shared" si="2"/>
        <v>0</v>
      </c>
      <c r="F75" s="151">
        <f t="shared" si="3"/>
        <v>0</v>
      </c>
      <c r="G75" s="151">
        <f t="shared" si="4"/>
        <v>0</v>
      </c>
      <c r="H75" s="151">
        <f t="shared" si="7"/>
        <v>0</v>
      </c>
      <c r="I75" s="151">
        <f t="shared" si="5"/>
        <v>0</v>
      </c>
      <c r="J75" s="151">
        <f>SUM($H$18:$H75)</f>
        <v>2728155.8527217521</v>
      </c>
    </row>
    <row r="76" spans="1:10" x14ac:dyDescent="0.2">
      <c r="A76" s="154">
        <f>IF(Values_Entered,A75+1,"")</f>
        <v>59</v>
      </c>
      <c r="B76" s="153">
        <f t="shared" si="0"/>
        <v>48700</v>
      </c>
      <c r="C76" s="151">
        <f t="shared" si="6"/>
        <v>0</v>
      </c>
      <c r="D76" s="151">
        <f t="shared" si="1"/>
        <v>1136407.7926360879</v>
      </c>
      <c r="E76" s="152">
        <f t="shared" si="2"/>
        <v>0</v>
      </c>
      <c r="F76" s="151">
        <f t="shared" si="3"/>
        <v>0</v>
      </c>
      <c r="G76" s="151">
        <f t="shared" si="4"/>
        <v>0</v>
      </c>
      <c r="H76" s="151">
        <f t="shared" si="7"/>
        <v>0</v>
      </c>
      <c r="I76" s="151">
        <f t="shared" si="5"/>
        <v>0</v>
      </c>
      <c r="J76" s="151">
        <f>SUM($H$18:$H76)</f>
        <v>2728155.8527217521</v>
      </c>
    </row>
    <row r="77" spans="1:10" x14ac:dyDescent="0.2">
      <c r="A77" s="154">
        <f>IF(Values_Entered,A76+1,"")</f>
        <v>60</v>
      </c>
      <c r="B77" s="153">
        <f t="shared" si="0"/>
        <v>48792</v>
      </c>
      <c r="C77" s="151">
        <f t="shared" si="6"/>
        <v>0</v>
      </c>
      <c r="D77" s="151">
        <f t="shared" si="1"/>
        <v>1136407.7926360879</v>
      </c>
      <c r="E77" s="152">
        <f t="shared" si="2"/>
        <v>0</v>
      </c>
      <c r="F77" s="151">
        <f t="shared" si="3"/>
        <v>0</v>
      </c>
      <c r="G77" s="151">
        <f t="shared" si="4"/>
        <v>0</v>
      </c>
      <c r="H77" s="151">
        <f t="shared" si="7"/>
        <v>0</v>
      </c>
      <c r="I77" s="151">
        <f t="shared" si="5"/>
        <v>0</v>
      </c>
      <c r="J77" s="151">
        <f>SUM($H$18:$H77)</f>
        <v>2728155.8527217521</v>
      </c>
    </row>
    <row r="78" spans="1:10" x14ac:dyDescent="0.2">
      <c r="A78" s="154">
        <f>IF(Values_Entered,A77+1,"")</f>
        <v>61</v>
      </c>
      <c r="B78" s="153">
        <f t="shared" si="0"/>
        <v>48884</v>
      </c>
      <c r="C78" s="151">
        <f t="shared" si="6"/>
        <v>0</v>
      </c>
      <c r="D78" s="151">
        <f t="shared" si="1"/>
        <v>1136407.7926360879</v>
      </c>
      <c r="E78" s="152">
        <f t="shared" si="2"/>
        <v>0</v>
      </c>
      <c r="F78" s="151">
        <f t="shared" si="3"/>
        <v>0</v>
      </c>
      <c r="G78" s="151">
        <f t="shared" si="4"/>
        <v>0</v>
      </c>
      <c r="H78" s="151">
        <f t="shared" si="7"/>
        <v>0</v>
      </c>
      <c r="I78" s="151">
        <f t="shared" si="5"/>
        <v>0</v>
      </c>
      <c r="J78" s="151">
        <f>SUM($H$18:$H78)</f>
        <v>2728155.8527217521</v>
      </c>
    </row>
    <row r="79" spans="1:10" x14ac:dyDescent="0.2">
      <c r="A79" s="154">
        <f>IF(Values_Entered,A78+1,"")</f>
        <v>62</v>
      </c>
      <c r="B79" s="153">
        <f t="shared" si="0"/>
        <v>48976</v>
      </c>
      <c r="C79" s="151">
        <f t="shared" si="6"/>
        <v>0</v>
      </c>
      <c r="D79" s="151">
        <f t="shared" si="1"/>
        <v>1136407.7926360879</v>
      </c>
      <c r="E79" s="152">
        <f t="shared" si="2"/>
        <v>0</v>
      </c>
      <c r="F79" s="151">
        <f t="shared" si="3"/>
        <v>0</v>
      </c>
      <c r="G79" s="151">
        <f t="shared" si="4"/>
        <v>0</v>
      </c>
      <c r="H79" s="151">
        <f t="shared" si="7"/>
        <v>0</v>
      </c>
      <c r="I79" s="151">
        <f t="shared" si="5"/>
        <v>0</v>
      </c>
      <c r="J79" s="151">
        <f>SUM($H$18:$H79)</f>
        <v>2728155.8527217521</v>
      </c>
    </row>
    <row r="80" spans="1:10" x14ac:dyDescent="0.2">
      <c r="A80" s="154">
        <f>IF(Values_Entered,A79+1,"")</f>
        <v>63</v>
      </c>
      <c r="B80" s="153">
        <f t="shared" si="0"/>
        <v>49065</v>
      </c>
      <c r="C80" s="151">
        <f t="shared" si="6"/>
        <v>0</v>
      </c>
      <c r="D80" s="151">
        <f t="shared" si="1"/>
        <v>1136407.7926360879</v>
      </c>
      <c r="E80" s="152">
        <f t="shared" si="2"/>
        <v>0</v>
      </c>
      <c r="F80" s="151">
        <f t="shared" si="3"/>
        <v>0</v>
      </c>
      <c r="G80" s="151">
        <f t="shared" si="4"/>
        <v>0</v>
      </c>
      <c r="H80" s="151">
        <f t="shared" si="7"/>
        <v>0</v>
      </c>
      <c r="I80" s="151">
        <f t="shared" si="5"/>
        <v>0</v>
      </c>
      <c r="J80" s="151">
        <f>SUM($H$18:$H80)</f>
        <v>2728155.8527217521</v>
      </c>
    </row>
    <row r="81" spans="1:10" x14ac:dyDescent="0.2">
      <c r="A81" s="154">
        <f>IF(Values_Entered,A80+1,"")</f>
        <v>64</v>
      </c>
      <c r="B81" s="153">
        <f t="shared" si="0"/>
        <v>49157</v>
      </c>
      <c r="C81" s="151">
        <f t="shared" si="6"/>
        <v>0</v>
      </c>
      <c r="D81" s="151">
        <f t="shared" si="1"/>
        <v>1136407.7926360879</v>
      </c>
      <c r="E81" s="152">
        <f t="shared" si="2"/>
        <v>0</v>
      </c>
      <c r="F81" s="151">
        <f t="shared" si="3"/>
        <v>0</v>
      </c>
      <c r="G81" s="151">
        <f t="shared" si="4"/>
        <v>0</v>
      </c>
      <c r="H81" s="151">
        <f t="shared" si="7"/>
        <v>0</v>
      </c>
      <c r="I81" s="151">
        <f t="shared" si="5"/>
        <v>0</v>
      </c>
      <c r="J81" s="151">
        <f>SUM($H$18:$H81)</f>
        <v>2728155.8527217521</v>
      </c>
    </row>
    <row r="82" spans="1:10" x14ac:dyDescent="0.2">
      <c r="A82" s="154">
        <f>IF(Values_Entered,A81+1,"")</f>
        <v>65</v>
      </c>
      <c r="B82" s="153">
        <f t="shared" ref="B82:B145" si="8">IF(Pay_Num&lt;&gt;"",DATE(YEAR(Loan_Start),MONTH(Loan_Start)+(Pay_Num)*12/Num_Pmt_Per_Year,DAY(Loan_Start)),"")</f>
        <v>49249</v>
      </c>
      <c r="C82" s="151">
        <f t="shared" si="6"/>
        <v>0</v>
      </c>
      <c r="D82" s="151">
        <f t="shared" ref="D82:D145" si="9">IF(Pay_Num&lt;&gt;"",Scheduled_Monthly_Payment,"")</f>
        <v>1136407.7926360879</v>
      </c>
      <c r="E82" s="152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151">
        <f t="shared" ref="F82:F145" si="11">IF(AND(Pay_Num&lt;&gt;"",Sched_Pay+Extra_Pay&lt;Beg_Bal),Sched_Pay+Extra_Pay,IF(Pay_Num&lt;&gt;"",Beg_Bal,""))</f>
        <v>0</v>
      </c>
      <c r="G82" s="151">
        <f t="shared" ref="G82:G145" si="12">IF(Pay_Num&lt;&gt;"",Total_Pay-Int,"")</f>
        <v>0</v>
      </c>
      <c r="H82" s="151">
        <f t="shared" si="7"/>
        <v>0</v>
      </c>
      <c r="I82" s="151">
        <f t="shared" ref="I82:I145" si="13">IF(AND(Pay_Num&lt;&gt;"",Sched_Pay+Extra_Pay&lt;Beg_Bal),Beg_Bal-Princ,IF(Pay_Num&lt;&gt;"",0,""))</f>
        <v>0</v>
      </c>
      <c r="J82" s="151">
        <f>SUM($H$18:$H82)</f>
        <v>2728155.8527217521</v>
      </c>
    </row>
    <row r="83" spans="1:10" x14ac:dyDescent="0.2">
      <c r="A83" s="154">
        <f>IF(Values_Entered,A82+1,"")</f>
        <v>66</v>
      </c>
      <c r="B83" s="153">
        <f t="shared" si="8"/>
        <v>49341</v>
      </c>
      <c r="C83" s="151">
        <f t="shared" ref="C83:C146" si="14">IF(Pay_Num&lt;&gt;"",I82,"")</f>
        <v>0</v>
      </c>
      <c r="D83" s="151">
        <f t="shared" si="9"/>
        <v>1136407.7926360879</v>
      </c>
      <c r="E83" s="152">
        <f t="shared" si="10"/>
        <v>0</v>
      </c>
      <c r="F83" s="151">
        <f t="shared" si="11"/>
        <v>0</v>
      </c>
      <c r="G83" s="151">
        <f t="shared" si="12"/>
        <v>0</v>
      </c>
      <c r="H83" s="151">
        <f t="shared" ref="H83:H146" si="15">IF(Pay_Num&lt;&gt;"",Beg_Bal*Interest_Rate/Num_Pmt_Per_Year,"")</f>
        <v>0</v>
      </c>
      <c r="I83" s="151">
        <f t="shared" si="13"/>
        <v>0</v>
      </c>
      <c r="J83" s="151">
        <f>SUM($H$18:$H83)</f>
        <v>2728155.8527217521</v>
      </c>
    </row>
    <row r="84" spans="1:10" x14ac:dyDescent="0.2">
      <c r="A84" s="154">
        <f>IF(Values_Entered,A83+1,"")</f>
        <v>67</v>
      </c>
      <c r="B84" s="153">
        <f t="shared" si="8"/>
        <v>49430</v>
      </c>
      <c r="C84" s="151">
        <f t="shared" si="14"/>
        <v>0</v>
      </c>
      <c r="D84" s="151">
        <f t="shared" si="9"/>
        <v>1136407.7926360879</v>
      </c>
      <c r="E84" s="152">
        <f t="shared" si="10"/>
        <v>0</v>
      </c>
      <c r="F84" s="151">
        <f t="shared" si="11"/>
        <v>0</v>
      </c>
      <c r="G84" s="151">
        <f t="shared" si="12"/>
        <v>0</v>
      </c>
      <c r="H84" s="151">
        <f t="shared" si="15"/>
        <v>0</v>
      </c>
      <c r="I84" s="151">
        <f t="shared" si="13"/>
        <v>0</v>
      </c>
      <c r="J84" s="151">
        <f>SUM($H$18:$H84)</f>
        <v>2728155.8527217521</v>
      </c>
    </row>
    <row r="85" spans="1:10" x14ac:dyDescent="0.2">
      <c r="A85" s="154">
        <f>IF(Values_Entered,A84+1,"")</f>
        <v>68</v>
      </c>
      <c r="B85" s="153">
        <f t="shared" si="8"/>
        <v>49522</v>
      </c>
      <c r="C85" s="151">
        <f t="shared" si="14"/>
        <v>0</v>
      </c>
      <c r="D85" s="151">
        <f t="shared" si="9"/>
        <v>1136407.7926360879</v>
      </c>
      <c r="E85" s="152">
        <f t="shared" si="10"/>
        <v>0</v>
      </c>
      <c r="F85" s="151">
        <f t="shared" si="11"/>
        <v>0</v>
      </c>
      <c r="G85" s="151">
        <f t="shared" si="12"/>
        <v>0</v>
      </c>
      <c r="H85" s="151">
        <f t="shared" si="15"/>
        <v>0</v>
      </c>
      <c r="I85" s="151">
        <f t="shared" si="13"/>
        <v>0</v>
      </c>
      <c r="J85" s="151">
        <f>SUM($H$18:$H85)</f>
        <v>2728155.8527217521</v>
      </c>
    </row>
    <row r="86" spans="1:10" x14ac:dyDescent="0.2">
      <c r="A86" s="154">
        <f>IF(Values_Entered,A85+1,"")</f>
        <v>69</v>
      </c>
      <c r="B86" s="153">
        <f t="shared" si="8"/>
        <v>49614</v>
      </c>
      <c r="C86" s="151">
        <f t="shared" si="14"/>
        <v>0</v>
      </c>
      <c r="D86" s="151">
        <f t="shared" si="9"/>
        <v>1136407.7926360879</v>
      </c>
      <c r="E86" s="152">
        <f t="shared" si="10"/>
        <v>0</v>
      </c>
      <c r="F86" s="151">
        <f t="shared" si="11"/>
        <v>0</v>
      </c>
      <c r="G86" s="151">
        <f t="shared" si="12"/>
        <v>0</v>
      </c>
      <c r="H86" s="151">
        <f t="shared" si="15"/>
        <v>0</v>
      </c>
      <c r="I86" s="151">
        <f t="shared" si="13"/>
        <v>0</v>
      </c>
      <c r="J86" s="151">
        <f>SUM($H$18:$H86)</f>
        <v>2728155.8527217521</v>
      </c>
    </row>
    <row r="87" spans="1:10" x14ac:dyDescent="0.2">
      <c r="A87" s="154">
        <f>IF(Values_Entered,A86+1,"")</f>
        <v>70</v>
      </c>
      <c r="B87" s="153">
        <f t="shared" si="8"/>
        <v>49706</v>
      </c>
      <c r="C87" s="151">
        <f t="shared" si="14"/>
        <v>0</v>
      </c>
      <c r="D87" s="151">
        <f t="shared" si="9"/>
        <v>1136407.7926360879</v>
      </c>
      <c r="E87" s="152">
        <f t="shared" si="10"/>
        <v>0</v>
      </c>
      <c r="F87" s="151">
        <f t="shared" si="11"/>
        <v>0</v>
      </c>
      <c r="G87" s="151">
        <f t="shared" si="12"/>
        <v>0</v>
      </c>
      <c r="H87" s="151">
        <f t="shared" si="15"/>
        <v>0</v>
      </c>
      <c r="I87" s="151">
        <f t="shared" si="13"/>
        <v>0</v>
      </c>
      <c r="J87" s="151">
        <f>SUM($H$18:$H87)</f>
        <v>2728155.8527217521</v>
      </c>
    </row>
    <row r="88" spans="1:10" x14ac:dyDescent="0.2">
      <c r="A88" s="154">
        <f>IF(Values_Entered,A87+1,"")</f>
        <v>71</v>
      </c>
      <c r="B88" s="153">
        <f t="shared" si="8"/>
        <v>49796</v>
      </c>
      <c r="C88" s="151">
        <f t="shared" si="14"/>
        <v>0</v>
      </c>
      <c r="D88" s="151">
        <f t="shared" si="9"/>
        <v>1136407.7926360879</v>
      </c>
      <c r="E88" s="152">
        <f t="shared" si="10"/>
        <v>0</v>
      </c>
      <c r="F88" s="151">
        <f t="shared" si="11"/>
        <v>0</v>
      </c>
      <c r="G88" s="151">
        <f t="shared" si="12"/>
        <v>0</v>
      </c>
      <c r="H88" s="151">
        <f t="shared" si="15"/>
        <v>0</v>
      </c>
      <c r="I88" s="151">
        <f t="shared" si="13"/>
        <v>0</v>
      </c>
      <c r="J88" s="151">
        <f>SUM($H$18:$H88)</f>
        <v>2728155.8527217521</v>
      </c>
    </row>
    <row r="89" spans="1:10" x14ac:dyDescent="0.2">
      <c r="A89" s="154">
        <f>IF(Values_Entered,A88+1,"")</f>
        <v>72</v>
      </c>
      <c r="B89" s="153">
        <f t="shared" si="8"/>
        <v>49888</v>
      </c>
      <c r="C89" s="151">
        <f t="shared" si="14"/>
        <v>0</v>
      </c>
      <c r="D89" s="151">
        <f t="shared" si="9"/>
        <v>1136407.7926360879</v>
      </c>
      <c r="E89" s="152">
        <f t="shared" si="10"/>
        <v>0</v>
      </c>
      <c r="F89" s="151">
        <f t="shared" si="11"/>
        <v>0</v>
      </c>
      <c r="G89" s="151">
        <f t="shared" si="12"/>
        <v>0</v>
      </c>
      <c r="H89" s="151">
        <f t="shared" si="15"/>
        <v>0</v>
      </c>
      <c r="I89" s="151">
        <f t="shared" si="13"/>
        <v>0</v>
      </c>
      <c r="J89" s="151">
        <f>SUM($H$18:$H89)</f>
        <v>2728155.8527217521</v>
      </c>
    </row>
    <row r="90" spans="1:10" x14ac:dyDescent="0.2">
      <c r="A90" s="154">
        <f>IF(Values_Entered,A89+1,"")</f>
        <v>73</v>
      </c>
      <c r="B90" s="153">
        <f t="shared" si="8"/>
        <v>49980</v>
      </c>
      <c r="C90" s="151">
        <f t="shared" si="14"/>
        <v>0</v>
      </c>
      <c r="D90" s="151">
        <f t="shared" si="9"/>
        <v>1136407.7926360879</v>
      </c>
      <c r="E90" s="152">
        <f t="shared" si="10"/>
        <v>0</v>
      </c>
      <c r="F90" s="151">
        <f t="shared" si="11"/>
        <v>0</v>
      </c>
      <c r="G90" s="151">
        <f t="shared" si="12"/>
        <v>0</v>
      </c>
      <c r="H90" s="151">
        <f t="shared" si="15"/>
        <v>0</v>
      </c>
      <c r="I90" s="151">
        <f t="shared" si="13"/>
        <v>0</v>
      </c>
      <c r="J90" s="151">
        <f>SUM($H$18:$H90)</f>
        <v>2728155.8527217521</v>
      </c>
    </row>
    <row r="91" spans="1:10" x14ac:dyDescent="0.2">
      <c r="A91" s="154">
        <f>IF(Values_Entered,A90+1,"")</f>
        <v>74</v>
      </c>
      <c r="B91" s="153">
        <f t="shared" si="8"/>
        <v>50072</v>
      </c>
      <c r="C91" s="151">
        <f t="shared" si="14"/>
        <v>0</v>
      </c>
      <c r="D91" s="151">
        <f t="shared" si="9"/>
        <v>1136407.7926360879</v>
      </c>
      <c r="E91" s="152">
        <f t="shared" si="10"/>
        <v>0</v>
      </c>
      <c r="F91" s="151">
        <f t="shared" si="11"/>
        <v>0</v>
      </c>
      <c r="G91" s="151">
        <f t="shared" si="12"/>
        <v>0</v>
      </c>
      <c r="H91" s="151">
        <f t="shared" si="15"/>
        <v>0</v>
      </c>
      <c r="I91" s="151">
        <f t="shared" si="13"/>
        <v>0</v>
      </c>
      <c r="J91" s="151">
        <f>SUM($H$18:$H91)</f>
        <v>2728155.8527217521</v>
      </c>
    </row>
    <row r="92" spans="1:10" x14ac:dyDescent="0.2">
      <c r="A92" s="154">
        <f>IF(Values_Entered,A91+1,"")</f>
        <v>75</v>
      </c>
      <c r="B92" s="153">
        <f t="shared" si="8"/>
        <v>50161</v>
      </c>
      <c r="C92" s="151">
        <f t="shared" si="14"/>
        <v>0</v>
      </c>
      <c r="D92" s="151">
        <f t="shared" si="9"/>
        <v>1136407.7926360879</v>
      </c>
      <c r="E92" s="152">
        <f t="shared" si="10"/>
        <v>0</v>
      </c>
      <c r="F92" s="151">
        <f t="shared" si="11"/>
        <v>0</v>
      </c>
      <c r="G92" s="151">
        <f t="shared" si="12"/>
        <v>0</v>
      </c>
      <c r="H92" s="151">
        <f t="shared" si="15"/>
        <v>0</v>
      </c>
      <c r="I92" s="151">
        <f t="shared" si="13"/>
        <v>0</v>
      </c>
      <c r="J92" s="151">
        <f>SUM($H$18:$H92)</f>
        <v>2728155.8527217521</v>
      </c>
    </row>
    <row r="93" spans="1:10" x14ac:dyDescent="0.2">
      <c r="A93" s="154">
        <f>IF(Values_Entered,A92+1,"")</f>
        <v>76</v>
      </c>
      <c r="B93" s="153">
        <f t="shared" si="8"/>
        <v>50253</v>
      </c>
      <c r="C93" s="151">
        <f t="shared" si="14"/>
        <v>0</v>
      </c>
      <c r="D93" s="151">
        <f t="shared" si="9"/>
        <v>1136407.7926360879</v>
      </c>
      <c r="E93" s="152">
        <f t="shared" si="10"/>
        <v>0</v>
      </c>
      <c r="F93" s="151">
        <f t="shared" si="11"/>
        <v>0</v>
      </c>
      <c r="G93" s="151">
        <f t="shared" si="12"/>
        <v>0</v>
      </c>
      <c r="H93" s="151">
        <f t="shared" si="15"/>
        <v>0</v>
      </c>
      <c r="I93" s="151">
        <f t="shared" si="13"/>
        <v>0</v>
      </c>
      <c r="J93" s="151">
        <f>SUM($H$18:$H93)</f>
        <v>2728155.8527217521</v>
      </c>
    </row>
    <row r="94" spans="1:10" x14ac:dyDescent="0.2">
      <c r="A94" s="154">
        <f>IF(Values_Entered,A93+1,"")</f>
        <v>77</v>
      </c>
      <c r="B94" s="153">
        <f t="shared" si="8"/>
        <v>50345</v>
      </c>
      <c r="C94" s="151">
        <f t="shared" si="14"/>
        <v>0</v>
      </c>
      <c r="D94" s="151">
        <f t="shared" si="9"/>
        <v>1136407.7926360879</v>
      </c>
      <c r="E94" s="152">
        <f t="shared" si="10"/>
        <v>0</v>
      </c>
      <c r="F94" s="151">
        <f t="shared" si="11"/>
        <v>0</v>
      </c>
      <c r="G94" s="151">
        <f t="shared" si="12"/>
        <v>0</v>
      </c>
      <c r="H94" s="151">
        <f t="shared" si="15"/>
        <v>0</v>
      </c>
      <c r="I94" s="151">
        <f t="shared" si="13"/>
        <v>0</v>
      </c>
      <c r="J94" s="151">
        <f>SUM($H$18:$H94)</f>
        <v>2728155.8527217521</v>
      </c>
    </row>
    <row r="95" spans="1:10" x14ac:dyDescent="0.2">
      <c r="A95" s="154">
        <f>IF(Values_Entered,A94+1,"")</f>
        <v>78</v>
      </c>
      <c r="B95" s="153">
        <f t="shared" si="8"/>
        <v>50437</v>
      </c>
      <c r="C95" s="151">
        <f t="shared" si="14"/>
        <v>0</v>
      </c>
      <c r="D95" s="151">
        <f t="shared" si="9"/>
        <v>1136407.7926360879</v>
      </c>
      <c r="E95" s="152">
        <f t="shared" si="10"/>
        <v>0</v>
      </c>
      <c r="F95" s="151">
        <f t="shared" si="11"/>
        <v>0</v>
      </c>
      <c r="G95" s="151">
        <f t="shared" si="12"/>
        <v>0</v>
      </c>
      <c r="H95" s="151">
        <f t="shared" si="15"/>
        <v>0</v>
      </c>
      <c r="I95" s="151">
        <f t="shared" si="13"/>
        <v>0</v>
      </c>
      <c r="J95" s="151">
        <f>SUM($H$18:$H95)</f>
        <v>2728155.8527217521</v>
      </c>
    </row>
    <row r="96" spans="1:10" x14ac:dyDescent="0.2">
      <c r="A96" s="154">
        <f>IF(Values_Entered,A95+1,"")</f>
        <v>79</v>
      </c>
      <c r="B96" s="153">
        <f t="shared" si="8"/>
        <v>50526</v>
      </c>
      <c r="C96" s="151">
        <f t="shared" si="14"/>
        <v>0</v>
      </c>
      <c r="D96" s="151">
        <f t="shared" si="9"/>
        <v>1136407.7926360879</v>
      </c>
      <c r="E96" s="152">
        <f t="shared" si="10"/>
        <v>0</v>
      </c>
      <c r="F96" s="151">
        <f t="shared" si="11"/>
        <v>0</v>
      </c>
      <c r="G96" s="151">
        <f t="shared" si="12"/>
        <v>0</v>
      </c>
      <c r="H96" s="151">
        <f t="shared" si="15"/>
        <v>0</v>
      </c>
      <c r="I96" s="151">
        <f t="shared" si="13"/>
        <v>0</v>
      </c>
      <c r="J96" s="151">
        <f>SUM($H$18:$H96)</f>
        <v>2728155.8527217521</v>
      </c>
    </row>
    <row r="97" spans="1:10" x14ac:dyDescent="0.2">
      <c r="A97" s="154">
        <f>IF(Values_Entered,A96+1,"")</f>
        <v>80</v>
      </c>
      <c r="B97" s="153">
        <f t="shared" si="8"/>
        <v>50618</v>
      </c>
      <c r="C97" s="151">
        <f t="shared" si="14"/>
        <v>0</v>
      </c>
      <c r="D97" s="151">
        <f t="shared" si="9"/>
        <v>1136407.7926360879</v>
      </c>
      <c r="E97" s="152">
        <f t="shared" si="10"/>
        <v>0</v>
      </c>
      <c r="F97" s="151">
        <f t="shared" si="11"/>
        <v>0</v>
      </c>
      <c r="G97" s="151">
        <f t="shared" si="12"/>
        <v>0</v>
      </c>
      <c r="H97" s="151">
        <f t="shared" si="15"/>
        <v>0</v>
      </c>
      <c r="I97" s="151">
        <f t="shared" si="13"/>
        <v>0</v>
      </c>
      <c r="J97" s="151">
        <f>SUM($H$18:$H97)</f>
        <v>2728155.8527217521</v>
      </c>
    </row>
    <row r="98" spans="1:10" x14ac:dyDescent="0.2">
      <c r="A98" s="154">
        <f>IF(Values_Entered,A97+1,"")</f>
        <v>81</v>
      </c>
      <c r="B98" s="153">
        <f t="shared" si="8"/>
        <v>50710</v>
      </c>
      <c r="C98" s="151">
        <f t="shared" si="14"/>
        <v>0</v>
      </c>
      <c r="D98" s="151">
        <f t="shared" si="9"/>
        <v>1136407.7926360879</v>
      </c>
      <c r="E98" s="152">
        <f t="shared" si="10"/>
        <v>0</v>
      </c>
      <c r="F98" s="151">
        <f t="shared" si="11"/>
        <v>0</v>
      </c>
      <c r="G98" s="151">
        <f t="shared" si="12"/>
        <v>0</v>
      </c>
      <c r="H98" s="151">
        <f t="shared" si="15"/>
        <v>0</v>
      </c>
      <c r="I98" s="151">
        <f t="shared" si="13"/>
        <v>0</v>
      </c>
      <c r="J98" s="151">
        <f>SUM($H$18:$H98)</f>
        <v>2728155.8527217521</v>
      </c>
    </row>
    <row r="99" spans="1:10" x14ac:dyDescent="0.2">
      <c r="A99" s="154">
        <f>IF(Values_Entered,A98+1,"")</f>
        <v>82</v>
      </c>
      <c r="B99" s="153">
        <f t="shared" si="8"/>
        <v>50802</v>
      </c>
      <c r="C99" s="151">
        <f t="shared" si="14"/>
        <v>0</v>
      </c>
      <c r="D99" s="151">
        <f t="shared" si="9"/>
        <v>1136407.7926360879</v>
      </c>
      <c r="E99" s="152">
        <f t="shared" si="10"/>
        <v>0</v>
      </c>
      <c r="F99" s="151">
        <f t="shared" si="11"/>
        <v>0</v>
      </c>
      <c r="G99" s="151">
        <f t="shared" si="12"/>
        <v>0</v>
      </c>
      <c r="H99" s="151">
        <f t="shared" si="15"/>
        <v>0</v>
      </c>
      <c r="I99" s="151">
        <f t="shared" si="13"/>
        <v>0</v>
      </c>
      <c r="J99" s="151">
        <f>SUM($H$18:$H99)</f>
        <v>2728155.8527217521</v>
      </c>
    </row>
    <row r="100" spans="1:10" x14ac:dyDescent="0.2">
      <c r="A100" s="154">
        <f>IF(Values_Entered,A99+1,"")</f>
        <v>83</v>
      </c>
      <c r="B100" s="153">
        <f t="shared" si="8"/>
        <v>50891</v>
      </c>
      <c r="C100" s="151">
        <f t="shared" si="14"/>
        <v>0</v>
      </c>
      <c r="D100" s="151">
        <f t="shared" si="9"/>
        <v>1136407.7926360879</v>
      </c>
      <c r="E100" s="152">
        <f t="shared" si="10"/>
        <v>0</v>
      </c>
      <c r="F100" s="151">
        <f t="shared" si="11"/>
        <v>0</v>
      </c>
      <c r="G100" s="151">
        <f t="shared" si="12"/>
        <v>0</v>
      </c>
      <c r="H100" s="151">
        <f t="shared" si="15"/>
        <v>0</v>
      </c>
      <c r="I100" s="151">
        <f t="shared" si="13"/>
        <v>0</v>
      </c>
      <c r="J100" s="151">
        <f>SUM($H$18:$H100)</f>
        <v>2728155.8527217521</v>
      </c>
    </row>
    <row r="101" spans="1:10" x14ac:dyDescent="0.2">
      <c r="A101" s="154">
        <f>IF(Values_Entered,A100+1,"")</f>
        <v>84</v>
      </c>
      <c r="B101" s="153">
        <f t="shared" si="8"/>
        <v>50983</v>
      </c>
      <c r="C101" s="151">
        <f t="shared" si="14"/>
        <v>0</v>
      </c>
      <c r="D101" s="151">
        <f t="shared" si="9"/>
        <v>1136407.7926360879</v>
      </c>
      <c r="E101" s="152">
        <f t="shared" si="10"/>
        <v>0</v>
      </c>
      <c r="F101" s="151">
        <f t="shared" si="11"/>
        <v>0</v>
      </c>
      <c r="G101" s="151">
        <f t="shared" si="12"/>
        <v>0</v>
      </c>
      <c r="H101" s="151">
        <f t="shared" si="15"/>
        <v>0</v>
      </c>
      <c r="I101" s="151">
        <f t="shared" si="13"/>
        <v>0</v>
      </c>
      <c r="J101" s="151">
        <f>SUM($H$18:$H101)</f>
        <v>2728155.8527217521</v>
      </c>
    </row>
    <row r="102" spans="1:10" x14ac:dyDescent="0.2">
      <c r="A102" s="154">
        <f>IF(Values_Entered,A101+1,"")</f>
        <v>85</v>
      </c>
      <c r="B102" s="153">
        <f t="shared" si="8"/>
        <v>51075</v>
      </c>
      <c r="C102" s="151">
        <f t="shared" si="14"/>
        <v>0</v>
      </c>
      <c r="D102" s="151">
        <f t="shared" si="9"/>
        <v>1136407.7926360879</v>
      </c>
      <c r="E102" s="152">
        <f t="shared" si="10"/>
        <v>0</v>
      </c>
      <c r="F102" s="151">
        <f t="shared" si="11"/>
        <v>0</v>
      </c>
      <c r="G102" s="151">
        <f t="shared" si="12"/>
        <v>0</v>
      </c>
      <c r="H102" s="151">
        <f t="shared" si="15"/>
        <v>0</v>
      </c>
      <c r="I102" s="151">
        <f t="shared" si="13"/>
        <v>0</v>
      </c>
      <c r="J102" s="151">
        <f>SUM($H$18:$H102)</f>
        <v>2728155.8527217521</v>
      </c>
    </row>
    <row r="103" spans="1:10" x14ac:dyDescent="0.2">
      <c r="A103" s="154">
        <f>IF(Values_Entered,A102+1,"")</f>
        <v>86</v>
      </c>
      <c r="B103" s="153">
        <f t="shared" si="8"/>
        <v>51167</v>
      </c>
      <c r="C103" s="151">
        <f t="shared" si="14"/>
        <v>0</v>
      </c>
      <c r="D103" s="151">
        <f t="shared" si="9"/>
        <v>1136407.7926360879</v>
      </c>
      <c r="E103" s="152">
        <f t="shared" si="10"/>
        <v>0</v>
      </c>
      <c r="F103" s="151">
        <f t="shared" si="11"/>
        <v>0</v>
      </c>
      <c r="G103" s="151">
        <f t="shared" si="12"/>
        <v>0</v>
      </c>
      <c r="H103" s="151">
        <f t="shared" si="15"/>
        <v>0</v>
      </c>
      <c r="I103" s="151">
        <f t="shared" si="13"/>
        <v>0</v>
      </c>
      <c r="J103" s="151">
        <f>SUM($H$18:$H103)</f>
        <v>2728155.8527217521</v>
      </c>
    </row>
    <row r="104" spans="1:10" x14ac:dyDescent="0.2">
      <c r="A104" s="154">
        <f>IF(Values_Entered,A103+1,"")</f>
        <v>87</v>
      </c>
      <c r="B104" s="153">
        <f t="shared" si="8"/>
        <v>51257</v>
      </c>
      <c r="C104" s="151">
        <f t="shared" si="14"/>
        <v>0</v>
      </c>
      <c r="D104" s="151">
        <f t="shared" si="9"/>
        <v>1136407.7926360879</v>
      </c>
      <c r="E104" s="152">
        <f t="shared" si="10"/>
        <v>0</v>
      </c>
      <c r="F104" s="151">
        <f t="shared" si="11"/>
        <v>0</v>
      </c>
      <c r="G104" s="151">
        <f t="shared" si="12"/>
        <v>0</v>
      </c>
      <c r="H104" s="151">
        <f t="shared" si="15"/>
        <v>0</v>
      </c>
      <c r="I104" s="151">
        <f t="shared" si="13"/>
        <v>0</v>
      </c>
      <c r="J104" s="151">
        <f>SUM($H$18:$H104)</f>
        <v>2728155.8527217521</v>
      </c>
    </row>
    <row r="105" spans="1:10" x14ac:dyDescent="0.2">
      <c r="A105" s="154">
        <f>IF(Values_Entered,A104+1,"")</f>
        <v>88</v>
      </c>
      <c r="B105" s="153">
        <f t="shared" si="8"/>
        <v>51349</v>
      </c>
      <c r="C105" s="151">
        <f t="shared" si="14"/>
        <v>0</v>
      </c>
      <c r="D105" s="151">
        <f t="shared" si="9"/>
        <v>1136407.7926360879</v>
      </c>
      <c r="E105" s="152">
        <f t="shared" si="10"/>
        <v>0</v>
      </c>
      <c r="F105" s="151">
        <f t="shared" si="11"/>
        <v>0</v>
      </c>
      <c r="G105" s="151">
        <f t="shared" si="12"/>
        <v>0</v>
      </c>
      <c r="H105" s="151">
        <f t="shared" si="15"/>
        <v>0</v>
      </c>
      <c r="I105" s="151">
        <f t="shared" si="13"/>
        <v>0</v>
      </c>
      <c r="J105" s="151">
        <f>SUM($H$18:$H105)</f>
        <v>2728155.8527217521</v>
      </c>
    </row>
    <row r="106" spans="1:10" x14ac:dyDescent="0.2">
      <c r="A106" s="154">
        <f>IF(Values_Entered,A105+1,"")</f>
        <v>89</v>
      </c>
      <c r="B106" s="153">
        <f t="shared" si="8"/>
        <v>51441</v>
      </c>
      <c r="C106" s="151">
        <f t="shared" si="14"/>
        <v>0</v>
      </c>
      <c r="D106" s="151">
        <f t="shared" si="9"/>
        <v>1136407.7926360879</v>
      </c>
      <c r="E106" s="152">
        <f t="shared" si="10"/>
        <v>0</v>
      </c>
      <c r="F106" s="151">
        <f t="shared" si="11"/>
        <v>0</v>
      </c>
      <c r="G106" s="151">
        <f t="shared" si="12"/>
        <v>0</v>
      </c>
      <c r="H106" s="151">
        <f t="shared" si="15"/>
        <v>0</v>
      </c>
      <c r="I106" s="151">
        <f t="shared" si="13"/>
        <v>0</v>
      </c>
      <c r="J106" s="151">
        <f>SUM($H$18:$H106)</f>
        <v>2728155.8527217521</v>
      </c>
    </row>
    <row r="107" spans="1:10" x14ac:dyDescent="0.2">
      <c r="A107" s="154">
        <f>IF(Values_Entered,A106+1,"")</f>
        <v>90</v>
      </c>
      <c r="B107" s="153">
        <f t="shared" si="8"/>
        <v>51533</v>
      </c>
      <c r="C107" s="151">
        <f t="shared" si="14"/>
        <v>0</v>
      </c>
      <c r="D107" s="151">
        <f t="shared" si="9"/>
        <v>1136407.7926360879</v>
      </c>
      <c r="E107" s="152">
        <f t="shared" si="10"/>
        <v>0</v>
      </c>
      <c r="F107" s="151">
        <f t="shared" si="11"/>
        <v>0</v>
      </c>
      <c r="G107" s="151">
        <f t="shared" si="12"/>
        <v>0</v>
      </c>
      <c r="H107" s="151">
        <f t="shared" si="15"/>
        <v>0</v>
      </c>
      <c r="I107" s="151">
        <f t="shared" si="13"/>
        <v>0</v>
      </c>
      <c r="J107" s="151">
        <f>SUM($H$18:$H107)</f>
        <v>2728155.8527217521</v>
      </c>
    </row>
    <row r="108" spans="1:10" x14ac:dyDescent="0.2">
      <c r="A108" s="154">
        <f>IF(Values_Entered,A107+1,"")</f>
        <v>91</v>
      </c>
      <c r="B108" s="153">
        <f t="shared" si="8"/>
        <v>51622</v>
      </c>
      <c r="C108" s="151">
        <f t="shared" si="14"/>
        <v>0</v>
      </c>
      <c r="D108" s="151">
        <f t="shared" si="9"/>
        <v>1136407.7926360879</v>
      </c>
      <c r="E108" s="152">
        <f t="shared" si="10"/>
        <v>0</v>
      </c>
      <c r="F108" s="151">
        <f t="shared" si="11"/>
        <v>0</v>
      </c>
      <c r="G108" s="151">
        <f t="shared" si="12"/>
        <v>0</v>
      </c>
      <c r="H108" s="151">
        <f t="shared" si="15"/>
        <v>0</v>
      </c>
      <c r="I108" s="151">
        <f t="shared" si="13"/>
        <v>0</v>
      </c>
      <c r="J108" s="151">
        <f>SUM($H$18:$H108)</f>
        <v>2728155.8527217521</v>
      </c>
    </row>
    <row r="109" spans="1:10" x14ac:dyDescent="0.2">
      <c r="A109" s="154">
        <f>IF(Values_Entered,A108+1,"")</f>
        <v>92</v>
      </c>
      <c r="B109" s="153">
        <f t="shared" si="8"/>
        <v>51714</v>
      </c>
      <c r="C109" s="151">
        <f t="shared" si="14"/>
        <v>0</v>
      </c>
      <c r="D109" s="151">
        <f t="shared" si="9"/>
        <v>1136407.7926360879</v>
      </c>
      <c r="E109" s="152">
        <f t="shared" si="10"/>
        <v>0</v>
      </c>
      <c r="F109" s="151">
        <f t="shared" si="11"/>
        <v>0</v>
      </c>
      <c r="G109" s="151">
        <f t="shared" si="12"/>
        <v>0</v>
      </c>
      <c r="H109" s="151">
        <f t="shared" si="15"/>
        <v>0</v>
      </c>
      <c r="I109" s="151">
        <f t="shared" si="13"/>
        <v>0</v>
      </c>
      <c r="J109" s="151">
        <f>SUM($H$18:$H109)</f>
        <v>2728155.8527217521</v>
      </c>
    </row>
    <row r="110" spans="1:10" x14ac:dyDescent="0.2">
      <c r="A110" s="154">
        <f>IF(Values_Entered,A109+1,"")</f>
        <v>93</v>
      </c>
      <c r="B110" s="153">
        <f t="shared" si="8"/>
        <v>51806</v>
      </c>
      <c r="C110" s="151">
        <f t="shared" si="14"/>
        <v>0</v>
      </c>
      <c r="D110" s="151">
        <f t="shared" si="9"/>
        <v>1136407.7926360879</v>
      </c>
      <c r="E110" s="152">
        <f t="shared" si="10"/>
        <v>0</v>
      </c>
      <c r="F110" s="151">
        <f t="shared" si="11"/>
        <v>0</v>
      </c>
      <c r="G110" s="151">
        <f t="shared" si="12"/>
        <v>0</v>
      </c>
      <c r="H110" s="151">
        <f t="shared" si="15"/>
        <v>0</v>
      </c>
      <c r="I110" s="151">
        <f t="shared" si="13"/>
        <v>0</v>
      </c>
      <c r="J110" s="151">
        <f>SUM($H$18:$H110)</f>
        <v>2728155.8527217521</v>
      </c>
    </row>
    <row r="111" spans="1:10" x14ac:dyDescent="0.2">
      <c r="A111" s="154">
        <f>IF(Values_Entered,A110+1,"")</f>
        <v>94</v>
      </c>
      <c r="B111" s="153">
        <f t="shared" si="8"/>
        <v>51898</v>
      </c>
      <c r="C111" s="151">
        <f t="shared" si="14"/>
        <v>0</v>
      </c>
      <c r="D111" s="151">
        <f t="shared" si="9"/>
        <v>1136407.7926360879</v>
      </c>
      <c r="E111" s="152">
        <f t="shared" si="10"/>
        <v>0</v>
      </c>
      <c r="F111" s="151">
        <f t="shared" si="11"/>
        <v>0</v>
      </c>
      <c r="G111" s="151">
        <f t="shared" si="12"/>
        <v>0</v>
      </c>
      <c r="H111" s="151">
        <f t="shared" si="15"/>
        <v>0</v>
      </c>
      <c r="I111" s="151">
        <f t="shared" si="13"/>
        <v>0</v>
      </c>
      <c r="J111" s="151">
        <f>SUM($H$18:$H111)</f>
        <v>2728155.8527217521</v>
      </c>
    </row>
    <row r="112" spans="1:10" x14ac:dyDescent="0.2">
      <c r="A112" s="154">
        <f>IF(Values_Entered,A111+1,"")</f>
        <v>95</v>
      </c>
      <c r="B112" s="153">
        <f t="shared" si="8"/>
        <v>51987</v>
      </c>
      <c r="C112" s="151">
        <f t="shared" si="14"/>
        <v>0</v>
      </c>
      <c r="D112" s="151">
        <f t="shared" si="9"/>
        <v>1136407.7926360879</v>
      </c>
      <c r="E112" s="152">
        <f t="shared" si="10"/>
        <v>0</v>
      </c>
      <c r="F112" s="151">
        <f t="shared" si="11"/>
        <v>0</v>
      </c>
      <c r="G112" s="151">
        <f t="shared" si="12"/>
        <v>0</v>
      </c>
      <c r="H112" s="151">
        <f t="shared" si="15"/>
        <v>0</v>
      </c>
      <c r="I112" s="151">
        <f t="shared" si="13"/>
        <v>0</v>
      </c>
      <c r="J112" s="151">
        <f>SUM($H$18:$H112)</f>
        <v>2728155.8527217521</v>
      </c>
    </row>
    <row r="113" spans="1:10" x14ac:dyDescent="0.2">
      <c r="A113" s="154">
        <f>IF(Values_Entered,A112+1,"")</f>
        <v>96</v>
      </c>
      <c r="B113" s="153">
        <f t="shared" si="8"/>
        <v>52079</v>
      </c>
      <c r="C113" s="151">
        <f t="shared" si="14"/>
        <v>0</v>
      </c>
      <c r="D113" s="151">
        <f t="shared" si="9"/>
        <v>1136407.7926360879</v>
      </c>
      <c r="E113" s="152">
        <f t="shared" si="10"/>
        <v>0</v>
      </c>
      <c r="F113" s="151">
        <f t="shared" si="11"/>
        <v>0</v>
      </c>
      <c r="G113" s="151">
        <f t="shared" si="12"/>
        <v>0</v>
      </c>
      <c r="H113" s="151">
        <f t="shared" si="15"/>
        <v>0</v>
      </c>
      <c r="I113" s="151">
        <f t="shared" si="13"/>
        <v>0</v>
      </c>
      <c r="J113" s="151">
        <f>SUM($H$18:$H113)</f>
        <v>2728155.8527217521</v>
      </c>
    </row>
    <row r="114" spans="1:10" x14ac:dyDescent="0.2">
      <c r="A114" s="154">
        <f>IF(Values_Entered,A113+1,"")</f>
        <v>97</v>
      </c>
      <c r="B114" s="153">
        <f t="shared" si="8"/>
        <v>52171</v>
      </c>
      <c r="C114" s="151">
        <f t="shared" si="14"/>
        <v>0</v>
      </c>
      <c r="D114" s="151">
        <f t="shared" si="9"/>
        <v>1136407.7926360879</v>
      </c>
      <c r="E114" s="152">
        <f t="shared" si="10"/>
        <v>0</v>
      </c>
      <c r="F114" s="151">
        <f t="shared" si="11"/>
        <v>0</v>
      </c>
      <c r="G114" s="151">
        <f t="shared" si="12"/>
        <v>0</v>
      </c>
      <c r="H114" s="151">
        <f t="shared" si="15"/>
        <v>0</v>
      </c>
      <c r="I114" s="151">
        <f t="shared" si="13"/>
        <v>0</v>
      </c>
      <c r="J114" s="151">
        <f>SUM($H$18:$H114)</f>
        <v>2728155.8527217521</v>
      </c>
    </row>
    <row r="115" spans="1:10" x14ac:dyDescent="0.2">
      <c r="A115" s="154">
        <f>IF(Values_Entered,A114+1,"")</f>
        <v>98</v>
      </c>
      <c r="B115" s="153">
        <f t="shared" si="8"/>
        <v>52263</v>
      </c>
      <c r="C115" s="151">
        <f t="shared" si="14"/>
        <v>0</v>
      </c>
      <c r="D115" s="151">
        <f t="shared" si="9"/>
        <v>1136407.7926360879</v>
      </c>
      <c r="E115" s="152">
        <f t="shared" si="10"/>
        <v>0</v>
      </c>
      <c r="F115" s="151">
        <f t="shared" si="11"/>
        <v>0</v>
      </c>
      <c r="G115" s="151">
        <f t="shared" si="12"/>
        <v>0</v>
      </c>
      <c r="H115" s="151">
        <f t="shared" si="15"/>
        <v>0</v>
      </c>
      <c r="I115" s="151">
        <f t="shared" si="13"/>
        <v>0</v>
      </c>
      <c r="J115" s="151">
        <f>SUM($H$18:$H115)</f>
        <v>2728155.8527217521</v>
      </c>
    </row>
    <row r="116" spans="1:10" x14ac:dyDescent="0.2">
      <c r="A116" s="154">
        <f>IF(Values_Entered,A115+1,"")</f>
        <v>99</v>
      </c>
      <c r="B116" s="153">
        <f t="shared" si="8"/>
        <v>52352</v>
      </c>
      <c r="C116" s="151">
        <f t="shared" si="14"/>
        <v>0</v>
      </c>
      <c r="D116" s="151">
        <f t="shared" si="9"/>
        <v>1136407.7926360879</v>
      </c>
      <c r="E116" s="152">
        <f t="shared" si="10"/>
        <v>0</v>
      </c>
      <c r="F116" s="151">
        <f t="shared" si="11"/>
        <v>0</v>
      </c>
      <c r="G116" s="151">
        <f t="shared" si="12"/>
        <v>0</v>
      </c>
      <c r="H116" s="151">
        <f t="shared" si="15"/>
        <v>0</v>
      </c>
      <c r="I116" s="151">
        <f t="shared" si="13"/>
        <v>0</v>
      </c>
      <c r="J116" s="151">
        <f>SUM($H$18:$H116)</f>
        <v>2728155.8527217521</v>
      </c>
    </row>
    <row r="117" spans="1:10" x14ac:dyDescent="0.2">
      <c r="A117" s="154">
        <f>IF(Values_Entered,A116+1,"")</f>
        <v>100</v>
      </c>
      <c r="B117" s="153">
        <f t="shared" si="8"/>
        <v>52444</v>
      </c>
      <c r="C117" s="151">
        <f t="shared" si="14"/>
        <v>0</v>
      </c>
      <c r="D117" s="151">
        <f t="shared" si="9"/>
        <v>1136407.7926360879</v>
      </c>
      <c r="E117" s="152">
        <f t="shared" si="10"/>
        <v>0</v>
      </c>
      <c r="F117" s="151">
        <f t="shared" si="11"/>
        <v>0</v>
      </c>
      <c r="G117" s="151">
        <f t="shared" si="12"/>
        <v>0</v>
      </c>
      <c r="H117" s="151">
        <f t="shared" si="15"/>
        <v>0</v>
      </c>
      <c r="I117" s="151">
        <f t="shared" si="13"/>
        <v>0</v>
      </c>
      <c r="J117" s="151">
        <f>SUM($H$18:$H117)</f>
        <v>2728155.8527217521</v>
      </c>
    </row>
    <row r="118" spans="1:10" x14ac:dyDescent="0.2">
      <c r="A118" s="154">
        <f>IF(Values_Entered,A117+1,"")</f>
        <v>101</v>
      </c>
      <c r="B118" s="153">
        <f t="shared" si="8"/>
        <v>52536</v>
      </c>
      <c r="C118" s="151">
        <f t="shared" si="14"/>
        <v>0</v>
      </c>
      <c r="D118" s="151">
        <f t="shared" si="9"/>
        <v>1136407.7926360879</v>
      </c>
      <c r="E118" s="152">
        <f t="shared" si="10"/>
        <v>0</v>
      </c>
      <c r="F118" s="151">
        <f t="shared" si="11"/>
        <v>0</v>
      </c>
      <c r="G118" s="151">
        <f t="shared" si="12"/>
        <v>0</v>
      </c>
      <c r="H118" s="151">
        <f t="shared" si="15"/>
        <v>0</v>
      </c>
      <c r="I118" s="151">
        <f t="shared" si="13"/>
        <v>0</v>
      </c>
      <c r="J118" s="151">
        <f>SUM($H$18:$H118)</f>
        <v>2728155.8527217521</v>
      </c>
    </row>
    <row r="119" spans="1:10" x14ac:dyDescent="0.2">
      <c r="A119" s="154">
        <f>IF(Values_Entered,A118+1,"")</f>
        <v>102</v>
      </c>
      <c r="B119" s="153">
        <f t="shared" si="8"/>
        <v>52628</v>
      </c>
      <c r="C119" s="151">
        <f t="shared" si="14"/>
        <v>0</v>
      </c>
      <c r="D119" s="151">
        <f t="shared" si="9"/>
        <v>1136407.7926360879</v>
      </c>
      <c r="E119" s="152">
        <f t="shared" si="10"/>
        <v>0</v>
      </c>
      <c r="F119" s="151">
        <f t="shared" si="11"/>
        <v>0</v>
      </c>
      <c r="G119" s="151">
        <f t="shared" si="12"/>
        <v>0</v>
      </c>
      <c r="H119" s="151">
        <f t="shared" si="15"/>
        <v>0</v>
      </c>
      <c r="I119" s="151">
        <f t="shared" si="13"/>
        <v>0</v>
      </c>
      <c r="J119" s="151">
        <f>SUM($H$18:$H119)</f>
        <v>2728155.8527217521</v>
      </c>
    </row>
    <row r="120" spans="1:10" x14ac:dyDescent="0.2">
      <c r="A120" s="154">
        <f>IF(Values_Entered,A119+1,"")</f>
        <v>103</v>
      </c>
      <c r="B120" s="153">
        <f t="shared" si="8"/>
        <v>52718</v>
      </c>
      <c r="C120" s="151">
        <f t="shared" si="14"/>
        <v>0</v>
      </c>
      <c r="D120" s="151">
        <f t="shared" si="9"/>
        <v>1136407.7926360879</v>
      </c>
      <c r="E120" s="152">
        <f t="shared" si="10"/>
        <v>0</v>
      </c>
      <c r="F120" s="151">
        <f t="shared" si="11"/>
        <v>0</v>
      </c>
      <c r="G120" s="151">
        <f t="shared" si="12"/>
        <v>0</v>
      </c>
      <c r="H120" s="151">
        <f t="shared" si="15"/>
        <v>0</v>
      </c>
      <c r="I120" s="151">
        <f t="shared" si="13"/>
        <v>0</v>
      </c>
      <c r="J120" s="151">
        <f>SUM($H$18:$H120)</f>
        <v>2728155.8527217521</v>
      </c>
    </row>
    <row r="121" spans="1:10" x14ac:dyDescent="0.2">
      <c r="A121" s="154">
        <f>IF(Values_Entered,A120+1,"")</f>
        <v>104</v>
      </c>
      <c r="B121" s="153">
        <f t="shared" si="8"/>
        <v>52810</v>
      </c>
      <c r="C121" s="151">
        <f t="shared" si="14"/>
        <v>0</v>
      </c>
      <c r="D121" s="151">
        <f t="shared" si="9"/>
        <v>1136407.7926360879</v>
      </c>
      <c r="E121" s="152">
        <f t="shared" si="10"/>
        <v>0</v>
      </c>
      <c r="F121" s="151">
        <f t="shared" si="11"/>
        <v>0</v>
      </c>
      <c r="G121" s="151">
        <f t="shared" si="12"/>
        <v>0</v>
      </c>
      <c r="H121" s="151">
        <f t="shared" si="15"/>
        <v>0</v>
      </c>
      <c r="I121" s="151">
        <f t="shared" si="13"/>
        <v>0</v>
      </c>
      <c r="J121" s="151">
        <f>SUM($H$18:$H121)</f>
        <v>2728155.8527217521</v>
      </c>
    </row>
    <row r="122" spans="1:10" x14ac:dyDescent="0.2">
      <c r="A122" s="154">
        <f>IF(Values_Entered,A121+1,"")</f>
        <v>105</v>
      </c>
      <c r="B122" s="153">
        <f t="shared" si="8"/>
        <v>52902</v>
      </c>
      <c r="C122" s="151">
        <f t="shared" si="14"/>
        <v>0</v>
      </c>
      <c r="D122" s="151">
        <f t="shared" si="9"/>
        <v>1136407.7926360879</v>
      </c>
      <c r="E122" s="152">
        <f t="shared" si="10"/>
        <v>0</v>
      </c>
      <c r="F122" s="151">
        <f t="shared" si="11"/>
        <v>0</v>
      </c>
      <c r="G122" s="151">
        <f t="shared" si="12"/>
        <v>0</v>
      </c>
      <c r="H122" s="151">
        <f t="shared" si="15"/>
        <v>0</v>
      </c>
      <c r="I122" s="151">
        <f t="shared" si="13"/>
        <v>0</v>
      </c>
      <c r="J122" s="151">
        <f>SUM($H$18:$H122)</f>
        <v>2728155.8527217521</v>
      </c>
    </row>
    <row r="123" spans="1:10" x14ac:dyDescent="0.2">
      <c r="A123" s="154">
        <f>IF(Values_Entered,A122+1,"")</f>
        <v>106</v>
      </c>
      <c r="B123" s="153">
        <f t="shared" si="8"/>
        <v>52994</v>
      </c>
      <c r="C123" s="151">
        <f t="shared" si="14"/>
        <v>0</v>
      </c>
      <c r="D123" s="151">
        <f t="shared" si="9"/>
        <v>1136407.7926360879</v>
      </c>
      <c r="E123" s="152">
        <f t="shared" si="10"/>
        <v>0</v>
      </c>
      <c r="F123" s="151">
        <f t="shared" si="11"/>
        <v>0</v>
      </c>
      <c r="G123" s="151">
        <f t="shared" si="12"/>
        <v>0</v>
      </c>
      <c r="H123" s="151">
        <f t="shared" si="15"/>
        <v>0</v>
      </c>
      <c r="I123" s="151">
        <f t="shared" si="13"/>
        <v>0</v>
      </c>
      <c r="J123" s="151">
        <f>SUM($H$18:$H123)</f>
        <v>2728155.8527217521</v>
      </c>
    </row>
    <row r="124" spans="1:10" x14ac:dyDescent="0.2">
      <c r="A124" s="154">
        <f>IF(Values_Entered,A123+1,"")</f>
        <v>107</v>
      </c>
      <c r="B124" s="153">
        <f t="shared" si="8"/>
        <v>53083</v>
      </c>
      <c r="C124" s="151">
        <f t="shared" si="14"/>
        <v>0</v>
      </c>
      <c r="D124" s="151">
        <f t="shared" si="9"/>
        <v>1136407.7926360879</v>
      </c>
      <c r="E124" s="152">
        <f t="shared" si="10"/>
        <v>0</v>
      </c>
      <c r="F124" s="151">
        <f t="shared" si="11"/>
        <v>0</v>
      </c>
      <c r="G124" s="151">
        <f t="shared" si="12"/>
        <v>0</v>
      </c>
      <c r="H124" s="151">
        <f t="shared" si="15"/>
        <v>0</v>
      </c>
      <c r="I124" s="151">
        <f t="shared" si="13"/>
        <v>0</v>
      </c>
      <c r="J124" s="151">
        <f>SUM($H$18:$H124)</f>
        <v>2728155.8527217521</v>
      </c>
    </row>
    <row r="125" spans="1:10" x14ac:dyDescent="0.2">
      <c r="A125" s="154">
        <f>IF(Values_Entered,A124+1,"")</f>
        <v>108</v>
      </c>
      <c r="B125" s="153">
        <f t="shared" si="8"/>
        <v>53175</v>
      </c>
      <c r="C125" s="151">
        <f t="shared" si="14"/>
        <v>0</v>
      </c>
      <c r="D125" s="151">
        <f t="shared" si="9"/>
        <v>1136407.7926360879</v>
      </c>
      <c r="E125" s="152">
        <f t="shared" si="10"/>
        <v>0</v>
      </c>
      <c r="F125" s="151">
        <f t="shared" si="11"/>
        <v>0</v>
      </c>
      <c r="G125" s="151">
        <f t="shared" si="12"/>
        <v>0</v>
      </c>
      <c r="H125" s="151">
        <f t="shared" si="15"/>
        <v>0</v>
      </c>
      <c r="I125" s="151">
        <f t="shared" si="13"/>
        <v>0</v>
      </c>
      <c r="J125" s="151">
        <f>SUM($H$18:$H125)</f>
        <v>2728155.8527217521</v>
      </c>
    </row>
    <row r="126" spans="1:10" x14ac:dyDescent="0.2">
      <c r="A126" s="154">
        <f>IF(Values_Entered,A125+1,"")</f>
        <v>109</v>
      </c>
      <c r="B126" s="153">
        <f t="shared" si="8"/>
        <v>53267</v>
      </c>
      <c r="C126" s="151">
        <f t="shared" si="14"/>
        <v>0</v>
      </c>
      <c r="D126" s="151">
        <f t="shared" si="9"/>
        <v>1136407.7926360879</v>
      </c>
      <c r="E126" s="152">
        <f t="shared" si="10"/>
        <v>0</v>
      </c>
      <c r="F126" s="151">
        <f t="shared" si="11"/>
        <v>0</v>
      </c>
      <c r="G126" s="151">
        <f t="shared" si="12"/>
        <v>0</v>
      </c>
      <c r="H126" s="151">
        <f t="shared" si="15"/>
        <v>0</v>
      </c>
      <c r="I126" s="151">
        <f t="shared" si="13"/>
        <v>0</v>
      </c>
      <c r="J126" s="151">
        <f>SUM($H$18:$H126)</f>
        <v>2728155.8527217521</v>
      </c>
    </row>
    <row r="127" spans="1:10" x14ac:dyDescent="0.2">
      <c r="A127" s="154">
        <f>IF(Values_Entered,A126+1,"")</f>
        <v>110</v>
      </c>
      <c r="B127" s="153">
        <f t="shared" si="8"/>
        <v>53359</v>
      </c>
      <c r="C127" s="151">
        <f t="shared" si="14"/>
        <v>0</v>
      </c>
      <c r="D127" s="151">
        <f t="shared" si="9"/>
        <v>1136407.7926360879</v>
      </c>
      <c r="E127" s="152">
        <f t="shared" si="10"/>
        <v>0</v>
      </c>
      <c r="F127" s="151">
        <f t="shared" si="11"/>
        <v>0</v>
      </c>
      <c r="G127" s="151">
        <f t="shared" si="12"/>
        <v>0</v>
      </c>
      <c r="H127" s="151">
        <f t="shared" si="15"/>
        <v>0</v>
      </c>
      <c r="I127" s="151">
        <f t="shared" si="13"/>
        <v>0</v>
      </c>
      <c r="J127" s="151">
        <f>SUM($H$18:$H127)</f>
        <v>2728155.8527217521</v>
      </c>
    </row>
    <row r="128" spans="1:10" x14ac:dyDescent="0.2">
      <c r="A128" s="154">
        <f>IF(Values_Entered,A127+1,"")</f>
        <v>111</v>
      </c>
      <c r="B128" s="153">
        <f t="shared" si="8"/>
        <v>53448</v>
      </c>
      <c r="C128" s="151">
        <f t="shared" si="14"/>
        <v>0</v>
      </c>
      <c r="D128" s="151">
        <f t="shared" si="9"/>
        <v>1136407.7926360879</v>
      </c>
      <c r="E128" s="152">
        <f t="shared" si="10"/>
        <v>0</v>
      </c>
      <c r="F128" s="151">
        <f t="shared" si="11"/>
        <v>0</v>
      </c>
      <c r="G128" s="151">
        <f t="shared" si="12"/>
        <v>0</v>
      </c>
      <c r="H128" s="151">
        <f t="shared" si="15"/>
        <v>0</v>
      </c>
      <c r="I128" s="151">
        <f t="shared" si="13"/>
        <v>0</v>
      </c>
      <c r="J128" s="151">
        <f>SUM($H$18:$H128)</f>
        <v>2728155.8527217521</v>
      </c>
    </row>
    <row r="129" spans="1:10" x14ac:dyDescent="0.2">
      <c r="A129" s="154">
        <f>IF(Values_Entered,A128+1,"")</f>
        <v>112</v>
      </c>
      <c r="B129" s="153">
        <f t="shared" si="8"/>
        <v>53540</v>
      </c>
      <c r="C129" s="151">
        <f t="shared" si="14"/>
        <v>0</v>
      </c>
      <c r="D129" s="151">
        <f t="shared" si="9"/>
        <v>1136407.7926360879</v>
      </c>
      <c r="E129" s="152">
        <f t="shared" si="10"/>
        <v>0</v>
      </c>
      <c r="F129" s="151">
        <f t="shared" si="11"/>
        <v>0</v>
      </c>
      <c r="G129" s="151">
        <f t="shared" si="12"/>
        <v>0</v>
      </c>
      <c r="H129" s="151">
        <f t="shared" si="15"/>
        <v>0</v>
      </c>
      <c r="I129" s="151">
        <f t="shared" si="13"/>
        <v>0</v>
      </c>
      <c r="J129" s="151">
        <f>SUM($H$18:$H129)</f>
        <v>2728155.8527217521</v>
      </c>
    </row>
    <row r="130" spans="1:10" x14ac:dyDescent="0.2">
      <c r="A130" s="154">
        <f>IF(Values_Entered,A129+1,"")</f>
        <v>113</v>
      </c>
      <c r="B130" s="153">
        <f t="shared" si="8"/>
        <v>53632</v>
      </c>
      <c r="C130" s="151">
        <f t="shared" si="14"/>
        <v>0</v>
      </c>
      <c r="D130" s="151">
        <f t="shared" si="9"/>
        <v>1136407.7926360879</v>
      </c>
      <c r="E130" s="152">
        <f t="shared" si="10"/>
        <v>0</v>
      </c>
      <c r="F130" s="151">
        <f t="shared" si="11"/>
        <v>0</v>
      </c>
      <c r="G130" s="151">
        <f t="shared" si="12"/>
        <v>0</v>
      </c>
      <c r="H130" s="151">
        <f t="shared" si="15"/>
        <v>0</v>
      </c>
      <c r="I130" s="151">
        <f t="shared" si="13"/>
        <v>0</v>
      </c>
      <c r="J130" s="151">
        <f>SUM($H$18:$H130)</f>
        <v>2728155.8527217521</v>
      </c>
    </row>
    <row r="131" spans="1:10" x14ac:dyDescent="0.2">
      <c r="A131" s="154">
        <f>IF(Values_Entered,A130+1,"")</f>
        <v>114</v>
      </c>
      <c r="B131" s="153">
        <f t="shared" si="8"/>
        <v>53724</v>
      </c>
      <c r="C131" s="151">
        <f t="shared" si="14"/>
        <v>0</v>
      </c>
      <c r="D131" s="151">
        <f t="shared" si="9"/>
        <v>1136407.7926360879</v>
      </c>
      <c r="E131" s="152">
        <f t="shared" si="10"/>
        <v>0</v>
      </c>
      <c r="F131" s="151">
        <f t="shared" si="11"/>
        <v>0</v>
      </c>
      <c r="G131" s="151">
        <f t="shared" si="12"/>
        <v>0</v>
      </c>
      <c r="H131" s="151">
        <f t="shared" si="15"/>
        <v>0</v>
      </c>
      <c r="I131" s="151">
        <f t="shared" si="13"/>
        <v>0</v>
      </c>
      <c r="J131" s="151">
        <f>SUM($H$18:$H131)</f>
        <v>2728155.8527217521</v>
      </c>
    </row>
    <row r="132" spans="1:10" x14ac:dyDescent="0.2">
      <c r="A132" s="154">
        <f>IF(Values_Entered,A131+1,"")</f>
        <v>115</v>
      </c>
      <c r="B132" s="153">
        <f t="shared" si="8"/>
        <v>53813</v>
      </c>
      <c r="C132" s="151">
        <f t="shared" si="14"/>
        <v>0</v>
      </c>
      <c r="D132" s="151">
        <f t="shared" si="9"/>
        <v>1136407.7926360879</v>
      </c>
      <c r="E132" s="152">
        <f t="shared" si="10"/>
        <v>0</v>
      </c>
      <c r="F132" s="151">
        <f t="shared" si="11"/>
        <v>0</v>
      </c>
      <c r="G132" s="151">
        <f t="shared" si="12"/>
        <v>0</v>
      </c>
      <c r="H132" s="151">
        <f t="shared" si="15"/>
        <v>0</v>
      </c>
      <c r="I132" s="151">
        <f t="shared" si="13"/>
        <v>0</v>
      </c>
      <c r="J132" s="151">
        <f>SUM($H$18:$H132)</f>
        <v>2728155.8527217521</v>
      </c>
    </row>
    <row r="133" spans="1:10" x14ac:dyDescent="0.2">
      <c r="A133" s="154">
        <f>IF(Values_Entered,A132+1,"")</f>
        <v>116</v>
      </c>
      <c r="B133" s="153">
        <f t="shared" si="8"/>
        <v>53905</v>
      </c>
      <c r="C133" s="151">
        <f t="shared" si="14"/>
        <v>0</v>
      </c>
      <c r="D133" s="151">
        <f t="shared" si="9"/>
        <v>1136407.7926360879</v>
      </c>
      <c r="E133" s="152">
        <f t="shared" si="10"/>
        <v>0</v>
      </c>
      <c r="F133" s="151">
        <f t="shared" si="11"/>
        <v>0</v>
      </c>
      <c r="G133" s="151">
        <f t="shared" si="12"/>
        <v>0</v>
      </c>
      <c r="H133" s="151">
        <f t="shared" si="15"/>
        <v>0</v>
      </c>
      <c r="I133" s="151">
        <f t="shared" si="13"/>
        <v>0</v>
      </c>
      <c r="J133" s="151">
        <f>SUM($H$18:$H133)</f>
        <v>2728155.8527217521</v>
      </c>
    </row>
    <row r="134" spans="1:10" x14ac:dyDescent="0.2">
      <c r="A134" s="154">
        <f>IF(Values_Entered,A133+1,"")</f>
        <v>117</v>
      </c>
      <c r="B134" s="153">
        <f t="shared" si="8"/>
        <v>53997</v>
      </c>
      <c r="C134" s="151">
        <f t="shared" si="14"/>
        <v>0</v>
      </c>
      <c r="D134" s="151">
        <f t="shared" si="9"/>
        <v>1136407.7926360879</v>
      </c>
      <c r="E134" s="152">
        <f t="shared" si="10"/>
        <v>0</v>
      </c>
      <c r="F134" s="151">
        <f t="shared" si="11"/>
        <v>0</v>
      </c>
      <c r="G134" s="151">
        <f t="shared" si="12"/>
        <v>0</v>
      </c>
      <c r="H134" s="151">
        <f t="shared" si="15"/>
        <v>0</v>
      </c>
      <c r="I134" s="151">
        <f t="shared" si="13"/>
        <v>0</v>
      </c>
      <c r="J134" s="151">
        <f>SUM($H$18:$H134)</f>
        <v>2728155.8527217521</v>
      </c>
    </row>
    <row r="135" spans="1:10" x14ac:dyDescent="0.2">
      <c r="A135" s="154">
        <f>IF(Values_Entered,A134+1,"")</f>
        <v>118</v>
      </c>
      <c r="B135" s="153">
        <f t="shared" si="8"/>
        <v>54089</v>
      </c>
      <c r="C135" s="151">
        <f t="shared" si="14"/>
        <v>0</v>
      </c>
      <c r="D135" s="151">
        <f t="shared" si="9"/>
        <v>1136407.7926360879</v>
      </c>
      <c r="E135" s="152">
        <f t="shared" si="10"/>
        <v>0</v>
      </c>
      <c r="F135" s="151">
        <f t="shared" si="11"/>
        <v>0</v>
      </c>
      <c r="G135" s="151">
        <f t="shared" si="12"/>
        <v>0</v>
      </c>
      <c r="H135" s="151">
        <f t="shared" si="15"/>
        <v>0</v>
      </c>
      <c r="I135" s="151">
        <f t="shared" si="13"/>
        <v>0</v>
      </c>
      <c r="J135" s="151">
        <f>SUM($H$18:$H135)</f>
        <v>2728155.8527217521</v>
      </c>
    </row>
    <row r="136" spans="1:10" x14ac:dyDescent="0.2">
      <c r="A136" s="154">
        <f>IF(Values_Entered,A135+1,"")</f>
        <v>119</v>
      </c>
      <c r="B136" s="153">
        <f t="shared" si="8"/>
        <v>54179</v>
      </c>
      <c r="C136" s="151">
        <f t="shared" si="14"/>
        <v>0</v>
      </c>
      <c r="D136" s="151">
        <f t="shared" si="9"/>
        <v>1136407.7926360879</v>
      </c>
      <c r="E136" s="152">
        <f t="shared" si="10"/>
        <v>0</v>
      </c>
      <c r="F136" s="151">
        <f t="shared" si="11"/>
        <v>0</v>
      </c>
      <c r="G136" s="151">
        <f t="shared" si="12"/>
        <v>0</v>
      </c>
      <c r="H136" s="151">
        <f t="shared" si="15"/>
        <v>0</v>
      </c>
      <c r="I136" s="151">
        <f t="shared" si="13"/>
        <v>0</v>
      </c>
      <c r="J136" s="151">
        <f>SUM($H$18:$H136)</f>
        <v>2728155.8527217521</v>
      </c>
    </row>
    <row r="137" spans="1:10" x14ac:dyDescent="0.2">
      <c r="A137" s="154">
        <f>IF(Values_Entered,A136+1,"")</f>
        <v>120</v>
      </c>
      <c r="B137" s="153">
        <f t="shared" si="8"/>
        <v>54271</v>
      </c>
      <c r="C137" s="151">
        <f t="shared" si="14"/>
        <v>0</v>
      </c>
      <c r="D137" s="151">
        <f t="shared" si="9"/>
        <v>1136407.7926360879</v>
      </c>
      <c r="E137" s="152">
        <f t="shared" si="10"/>
        <v>0</v>
      </c>
      <c r="F137" s="151">
        <f t="shared" si="11"/>
        <v>0</v>
      </c>
      <c r="G137" s="151">
        <f t="shared" si="12"/>
        <v>0</v>
      </c>
      <c r="H137" s="151">
        <f t="shared" si="15"/>
        <v>0</v>
      </c>
      <c r="I137" s="151">
        <f t="shared" si="13"/>
        <v>0</v>
      </c>
      <c r="J137" s="151">
        <f>SUM($H$18:$H137)</f>
        <v>2728155.8527217521</v>
      </c>
    </row>
    <row r="138" spans="1:10" x14ac:dyDescent="0.2">
      <c r="A138" s="154">
        <f>IF(Values_Entered,A137+1,"")</f>
        <v>121</v>
      </c>
      <c r="B138" s="153">
        <f t="shared" si="8"/>
        <v>54363</v>
      </c>
      <c r="C138" s="151">
        <f t="shared" si="14"/>
        <v>0</v>
      </c>
      <c r="D138" s="151">
        <f t="shared" si="9"/>
        <v>1136407.7926360879</v>
      </c>
      <c r="E138" s="152">
        <f t="shared" si="10"/>
        <v>0</v>
      </c>
      <c r="F138" s="151">
        <f t="shared" si="11"/>
        <v>0</v>
      </c>
      <c r="G138" s="151">
        <f t="shared" si="12"/>
        <v>0</v>
      </c>
      <c r="H138" s="151">
        <f t="shared" si="15"/>
        <v>0</v>
      </c>
      <c r="I138" s="151">
        <f t="shared" si="13"/>
        <v>0</v>
      </c>
      <c r="J138" s="151">
        <f>SUM($H$18:$H138)</f>
        <v>2728155.8527217521</v>
      </c>
    </row>
    <row r="139" spans="1:10" x14ac:dyDescent="0.2">
      <c r="A139" s="154">
        <f>IF(Values_Entered,A138+1,"")</f>
        <v>122</v>
      </c>
      <c r="B139" s="153">
        <f t="shared" si="8"/>
        <v>54455</v>
      </c>
      <c r="C139" s="151">
        <f t="shared" si="14"/>
        <v>0</v>
      </c>
      <c r="D139" s="151">
        <f t="shared" si="9"/>
        <v>1136407.7926360879</v>
      </c>
      <c r="E139" s="152">
        <f t="shared" si="10"/>
        <v>0</v>
      </c>
      <c r="F139" s="151">
        <f t="shared" si="11"/>
        <v>0</v>
      </c>
      <c r="G139" s="151">
        <f t="shared" si="12"/>
        <v>0</v>
      </c>
      <c r="H139" s="151">
        <f t="shared" si="15"/>
        <v>0</v>
      </c>
      <c r="I139" s="151">
        <f t="shared" si="13"/>
        <v>0</v>
      </c>
      <c r="J139" s="151">
        <f>SUM($H$18:$H139)</f>
        <v>2728155.8527217521</v>
      </c>
    </row>
    <row r="140" spans="1:10" x14ac:dyDescent="0.2">
      <c r="A140" s="154">
        <f>IF(Values_Entered,A139+1,"")</f>
        <v>123</v>
      </c>
      <c r="B140" s="153">
        <f t="shared" si="8"/>
        <v>54544</v>
      </c>
      <c r="C140" s="151">
        <f t="shared" si="14"/>
        <v>0</v>
      </c>
      <c r="D140" s="151">
        <f t="shared" si="9"/>
        <v>1136407.7926360879</v>
      </c>
      <c r="E140" s="152">
        <f t="shared" si="10"/>
        <v>0</v>
      </c>
      <c r="F140" s="151">
        <f t="shared" si="11"/>
        <v>0</v>
      </c>
      <c r="G140" s="151">
        <f t="shared" si="12"/>
        <v>0</v>
      </c>
      <c r="H140" s="151">
        <f t="shared" si="15"/>
        <v>0</v>
      </c>
      <c r="I140" s="151">
        <f t="shared" si="13"/>
        <v>0</v>
      </c>
      <c r="J140" s="151">
        <f>SUM($H$18:$H140)</f>
        <v>2728155.8527217521</v>
      </c>
    </row>
    <row r="141" spans="1:10" x14ac:dyDescent="0.2">
      <c r="A141" s="154">
        <f>IF(Values_Entered,A140+1,"")</f>
        <v>124</v>
      </c>
      <c r="B141" s="153">
        <f t="shared" si="8"/>
        <v>54636</v>
      </c>
      <c r="C141" s="151">
        <f t="shared" si="14"/>
        <v>0</v>
      </c>
      <c r="D141" s="151">
        <f t="shared" si="9"/>
        <v>1136407.7926360879</v>
      </c>
      <c r="E141" s="152">
        <f t="shared" si="10"/>
        <v>0</v>
      </c>
      <c r="F141" s="151">
        <f t="shared" si="11"/>
        <v>0</v>
      </c>
      <c r="G141" s="151">
        <f t="shared" si="12"/>
        <v>0</v>
      </c>
      <c r="H141" s="151">
        <f t="shared" si="15"/>
        <v>0</v>
      </c>
      <c r="I141" s="151">
        <f t="shared" si="13"/>
        <v>0</v>
      </c>
      <c r="J141" s="151">
        <f>SUM($H$18:$H141)</f>
        <v>2728155.8527217521</v>
      </c>
    </row>
    <row r="142" spans="1:10" x14ac:dyDescent="0.2">
      <c r="A142" s="154">
        <f>IF(Values_Entered,A141+1,"")</f>
        <v>125</v>
      </c>
      <c r="B142" s="153">
        <f t="shared" si="8"/>
        <v>54728</v>
      </c>
      <c r="C142" s="151">
        <f t="shared" si="14"/>
        <v>0</v>
      </c>
      <c r="D142" s="151">
        <f t="shared" si="9"/>
        <v>1136407.7926360879</v>
      </c>
      <c r="E142" s="152">
        <f t="shared" si="10"/>
        <v>0</v>
      </c>
      <c r="F142" s="151">
        <f t="shared" si="11"/>
        <v>0</v>
      </c>
      <c r="G142" s="151">
        <f t="shared" si="12"/>
        <v>0</v>
      </c>
      <c r="H142" s="151">
        <f t="shared" si="15"/>
        <v>0</v>
      </c>
      <c r="I142" s="151">
        <f t="shared" si="13"/>
        <v>0</v>
      </c>
      <c r="J142" s="151">
        <f>SUM($H$18:$H142)</f>
        <v>2728155.8527217521</v>
      </c>
    </row>
    <row r="143" spans="1:10" x14ac:dyDescent="0.2">
      <c r="A143" s="154">
        <f>IF(Values_Entered,A142+1,"")</f>
        <v>126</v>
      </c>
      <c r="B143" s="153">
        <f t="shared" si="8"/>
        <v>54820</v>
      </c>
      <c r="C143" s="151">
        <f t="shared" si="14"/>
        <v>0</v>
      </c>
      <c r="D143" s="151">
        <f t="shared" si="9"/>
        <v>1136407.7926360879</v>
      </c>
      <c r="E143" s="152">
        <f t="shared" si="10"/>
        <v>0</v>
      </c>
      <c r="F143" s="151">
        <f t="shared" si="11"/>
        <v>0</v>
      </c>
      <c r="G143" s="151">
        <f t="shared" si="12"/>
        <v>0</v>
      </c>
      <c r="H143" s="151">
        <f t="shared" si="15"/>
        <v>0</v>
      </c>
      <c r="I143" s="151">
        <f t="shared" si="13"/>
        <v>0</v>
      </c>
      <c r="J143" s="151">
        <f>SUM($H$18:$H143)</f>
        <v>2728155.8527217521</v>
      </c>
    </row>
    <row r="144" spans="1:10" x14ac:dyDescent="0.2">
      <c r="A144" s="154">
        <f>IF(Values_Entered,A143+1,"")</f>
        <v>127</v>
      </c>
      <c r="B144" s="153">
        <f t="shared" si="8"/>
        <v>54909</v>
      </c>
      <c r="C144" s="151">
        <f t="shared" si="14"/>
        <v>0</v>
      </c>
      <c r="D144" s="151">
        <f t="shared" si="9"/>
        <v>1136407.7926360879</v>
      </c>
      <c r="E144" s="152">
        <f t="shared" si="10"/>
        <v>0</v>
      </c>
      <c r="F144" s="151">
        <f t="shared" si="11"/>
        <v>0</v>
      </c>
      <c r="G144" s="151">
        <f t="shared" si="12"/>
        <v>0</v>
      </c>
      <c r="H144" s="151">
        <f t="shared" si="15"/>
        <v>0</v>
      </c>
      <c r="I144" s="151">
        <f t="shared" si="13"/>
        <v>0</v>
      </c>
      <c r="J144" s="151">
        <f>SUM($H$18:$H144)</f>
        <v>2728155.8527217521</v>
      </c>
    </row>
    <row r="145" spans="1:10" x14ac:dyDescent="0.2">
      <c r="A145" s="154">
        <f>IF(Values_Entered,A144+1,"")</f>
        <v>128</v>
      </c>
      <c r="B145" s="153">
        <f t="shared" si="8"/>
        <v>55001</v>
      </c>
      <c r="C145" s="151">
        <f t="shared" si="14"/>
        <v>0</v>
      </c>
      <c r="D145" s="151">
        <f t="shared" si="9"/>
        <v>1136407.7926360879</v>
      </c>
      <c r="E145" s="152">
        <f t="shared" si="10"/>
        <v>0</v>
      </c>
      <c r="F145" s="151">
        <f t="shared" si="11"/>
        <v>0</v>
      </c>
      <c r="G145" s="151">
        <f t="shared" si="12"/>
        <v>0</v>
      </c>
      <c r="H145" s="151">
        <f t="shared" si="15"/>
        <v>0</v>
      </c>
      <c r="I145" s="151">
        <f t="shared" si="13"/>
        <v>0</v>
      </c>
      <c r="J145" s="151">
        <f>SUM($H$18:$H145)</f>
        <v>2728155.8527217521</v>
      </c>
    </row>
    <row r="146" spans="1:10" x14ac:dyDescent="0.2">
      <c r="A146" s="154">
        <f>IF(Values_Entered,A145+1,"")</f>
        <v>129</v>
      </c>
      <c r="B146" s="153">
        <f t="shared" ref="B146:B209" si="16">IF(Pay_Num&lt;&gt;"",DATE(YEAR(Loan_Start),MONTH(Loan_Start)+(Pay_Num)*12/Num_Pmt_Per_Year,DAY(Loan_Start)),"")</f>
        <v>55093</v>
      </c>
      <c r="C146" s="151">
        <f t="shared" si="14"/>
        <v>0</v>
      </c>
      <c r="D146" s="151">
        <f t="shared" ref="D146:D209" si="17">IF(Pay_Num&lt;&gt;"",Scheduled_Monthly_Payment,"")</f>
        <v>1136407.7926360879</v>
      </c>
      <c r="E146" s="152">
        <f t="shared" ref="E146:E209" si="18">IF(AND(Pay_Num&lt;&gt;"",Sched_Pay+Scheduled_Extra_Payments&lt;Beg_Bal),Scheduled_Extra_Payments,IF(AND(Pay_Num&lt;&gt;"",Beg_Bal-Sched_Pay&gt;0),Beg_Bal-Sched_Pay,IF(Pay_Num&lt;&gt;"",0,"")))</f>
        <v>0</v>
      </c>
      <c r="F146" s="151">
        <f t="shared" ref="F146:F209" si="19">IF(AND(Pay_Num&lt;&gt;"",Sched_Pay+Extra_Pay&lt;Beg_Bal),Sched_Pay+Extra_Pay,IF(Pay_Num&lt;&gt;"",Beg_Bal,""))</f>
        <v>0</v>
      </c>
      <c r="G146" s="151">
        <f t="shared" ref="G146:G209" si="20">IF(Pay_Num&lt;&gt;"",Total_Pay-Int,"")</f>
        <v>0</v>
      </c>
      <c r="H146" s="151">
        <f t="shared" si="15"/>
        <v>0</v>
      </c>
      <c r="I146" s="151">
        <f t="shared" ref="I146:I209" si="21">IF(AND(Pay_Num&lt;&gt;"",Sched_Pay+Extra_Pay&lt;Beg_Bal),Beg_Bal-Princ,IF(Pay_Num&lt;&gt;"",0,""))</f>
        <v>0</v>
      </c>
      <c r="J146" s="151">
        <f>SUM($H$18:$H146)</f>
        <v>2728155.8527217521</v>
      </c>
    </row>
    <row r="147" spans="1:10" x14ac:dyDescent="0.2">
      <c r="A147" s="154">
        <f>IF(Values_Entered,A146+1,"")</f>
        <v>130</v>
      </c>
      <c r="B147" s="153">
        <f t="shared" si="16"/>
        <v>55185</v>
      </c>
      <c r="C147" s="151">
        <f t="shared" ref="C147:C210" si="22">IF(Pay_Num&lt;&gt;"",I146,"")</f>
        <v>0</v>
      </c>
      <c r="D147" s="151">
        <f t="shared" si="17"/>
        <v>1136407.7926360879</v>
      </c>
      <c r="E147" s="152">
        <f t="shared" si="18"/>
        <v>0</v>
      </c>
      <c r="F147" s="151">
        <f t="shared" si="19"/>
        <v>0</v>
      </c>
      <c r="G147" s="151">
        <f t="shared" si="20"/>
        <v>0</v>
      </c>
      <c r="H147" s="151">
        <f t="shared" ref="H147:H210" si="23">IF(Pay_Num&lt;&gt;"",Beg_Bal*Interest_Rate/Num_Pmt_Per_Year,"")</f>
        <v>0</v>
      </c>
      <c r="I147" s="151">
        <f t="shared" si="21"/>
        <v>0</v>
      </c>
      <c r="J147" s="151">
        <f>SUM($H$18:$H147)</f>
        <v>2728155.8527217521</v>
      </c>
    </row>
    <row r="148" spans="1:10" x14ac:dyDescent="0.2">
      <c r="A148" s="154">
        <f>IF(Values_Entered,A147+1,"")</f>
        <v>131</v>
      </c>
      <c r="B148" s="153">
        <f t="shared" si="16"/>
        <v>55274</v>
      </c>
      <c r="C148" s="151">
        <f t="shared" si="22"/>
        <v>0</v>
      </c>
      <c r="D148" s="151">
        <f t="shared" si="17"/>
        <v>1136407.7926360879</v>
      </c>
      <c r="E148" s="152">
        <f t="shared" si="18"/>
        <v>0</v>
      </c>
      <c r="F148" s="151">
        <f t="shared" si="19"/>
        <v>0</v>
      </c>
      <c r="G148" s="151">
        <f t="shared" si="20"/>
        <v>0</v>
      </c>
      <c r="H148" s="151">
        <f t="shared" si="23"/>
        <v>0</v>
      </c>
      <c r="I148" s="151">
        <f t="shared" si="21"/>
        <v>0</v>
      </c>
      <c r="J148" s="151">
        <f>SUM($H$18:$H148)</f>
        <v>2728155.8527217521</v>
      </c>
    </row>
    <row r="149" spans="1:10" x14ac:dyDescent="0.2">
      <c r="A149" s="154">
        <f>IF(Values_Entered,A148+1,"")</f>
        <v>132</v>
      </c>
      <c r="B149" s="153">
        <f t="shared" si="16"/>
        <v>55366</v>
      </c>
      <c r="C149" s="151">
        <f t="shared" si="22"/>
        <v>0</v>
      </c>
      <c r="D149" s="151">
        <f t="shared" si="17"/>
        <v>1136407.7926360879</v>
      </c>
      <c r="E149" s="152">
        <f t="shared" si="18"/>
        <v>0</v>
      </c>
      <c r="F149" s="151">
        <f t="shared" si="19"/>
        <v>0</v>
      </c>
      <c r="G149" s="151">
        <f t="shared" si="20"/>
        <v>0</v>
      </c>
      <c r="H149" s="151">
        <f t="shared" si="23"/>
        <v>0</v>
      </c>
      <c r="I149" s="151">
        <f t="shared" si="21"/>
        <v>0</v>
      </c>
      <c r="J149" s="151">
        <f>SUM($H$18:$H149)</f>
        <v>2728155.8527217521</v>
      </c>
    </row>
    <row r="150" spans="1:10" x14ac:dyDescent="0.2">
      <c r="A150" s="154">
        <f>IF(Values_Entered,A149+1,"")</f>
        <v>133</v>
      </c>
      <c r="B150" s="153">
        <f t="shared" si="16"/>
        <v>55458</v>
      </c>
      <c r="C150" s="151">
        <f t="shared" si="22"/>
        <v>0</v>
      </c>
      <c r="D150" s="151">
        <f t="shared" si="17"/>
        <v>1136407.7926360879</v>
      </c>
      <c r="E150" s="152">
        <f t="shared" si="18"/>
        <v>0</v>
      </c>
      <c r="F150" s="151">
        <f t="shared" si="19"/>
        <v>0</v>
      </c>
      <c r="G150" s="151">
        <f t="shared" si="20"/>
        <v>0</v>
      </c>
      <c r="H150" s="151">
        <f t="shared" si="23"/>
        <v>0</v>
      </c>
      <c r="I150" s="151">
        <f t="shared" si="21"/>
        <v>0</v>
      </c>
      <c r="J150" s="151">
        <f>SUM($H$18:$H150)</f>
        <v>2728155.8527217521</v>
      </c>
    </row>
    <row r="151" spans="1:10" x14ac:dyDescent="0.2">
      <c r="A151" s="154">
        <f>IF(Values_Entered,A150+1,"")</f>
        <v>134</v>
      </c>
      <c r="B151" s="153">
        <f t="shared" si="16"/>
        <v>55550</v>
      </c>
      <c r="C151" s="151">
        <f t="shared" si="22"/>
        <v>0</v>
      </c>
      <c r="D151" s="151">
        <f t="shared" si="17"/>
        <v>1136407.7926360879</v>
      </c>
      <c r="E151" s="152">
        <f t="shared" si="18"/>
        <v>0</v>
      </c>
      <c r="F151" s="151">
        <f t="shared" si="19"/>
        <v>0</v>
      </c>
      <c r="G151" s="151">
        <f t="shared" si="20"/>
        <v>0</v>
      </c>
      <c r="H151" s="151">
        <f t="shared" si="23"/>
        <v>0</v>
      </c>
      <c r="I151" s="151">
        <f t="shared" si="21"/>
        <v>0</v>
      </c>
      <c r="J151" s="151">
        <f>SUM($H$18:$H151)</f>
        <v>2728155.8527217521</v>
      </c>
    </row>
    <row r="152" spans="1:10" x14ac:dyDescent="0.2">
      <c r="A152" s="154">
        <f>IF(Values_Entered,A151+1,"")</f>
        <v>135</v>
      </c>
      <c r="B152" s="153">
        <f t="shared" si="16"/>
        <v>55640</v>
      </c>
      <c r="C152" s="151">
        <f t="shared" si="22"/>
        <v>0</v>
      </c>
      <c r="D152" s="151">
        <f t="shared" si="17"/>
        <v>1136407.7926360879</v>
      </c>
      <c r="E152" s="152">
        <f t="shared" si="18"/>
        <v>0</v>
      </c>
      <c r="F152" s="151">
        <f t="shared" si="19"/>
        <v>0</v>
      </c>
      <c r="G152" s="151">
        <f t="shared" si="20"/>
        <v>0</v>
      </c>
      <c r="H152" s="151">
        <f t="shared" si="23"/>
        <v>0</v>
      </c>
      <c r="I152" s="151">
        <f t="shared" si="21"/>
        <v>0</v>
      </c>
      <c r="J152" s="151">
        <f>SUM($H$18:$H152)</f>
        <v>2728155.8527217521</v>
      </c>
    </row>
    <row r="153" spans="1:10" x14ac:dyDescent="0.2">
      <c r="A153" s="154">
        <f>IF(Values_Entered,A152+1,"")</f>
        <v>136</v>
      </c>
      <c r="B153" s="153">
        <f t="shared" si="16"/>
        <v>55732</v>
      </c>
      <c r="C153" s="151">
        <f t="shared" si="22"/>
        <v>0</v>
      </c>
      <c r="D153" s="151">
        <f t="shared" si="17"/>
        <v>1136407.7926360879</v>
      </c>
      <c r="E153" s="152">
        <f t="shared" si="18"/>
        <v>0</v>
      </c>
      <c r="F153" s="151">
        <f t="shared" si="19"/>
        <v>0</v>
      </c>
      <c r="G153" s="151">
        <f t="shared" si="20"/>
        <v>0</v>
      </c>
      <c r="H153" s="151">
        <f t="shared" si="23"/>
        <v>0</v>
      </c>
      <c r="I153" s="151">
        <f t="shared" si="21"/>
        <v>0</v>
      </c>
      <c r="J153" s="151">
        <f>SUM($H$18:$H153)</f>
        <v>2728155.8527217521</v>
      </c>
    </row>
    <row r="154" spans="1:10" x14ac:dyDescent="0.2">
      <c r="A154" s="154">
        <f>IF(Values_Entered,A153+1,"")</f>
        <v>137</v>
      </c>
      <c r="B154" s="153">
        <f t="shared" si="16"/>
        <v>55824</v>
      </c>
      <c r="C154" s="151">
        <f t="shared" si="22"/>
        <v>0</v>
      </c>
      <c r="D154" s="151">
        <f t="shared" si="17"/>
        <v>1136407.7926360879</v>
      </c>
      <c r="E154" s="152">
        <f t="shared" si="18"/>
        <v>0</v>
      </c>
      <c r="F154" s="151">
        <f t="shared" si="19"/>
        <v>0</v>
      </c>
      <c r="G154" s="151">
        <f t="shared" si="20"/>
        <v>0</v>
      </c>
      <c r="H154" s="151">
        <f t="shared" si="23"/>
        <v>0</v>
      </c>
      <c r="I154" s="151">
        <f t="shared" si="21"/>
        <v>0</v>
      </c>
      <c r="J154" s="151">
        <f>SUM($H$18:$H154)</f>
        <v>2728155.8527217521</v>
      </c>
    </row>
    <row r="155" spans="1:10" x14ac:dyDescent="0.2">
      <c r="A155" s="154">
        <f>IF(Values_Entered,A154+1,"")</f>
        <v>138</v>
      </c>
      <c r="B155" s="153">
        <f t="shared" si="16"/>
        <v>55916</v>
      </c>
      <c r="C155" s="151">
        <f t="shared" si="22"/>
        <v>0</v>
      </c>
      <c r="D155" s="151">
        <f t="shared" si="17"/>
        <v>1136407.7926360879</v>
      </c>
      <c r="E155" s="152">
        <f t="shared" si="18"/>
        <v>0</v>
      </c>
      <c r="F155" s="151">
        <f t="shared" si="19"/>
        <v>0</v>
      </c>
      <c r="G155" s="151">
        <f t="shared" si="20"/>
        <v>0</v>
      </c>
      <c r="H155" s="151">
        <f t="shared" si="23"/>
        <v>0</v>
      </c>
      <c r="I155" s="151">
        <f t="shared" si="21"/>
        <v>0</v>
      </c>
      <c r="J155" s="151">
        <f>SUM($H$18:$H155)</f>
        <v>2728155.8527217521</v>
      </c>
    </row>
    <row r="156" spans="1:10" x14ac:dyDescent="0.2">
      <c r="A156" s="154">
        <f>IF(Values_Entered,A155+1,"")</f>
        <v>139</v>
      </c>
      <c r="B156" s="153">
        <f t="shared" si="16"/>
        <v>56005</v>
      </c>
      <c r="C156" s="151">
        <f t="shared" si="22"/>
        <v>0</v>
      </c>
      <c r="D156" s="151">
        <f t="shared" si="17"/>
        <v>1136407.7926360879</v>
      </c>
      <c r="E156" s="152">
        <f t="shared" si="18"/>
        <v>0</v>
      </c>
      <c r="F156" s="151">
        <f t="shared" si="19"/>
        <v>0</v>
      </c>
      <c r="G156" s="151">
        <f t="shared" si="20"/>
        <v>0</v>
      </c>
      <c r="H156" s="151">
        <f t="shared" si="23"/>
        <v>0</v>
      </c>
      <c r="I156" s="151">
        <f t="shared" si="21"/>
        <v>0</v>
      </c>
      <c r="J156" s="151">
        <f>SUM($H$18:$H156)</f>
        <v>2728155.8527217521</v>
      </c>
    </row>
    <row r="157" spans="1:10" x14ac:dyDescent="0.2">
      <c r="A157" s="154">
        <f>IF(Values_Entered,A156+1,"")</f>
        <v>140</v>
      </c>
      <c r="B157" s="153">
        <f t="shared" si="16"/>
        <v>56097</v>
      </c>
      <c r="C157" s="151">
        <f t="shared" si="22"/>
        <v>0</v>
      </c>
      <c r="D157" s="151">
        <f t="shared" si="17"/>
        <v>1136407.7926360879</v>
      </c>
      <c r="E157" s="152">
        <f t="shared" si="18"/>
        <v>0</v>
      </c>
      <c r="F157" s="151">
        <f t="shared" si="19"/>
        <v>0</v>
      </c>
      <c r="G157" s="151">
        <f t="shared" si="20"/>
        <v>0</v>
      </c>
      <c r="H157" s="151">
        <f t="shared" si="23"/>
        <v>0</v>
      </c>
      <c r="I157" s="151">
        <f t="shared" si="21"/>
        <v>0</v>
      </c>
      <c r="J157" s="151">
        <f>SUM($H$18:$H157)</f>
        <v>2728155.8527217521</v>
      </c>
    </row>
    <row r="158" spans="1:10" x14ac:dyDescent="0.2">
      <c r="A158" s="154">
        <f>IF(Values_Entered,A157+1,"")</f>
        <v>141</v>
      </c>
      <c r="B158" s="153">
        <f t="shared" si="16"/>
        <v>56189</v>
      </c>
      <c r="C158" s="151">
        <f t="shared" si="22"/>
        <v>0</v>
      </c>
      <c r="D158" s="151">
        <f t="shared" si="17"/>
        <v>1136407.7926360879</v>
      </c>
      <c r="E158" s="152">
        <f t="shared" si="18"/>
        <v>0</v>
      </c>
      <c r="F158" s="151">
        <f t="shared" si="19"/>
        <v>0</v>
      </c>
      <c r="G158" s="151">
        <f t="shared" si="20"/>
        <v>0</v>
      </c>
      <c r="H158" s="151">
        <f t="shared" si="23"/>
        <v>0</v>
      </c>
      <c r="I158" s="151">
        <f t="shared" si="21"/>
        <v>0</v>
      </c>
      <c r="J158" s="151">
        <f>SUM($H$18:$H158)</f>
        <v>2728155.8527217521</v>
      </c>
    </row>
    <row r="159" spans="1:10" x14ac:dyDescent="0.2">
      <c r="A159" s="154">
        <f>IF(Values_Entered,A158+1,"")</f>
        <v>142</v>
      </c>
      <c r="B159" s="153">
        <f t="shared" si="16"/>
        <v>56281</v>
      </c>
      <c r="C159" s="151">
        <f t="shared" si="22"/>
        <v>0</v>
      </c>
      <c r="D159" s="151">
        <f t="shared" si="17"/>
        <v>1136407.7926360879</v>
      </c>
      <c r="E159" s="152">
        <f t="shared" si="18"/>
        <v>0</v>
      </c>
      <c r="F159" s="151">
        <f t="shared" si="19"/>
        <v>0</v>
      </c>
      <c r="G159" s="151">
        <f t="shared" si="20"/>
        <v>0</v>
      </c>
      <c r="H159" s="151">
        <f t="shared" si="23"/>
        <v>0</v>
      </c>
      <c r="I159" s="151">
        <f t="shared" si="21"/>
        <v>0</v>
      </c>
      <c r="J159" s="151">
        <f>SUM($H$18:$H159)</f>
        <v>2728155.8527217521</v>
      </c>
    </row>
    <row r="160" spans="1:10" x14ac:dyDescent="0.2">
      <c r="A160" s="154">
        <f>IF(Values_Entered,A159+1,"")</f>
        <v>143</v>
      </c>
      <c r="B160" s="153">
        <f t="shared" si="16"/>
        <v>56370</v>
      </c>
      <c r="C160" s="151">
        <f t="shared" si="22"/>
        <v>0</v>
      </c>
      <c r="D160" s="151">
        <f t="shared" si="17"/>
        <v>1136407.7926360879</v>
      </c>
      <c r="E160" s="152">
        <f t="shared" si="18"/>
        <v>0</v>
      </c>
      <c r="F160" s="151">
        <f t="shared" si="19"/>
        <v>0</v>
      </c>
      <c r="G160" s="151">
        <f t="shared" si="20"/>
        <v>0</v>
      </c>
      <c r="H160" s="151">
        <f t="shared" si="23"/>
        <v>0</v>
      </c>
      <c r="I160" s="151">
        <f t="shared" si="21"/>
        <v>0</v>
      </c>
      <c r="J160" s="151">
        <f>SUM($H$18:$H160)</f>
        <v>2728155.8527217521</v>
      </c>
    </row>
    <row r="161" spans="1:10" x14ac:dyDescent="0.2">
      <c r="A161" s="154">
        <f>IF(Values_Entered,A160+1,"")</f>
        <v>144</v>
      </c>
      <c r="B161" s="153">
        <f t="shared" si="16"/>
        <v>56462</v>
      </c>
      <c r="C161" s="151">
        <f t="shared" si="22"/>
        <v>0</v>
      </c>
      <c r="D161" s="151">
        <f t="shared" si="17"/>
        <v>1136407.7926360879</v>
      </c>
      <c r="E161" s="152">
        <f t="shared" si="18"/>
        <v>0</v>
      </c>
      <c r="F161" s="151">
        <f t="shared" si="19"/>
        <v>0</v>
      </c>
      <c r="G161" s="151">
        <f t="shared" si="20"/>
        <v>0</v>
      </c>
      <c r="H161" s="151">
        <f t="shared" si="23"/>
        <v>0</v>
      </c>
      <c r="I161" s="151">
        <f t="shared" si="21"/>
        <v>0</v>
      </c>
      <c r="J161" s="151">
        <f>SUM($H$18:$H161)</f>
        <v>2728155.8527217521</v>
      </c>
    </row>
    <row r="162" spans="1:10" x14ac:dyDescent="0.2">
      <c r="A162" s="154">
        <f>IF(Values_Entered,A161+1,"")</f>
        <v>145</v>
      </c>
      <c r="B162" s="153">
        <f t="shared" si="16"/>
        <v>56554</v>
      </c>
      <c r="C162" s="151">
        <f t="shared" si="22"/>
        <v>0</v>
      </c>
      <c r="D162" s="151">
        <f t="shared" si="17"/>
        <v>1136407.7926360879</v>
      </c>
      <c r="E162" s="152">
        <f t="shared" si="18"/>
        <v>0</v>
      </c>
      <c r="F162" s="151">
        <f t="shared" si="19"/>
        <v>0</v>
      </c>
      <c r="G162" s="151">
        <f t="shared" si="20"/>
        <v>0</v>
      </c>
      <c r="H162" s="151">
        <f t="shared" si="23"/>
        <v>0</v>
      </c>
      <c r="I162" s="151">
        <f t="shared" si="21"/>
        <v>0</v>
      </c>
      <c r="J162" s="151">
        <f>SUM($H$18:$H162)</f>
        <v>2728155.8527217521</v>
      </c>
    </row>
    <row r="163" spans="1:10" x14ac:dyDescent="0.2">
      <c r="A163" s="154">
        <f>IF(Values_Entered,A162+1,"")</f>
        <v>146</v>
      </c>
      <c r="B163" s="153">
        <f t="shared" si="16"/>
        <v>56646</v>
      </c>
      <c r="C163" s="151">
        <f t="shared" si="22"/>
        <v>0</v>
      </c>
      <c r="D163" s="151">
        <f t="shared" si="17"/>
        <v>1136407.7926360879</v>
      </c>
      <c r="E163" s="152">
        <f t="shared" si="18"/>
        <v>0</v>
      </c>
      <c r="F163" s="151">
        <f t="shared" si="19"/>
        <v>0</v>
      </c>
      <c r="G163" s="151">
        <f t="shared" si="20"/>
        <v>0</v>
      </c>
      <c r="H163" s="151">
        <f t="shared" si="23"/>
        <v>0</v>
      </c>
      <c r="I163" s="151">
        <f t="shared" si="21"/>
        <v>0</v>
      </c>
      <c r="J163" s="151">
        <f>SUM($H$18:$H163)</f>
        <v>2728155.8527217521</v>
      </c>
    </row>
    <row r="164" spans="1:10" x14ac:dyDescent="0.2">
      <c r="A164" s="154">
        <f>IF(Values_Entered,A163+1,"")</f>
        <v>147</v>
      </c>
      <c r="B164" s="153">
        <f t="shared" si="16"/>
        <v>56735</v>
      </c>
      <c r="C164" s="151">
        <f t="shared" si="22"/>
        <v>0</v>
      </c>
      <c r="D164" s="151">
        <f t="shared" si="17"/>
        <v>1136407.7926360879</v>
      </c>
      <c r="E164" s="152">
        <f t="shared" si="18"/>
        <v>0</v>
      </c>
      <c r="F164" s="151">
        <f t="shared" si="19"/>
        <v>0</v>
      </c>
      <c r="G164" s="151">
        <f t="shared" si="20"/>
        <v>0</v>
      </c>
      <c r="H164" s="151">
        <f t="shared" si="23"/>
        <v>0</v>
      </c>
      <c r="I164" s="151">
        <f t="shared" si="21"/>
        <v>0</v>
      </c>
      <c r="J164" s="151">
        <f>SUM($H$18:$H164)</f>
        <v>2728155.8527217521</v>
      </c>
    </row>
    <row r="165" spans="1:10" x14ac:dyDescent="0.2">
      <c r="A165" s="154">
        <f>IF(Values_Entered,A164+1,"")</f>
        <v>148</v>
      </c>
      <c r="B165" s="153">
        <f t="shared" si="16"/>
        <v>56827</v>
      </c>
      <c r="C165" s="151">
        <f t="shared" si="22"/>
        <v>0</v>
      </c>
      <c r="D165" s="151">
        <f t="shared" si="17"/>
        <v>1136407.7926360879</v>
      </c>
      <c r="E165" s="152">
        <f t="shared" si="18"/>
        <v>0</v>
      </c>
      <c r="F165" s="151">
        <f t="shared" si="19"/>
        <v>0</v>
      </c>
      <c r="G165" s="151">
        <f t="shared" si="20"/>
        <v>0</v>
      </c>
      <c r="H165" s="151">
        <f t="shared" si="23"/>
        <v>0</v>
      </c>
      <c r="I165" s="151">
        <f t="shared" si="21"/>
        <v>0</v>
      </c>
      <c r="J165" s="151">
        <f>SUM($H$18:$H165)</f>
        <v>2728155.8527217521</v>
      </c>
    </row>
    <row r="166" spans="1:10" x14ac:dyDescent="0.2">
      <c r="A166" s="154">
        <f>IF(Values_Entered,A165+1,"")</f>
        <v>149</v>
      </c>
      <c r="B166" s="153">
        <f t="shared" si="16"/>
        <v>56919</v>
      </c>
      <c r="C166" s="151">
        <f t="shared" si="22"/>
        <v>0</v>
      </c>
      <c r="D166" s="151">
        <f t="shared" si="17"/>
        <v>1136407.7926360879</v>
      </c>
      <c r="E166" s="152">
        <f t="shared" si="18"/>
        <v>0</v>
      </c>
      <c r="F166" s="151">
        <f t="shared" si="19"/>
        <v>0</v>
      </c>
      <c r="G166" s="151">
        <f t="shared" si="20"/>
        <v>0</v>
      </c>
      <c r="H166" s="151">
        <f t="shared" si="23"/>
        <v>0</v>
      </c>
      <c r="I166" s="151">
        <f t="shared" si="21"/>
        <v>0</v>
      </c>
      <c r="J166" s="151">
        <f>SUM($H$18:$H166)</f>
        <v>2728155.8527217521</v>
      </c>
    </row>
    <row r="167" spans="1:10" x14ac:dyDescent="0.2">
      <c r="A167" s="154">
        <f>IF(Values_Entered,A166+1,"")</f>
        <v>150</v>
      </c>
      <c r="B167" s="153">
        <f t="shared" si="16"/>
        <v>57011</v>
      </c>
      <c r="C167" s="151">
        <f t="shared" si="22"/>
        <v>0</v>
      </c>
      <c r="D167" s="151">
        <f t="shared" si="17"/>
        <v>1136407.7926360879</v>
      </c>
      <c r="E167" s="152">
        <f t="shared" si="18"/>
        <v>0</v>
      </c>
      <c r="F167" s="151">
        <f t="shared" si="19"/>
        <v>0</v>
      </c>
      <c r="G167" s="151">
        <f t="shared" si="20"/>
        <v>0</v>
      </c>
      <c r="H167" s="151">
        <f t="shared" si="23"/>
        <v>0</v>
      </c>
      <c r="I167" s="151">
        <f t="shared" si="21"/>
        <v>0</v>
      </c>
      <c r="J167" s="151">
        <f>SUM($H$18:$H167)</f>
        <v>2728155.8527217521</v>
      </c>
    </row>
    <row r="168" spans="1:10" x14ac:dyDescent="0.2">
      <c r="A168" s="154">
        <f>IF(Values_Entered,A167+1,"")</f>
        <v>151</v>
      </c>
      <c r="B168" s="153">
        <f t="shared" si="16"/>
        <v>57101</v>
      </c>
      <c r="C168" s="151">
        <f t="shared" si="22"/>
        <v>0</v>
      </c>
      <c r="D168" s="151">
        <f t="shared" si="17"/>
        <v>1136407.7926360879</v>
      </c>
      <c r="E168" s="152">
        <f t="shared" si="18"/>
        <v>0</v>
      </c>
      <c r="F168" s="151">
        <f t="shared" si="19"/>
        <v>0</v>
      </c>
      <c r="G168" s="151">
        <f t="shared" si="20"/>
        <v>0</v>
      </c>
      <c r="H168" s="151">
        <f t="shared" si="23"/>
        <v>0</v>
      </c>
      <c r="I168" s="151">
        <f t="shared" si="21"/>
        <v>0</v>
      </c>
      <c r="J168" s="151">
        <f>SUM($H$18:$H168)</f>
        <v>2728155.8527217521</v>
      </c>
    </row>
    <row r="169" spans="1:10" x14ac:dyDescent="0.2">
      <c r="A169" s="154">
        <f>IF(Values_Entered,A168+1,"")</f>
        <v>152</v>
      </c>
      <c r="B169" s="153">
        <f t="shared" si="16"/>
        <v>57193</v>
      </c>
      <c r="C169" s="151">
        <f t="shared" si="22"/>
        <v>0</v>
      </c>
      <c r="D169" s="151">
        <f t="shared" si="17"/>
        <v>1136407.7926360879</v>
      </c>
      <c r="E169" s="152">
        <f t="shared" si="18"/>
        <v>0</v>
      </c>
      <c r="F169" s="151">
        <f t="shared" si="19"/>
        <v>0</v>
      </c>
      <c r="G169" s="151">
        <f t="shared" si="20"/>
        <v>0</v>
      </c>
      <c r="H169" s="151">
        <f t="shared" si="23"/>
        <v>0</v>
      </c>
      <c r="I169" s="151">
        <f t="shared" si="21"/>
        <v>0</v>
      </c>
      <c r="J169" s="151">
        <f>SUM($H$18:$H169)</f>
        <v>2728155.8527217521</v>
      </c>
    </row>
    <row r="170" spans="1:10" x14ac:dyDescent="0.2">
      <c r="A170" s="154">
        <f>IF(Values_Entered,A169+1,"")</f>
        <v>153</v>
      </c>
      <c r="B170" s="153">
        <f t="shared" si="16"/>
        <v>57285</v>
      </c>
      <c r="C170" s="151">
        <f t="shared" si="22"/>
        <v>0</v>
      </c>
      <c r="D170" s="151">
        <f t="shared" si="17"/>
        <v>1136407.7926360879</v>
      </c>
      <c r="E170" s="152">
        <f t="shared" si="18"/>
        <v>0</v>
      </c>
      <c r="F170" s="151">
        <f t="shared" si="19"/>
        <v>0</v>
      </c>
      <c r="G170" s="151">
        <f t="shared" si="20"/>
        <v>0</v>
      </c>
      <c r="H170" s="151">
        <f t="shared" si="23"/>
        <v>0</v>
      </c>
      <c r="I170" s="151">
        <f t="shared" si="21"/>
        <v>0</v>
      </c>
      <c r="J170" s="151">
        <f>SUM($H$18:$H170)</f>
        <v>2728155.8527217521</v>
      </c>
    </row>
    <row r="171" spans="1:10" x14ac:dyDescent="0.2">
      <c r="A171" s="154">
        <f>IF(Values_Entered,A170+1,"")</f>
        <v>154</v>
      </c>
      <c r="B171" s="153">
        <f t="shared" si="16"/>
        <v>57377</v>
      </c>
      <c r="C171" s="151">
        <f t="shared" si="22"/>
        <v>0</v>
      </c>
      <c r="D171" s="151">
        <f t="shared" si="17"/>
        <v>1136407.7926360879</v>
      </c>
      <c r="E171" s="152">
        <f t="shared" si="18"/>
        <v>0</v>
      </c>
      <c r="F171" s="151">
        <f t="shared" si="19"/>
        <v>0</v>
      </c>
      <c r="G171" s="151">
        <f t="shared" si="20"/>
        <v>0</v>
      </c>
      <c r="H171" s="151">
        <f t="shared" si="23"/>
        <v>0</v>
      </c>
      <c r="I171" s="151">
        <f t="shared" si="21"/>
        <v>0</v>
      </c>
      <c r="J171" s="151">
        <f>SUM($H$18:$H171)</f>
        <v>2728155.8527217521</v>
      </c>
    </row>
    <row r="172" spans="1:10" x14ac:dyDescent="0.2">
      <c r="A172" s="154">
        <f>IF(Values_Entered,A171+1,"")</f>
        <v>155</v>
      </c>
      <c r="B172" s="153">
        <f t="shared" si="16"/>
        <v>57466</v>
      </c>
      <c r="C172" s="151">
        <f t="shared" si="22"/>
        <v>0</v>
      </c>
      <c r="D172" s="151">
        <f t="shared" si="17"/>
        <v>1136407.7926360879</v>
      </c>
      <c r="E172" s="152">
        <f t="shared" si="18"/>
        <v>0</v>
      </c>
      <c r="F172" s="151">
        <f t="shared" si="19"/>
        <v>0</v>
      </c>
      <c r="G172" s="151">
        <f t="shared" si="20"/>
        <v>0</v>
      </c>
      <c r="H172" s="151">
        <f t="shared" si="23"/>
        <v>0</v>
      </c>
      <c r="I172" s="151">
        <f t="shared" si="21"/>
        <v>0</v>
      </c>
      <c r="J172" s="151">
        <f>SUM($H$18:$H172)</f>
        <v>2728155.8527217521</v>
      </c>
    </row>
    <row r="173" spans="1:10" x14ac:dyDescent="0.2">
      <c r="A173" s="154">
        <f>IF(Values_Entered,A172+1,"")</f>
        <v>156</v>
      </c>
      <c r="B173" s="153">
        <f t="shared" si="16"/>
        <v>57558</v>
      </c>
      <c r="C173" s="151">
        <f t="shared" si="22"/>
        <v>0</v>
      </c>
      <c r="D173" s="151">
        <f t="shared" si="17"/>
        <v>1136407.7926360879</v>
      </c>
      <c r="E173" s="152">
        <f t="shared" si="18"/>
        <v>0</v>
      </c>
      <c r="F173" s="151">
        <f t="shared" si="19"/>
        <v>0</v>
      </c>
      <c r="G173" s="151">
        <f t="shared" si="20"/>
        <v>0</v>
      </c>
      <c r="H173" s="151">
        <f t="shared" si="23"/>
        <v>0</v>
      </c>
      <c r="I173" s="151">
        <f t="shared" si="21"/>
        <v>0</v>
      </c>
      <c r="J173" s="151">
        <f>SUM($H$18:$H173)</f>
        <v>2728155.8527217521</v>
      </c>
    </row>
    <row r="174" spans="1:10" x14ac:dyDescent="0.2">
      <c r="A174" s="154">
        <f>IF(Values_Entered,A173+1,"")</f>
        <v>157</v>
      </c>
      <c r="B174" s="153">
        <f t="shared" si="16"/>
        <v>57650</v>
      </c>
      <c r="C174" s="151">
        <f t="shared" si="22"/>
        <v>0</v>
      </c>
      <c r="D174" s="151">
        <f t="shared" si="17"/>
        <v>1136407.7926360879</v>
      </c>
      <c r="E174" s="152">
        <f t="shared" si="18"/>
        <v>0</v>
      </c>
      <c r="F174" s="151">
        <f t="shared" si="19"/>
        <v>0</v>
      </c>
      <c r="G174" s="151">
        <f t="shared" si="20"/>
        <v>0</v>
      </c>
      <c r="H174" s="151">
        <f t="shared" si="23"/>
        <v>0</v>
      </c>
      <c r="I174" s="151">
        <f t="shared" si="21"/>
        <v>0</v>
      </c>
      <c r="J174" s="151">
        <f>SUM($H$18:$H174)</f>
        <v>2728155.8527217521</v>
      </c>
    </row>
    <row r="175" spans="1:10" x14ac:dyDescent="0.2">
      <c r="A175" s="154">
        <f>IF(Values_Entered,A174+1,"")</f>
        <v>158</v>
      </c>
      <c r="B175" s="153">
        <f t="shared" si="16"/>
        <v>57742</v>
      </c>
      <c r="C175" s="151">
        <f t="shared" si="22"/>
        <v>0</v>
      </c>
      <c r="D175" s="151">
        <f t="shared" si="17"/>
        <v>1136407.7926360879</v>
      </c>
      <c r="E175" s="152">
        <f t="shared" si="18"/>
        <v>0</v>
      </c>
      <c r="F175" s="151">
        <f t="shared" si="19"/>
        <v>0</v>
      </c>
      <c r="G175" s="151">
        <f t="shared" si="20"/>
        <v>0</v>
      </c>
      <c r="H175" s="151">
        <f t="shared" si="23"/>
        <v>0</v>
      </c>
      <c r="I175" s="151">
        <f t="shared" si="21"/>
        <v>0</v>
      </c>
      <c r="J175" s="151">
        <f>SUM($H$18:$H175)</f>
        <v>2728155.8527217521</v>
      </c>
    </row>
    <row r="176" spans="1:10" x14ac:dyDescent="0.2">
      <c r="A176" s="154">
        <f>IF(Values_Entered,A175+1,"")</f>
        <v>159</v>
      </c>
      <c r="B176" s="153">
        <f t="shared" si="16"/>
        <v>57831</v>
      </c>
      <c r="C176" s="151">
        <f t="shared" si="22"/>
        <v>0</v>
      </c>
      <c r="D176" s="151">
        <f t="shared" si="17"/>
        <v>1136407.7926360879</v>
      </c>
      <c r="E176" s="152">
        <f t="shared" si="18"/>
        <v>0</v>
      </c>
      <c r="F176" s="151">
        <f t="shared" si="19"/>
        <v>0</v>
      </c>
      <c r="G176" s="151">
        <f t="shared" si="20"/>
        <v>0</v>
      </c>
      <c r="H176" s="151">
        <f t="shared" si="23"/>
        <v>0</v>
      </c>
      <c r="I176" s="151">
        <f t="shared" si="21"/>
        <v>0</v>
      </c>
      <c r="J176" s="151">
        <f>SUM($H$18:$H176)</f>
        <v>2728155.8527217521</v>
      </c>
    </row>
    <row r="177" spans="1:10" x14ac:dyDescent="0.2">
      <c r="A177" s="154">
        <f>IF(Values_Entered,A176+1,"")</f>
        <v>160</v>
      </c>
      <c r="B177" s="153">
        <f t="shared" si="16"/>
        <v>57923</v>
      </c>
      <c r="C177" s="151">
        <f t="shared" si="22"/>
        <v>0</v>
      </c>
      <c r="D177" s="151">
        <f t="shared" si="17"/>
        <v>1136407.7926360879</v>
      </c>
      <c r="E177" s="152">
        <f t="shared" si="18"/>
        <v>0</v>
      </c>
      <c r="F177" s="151">
        <f t="shared" si="19"/>
        <v>0</v>
      </c>
      <c r="G177" s="151">
        <f t="shared" si="20"/>
        <v>0</v>
      </c>
      <c r="H177" s="151">
        <f t="shared" si="23"/>
        <v>0</v>
      </c>
      <c r="I177" s="151">
        <f t="shared" si="21"/>
        <v>0</v>
      </c>
      <c r="J177" s="151">
        <f>SUM($H$18:$H177)</f>
        <v>2728155.8527217521</v>
      </c>
    </row>
    <row r="178" spans="1:10" x14ac:dyDescent="0.2">
      <c r="A178" s="154">
        <f>IF(Values_Entered,A177+1,"")</f>
        <v>161</v>
      </c>
      <c r="B178" s="153">
        <f t="shared" si="16"/>
        <v>58015</v>
      </c>
      <c r="C178" s="151">
        <f t="shared" si="22"/>
        <v>0</v>
      </c>
      <c r="D178" s="151">
        <f t="shared" si="17"/>
        <v>1136407.7926360879</v>
      </c>
      <c r="E178" s="152">
        <f t="shared" si="18"/>
        <v>0</v>
      </c>
      <c r="F178" s="151">
        <f t="shared" si="19"/>
        <v>0</v>
      </c>
      <c r="G178" s="151">
        <f t="shared" si="20"/>
        <v>0</v>
      </c>
      <c r="H178" s="151">
        <f t="shared" si="23"/>
        <v>0</v>
      </c>
      <c r="I178" s="151">
        <f t="shared" si="21"/>
        <v>0</v>
      </c>
      <c r="J178" s="151">
        <f>SUM($H$18:$H178)</f>
        <v>2728155.8527217521</v>
      </c>
    </row>
    <row r="179" spans="1:10" x14ac:dyDescent="0.2">
      <c r="A179" s="154">
        <f>IF(Values_Entered,A178+1,"")</f>
        <v>162</v>
      </c>
      <c r="B179" s="153">
        <f t="shared" si="16"/>
        <v>58107</v>
      </c>
      <c r="C179" s="151">
        <f t="shared" si="22"/>
        <v>0</v>
      </c>
      <c r="D179" s="151">
        <f t="shared" si="17"/>
        <v>1136407.7926360879</v>
      </c>
      <c r="E179" s="152">
        <f t="shared" si="18"/>
        <v>0</v>
      </c>
      <c r="F179" s="151">
        <f t="shared" si="19"/>
        <v>0</v>
      </c>
      <c r="G179" s="151">
        <f t="shared" si="20"/>
        <v>0</v>
      </c>
      <c r="H179" s="151">
        <f t="shared" si="23"/>
        <v>0</v>
      </c>
      <c r="I179" s="151">
        <f t="shared" si="21"/>
        <v>0</v>
      </c>
      <c r="J179" s="151">
        <f>SUM($H$18:$H179)</f>
        <v>2728155.8527217521</v>
      </c>
    </row>
    <row r="180" spans="1:10" x14ac:dyDescent="0.2">
      <c r="A180" s="154">
        <f>IF(Values_Entered,A179+1,"")</f>
        <v>163</v>
      </c>
      <c r="B180" s="153">
        <f t="shared" si="16"/>
        <v>58196</v>
      </c>
      <c r="C180" s="151">
        <f t="shared" si="22"/>
        <v>0</v>
      </c>
      <c r="D180" s="151">
        <f t="shared" si="17"/>
        <v>1136407.7926360879</v>
      </c>
      <c r="E180" s="152">
        <f t="shared" si="18"/>
        <v>0</v>
      </c>
      <c r="F180" s="151">
        <f t="shared" si="19"/>
        <v>0</v>
      </c>
      <c r="G180" s="151">
        <f t="shared" si="20"/>
        <v>0</v>
      </c>
      <c r="H180" s="151">
        <f t="shared" si="23"/>
        <v>0</v>
      </c>
      <c r="I180" s="151">
        <f t="shared" si="21"/>
        <v>0</v>
      </c>
      <c r="J180" s="151">
        <f>SUM($H$18:$H180)</f>
        <v>2728155.8527217521</v>
      </c>
    </row>
    <row r="181" spans="1:10" x14ac:dyDescent="0.2">
      <c r="A181" s="154">
        <f>IF(Values_Entered,A180+1,"")</f>
        <v>164</v>
      </c>
      <c r="B181" s="153">
        <f t="shared" si="16"/>
        <v>58288</v>
      </c>
      <c r="C181" s="151">
        <f t="shared" si="22"/>
        <v>0</v>
      </c>
      <c r="D181" s="151">
        <f t="shared" si="17"/>
        <v>1136407.7926360879</v>
      </c>
      <c r="E181" s="152">
        <f t="shared" si="18"/>
        <v>0</v>
      </c>
      <c r="F181" s="151">
        <f t="shared" si="19"/>
        <v>0</v>
      </c>
      <c r="G181" s="151">
        <f t="shared" si="20"/>
        <v>0</v>
      </c>
      <c r="H181" s="151">
        <f t="shared" si="23"/>
        <v>0</v>
      </c>
      <c r="I181" s="151">
        <f t="shared" si="21"/>
        <v>0</v>
      </c>
      <c r="J181" s="151">
        <f>SUM($H$18:$H181)</f>
        <v>2728155.8527217521</v>
      </c>
    </row>
    <row r="182" spans="1:10" x14ac:dyDescent="0.2">
      <c r="A182" s="154">
        <f>IF(Values_Entered,A181+1,"")</f>
        <v>165</v>
      </c>
      <c r="B182" s="153">
        <f t="shared" si="16"/>
        <v>58380</v>
      </c>
      <c r="C182" s="151">
        <f t="shared" si="22"/>
        <v>0</v>
      </c>
      <c r="D182" s="151">
        <f t="shared" si="17"/>
        <v>1136407.7926360879</v>
      </c>
      <c r="E182" s="152">
        <f t="shared" si="18"/>
        <v>0</v>
      </c>
      <c r="F182" s="151">
        <f t="shared" si="19"/>
        <v>0</v>
      </c>
      <c r="G182" s="151">
        <f t="shared" si="20"/>
        <v>0</v>
      </c>
      <c r="H182" s="151">
        <f t="shared" si="23"/>
        <v>0</v>
      </c>
      <c r="I182" s="151">
        <f t="shared" si="21"/>
        <v>0</v>
      </c>
      <c r="J182" s="151">
        <f>SUM($H$18:$H182)</f>
        <v>2728155.8527217521</v>
      </c>
    </row>
    <row r="183" spans="1:10" x14ac:dyDescent="0.2">
      <c r="A183" s="154">
        <f>IF(Values_Entered,A182+1,"")</f>
        <v>166</v>
      </c>
      <c r="B183" s="153">
        <f t="shared" si="16"/>
        <v>58472</v>
      </c>
      <c r="C183" s="151">
        <f t="shared" si="22"/>
        <v>0</v>
      </c>
      <c r="D183" s="151">
        <f t="shared" si="17"/>
        <v>1136407.7926360879</v>
      </c>
      <c r="E183" s="152">
        <f t="shared" si="18"/>
        <v>0</v>
      </c>
      <c r="F183" s="151">
        <f t="shared" si="19"/>
        <v>0</v>
      </c>
      <c r="G183" s="151">
        <f t="shared" si="20"/>
        <v>0</v>
      </c>
      <c r="H183" s="151">
        <f t="shared" si="23"/>
        <v>0</v>
      </c>
      <c r="I183" s="151">
        <f t="shared" si="21"/>
        <v>0</v>
      </c>
      <c r="J183" s="151">
        <f>SUM($H$18:$H183)</f>
        <v>2728155.8527217521</v>
      </c>
    </row>
    <row r="184" spans="1:10" x14ac:dyDescent="0.2">
      <c r="A184" s="154">
        <f>IF(Values_Entered,A183+1,"")</f>
        <v>167</v>
      </c>
      <c r="B184" s="153">
        <f t="shared" si="16"/>
        <v>58562</v>
      </c>
      <c r="C184" s="151">
        <f t="shared" si="22"/>
        <v>0</v>
      </c>
      <c r="D184" s="151">
        <f t="shared" si="17"/>
        <v>1136407.7926360879</v>
      </c>
      <c r="E184" s="152">
        <f t="shared" si="18"/>
        <v>0</v>
      </c>
      <c r="F184" s="151">
        <f t="shared" si="19"/>
        <v>0</v>
      </c>
      <c r="G184" s="151">
        <f t="shared" si="20"/>
        <v>0</v>
      </c>
      <c r="H184" s="151">
        <f t="shared" si="23"/>
        <v>0</v>
      </c>
      <c r="I184" s="151">
        <f t="shared" si="21"/>
        <v>0</v>
      </c>
      <c r="J184" s="151">
        <f>SUM($H$18:$H184)</f>
        <v>2728155.8527217521</v>
      </c>
    </row>
    <row r="185" spans="1:10" x14ac:dyDescent="0.2">
      <c r="A185" s="154">
        <f>IF(Values_Entered,A184+1,"")</f>
        <v>168</v>
      </c>
      <c r="B185" s="153">
        <f t="shared" si="16"/>
        <v>58654</v>
      </c>
      <c r="C185" s="151">
        <f t="shared" si="22"/>
        <v>0</v>
      </c>
      <c r="D185" s="151">
        <f t="shared" si="17"/>
        <v>1136407.7926360879</v>
      </c>
      <c r="E185" s="152">
        <f t="shared" si="18"/>
        <v>0</v>
      </c>
      <c r="F185" s="151">
        <f t="shared" si="19"/>
        <v>0</v>
      </c>
      <c r="G185" s="151">
        <f t="shared" si="20"/>
        <v>0</v>
      </c>
      <c r="H185" s="151">
        <f t="shared" si="23"/>
        <v>0</v>
      </c>
      <c r="I185" s="151">
        <f t="shared" si="21"/>
        <v>0</v>
      </c>
      <c r="J185" s="151">
        <f>SUM($H$18:$H185)</f>
        <v>2728155.8527217521</v>
      </c>
    </row>
    <row r="186" spans="1:10" x14ac:dyDescent="0.2">
      <c r="A186" s="154">
        <f>IF(Values_Entered,A185+1,"")</f>
        <v>169</v>
      </c>
      <c r="B186" s="153">
        <f t="shared" si="16"/>
        <v>58746</v>
      </c>
      <c r="C186" s="151">
        <f t="shared" si="22"/>
        <v>0</v>
      </c>
      <c r="D186" s="151">
        <f t="shared" si="17"/>
        <v>1136407.7926360879</v>
      </c>
      <c r="E186" s="152">
        <f t="shared" si="18"/>
        <v>0</v>
      </c>
      <c r="F186" s="151">
        <f t="shared" si="19"/>
        <v>0</v>
      </c>
      <c r="G186" s="151">
        <f t="shared" si="20"/>
        <v>0</v>
      </c>
      <c r="H186" s="151">
        <f t="shared" si="23"/>
        <v>0</v>
      </c>
      <c r="I186" s="151">
        <f t="shared" si="21"/>
        <v>0</v>
      </c>
      <c r="J186" s="151">
        <f>SUM($H$18:$H186)</f>
        <v>2728155.8527217521</v>
      </c>
    </row>
    <row r="187" spans="1:10" x14ac:dyDescent="0.2">
      <c r="A187" s="154">
        <f>IF(Values_Entered,A186+1,"")</f>
        <v>170</v>
      </c>
      <c r="B187" s="153">
        <f t="shared" si="16"/>
        <v>58838</v>
      </c>
      <c r="C187" s="151">
        <f t="shared" si="22"/>
        <v>0</v>
      </c>
      <c r="D187" s="151">
        <f t="shared" si="17"/>
        <v>1136407.7926360879</v>
      </c>
      <c r="E187" s="152">
        <f t="shared" si="18"/>
        <v>0</v>
      </c>
      <c r="F187" s="151">
        <f t="shared" si="19"/>
        <v>0</v>
      </c>
      <c r="G187" s="151">
        <f t="shared" si="20"/>
        <v>0</v>
      </c>
      <c r="H187" s="151">
        <f t="shared" si="23"/>
        <v>0</v>
      </c>
      <c r="I187" s="151">
        <f t="shared" si="21"/>
        <v>0</v>
      </c>
      <c r="J187" s="151">
        <f>SUM($H$18:$H187)</f>
        <v>2728155.8527217521</v>
      </c>
    </row>
    <row r="188" spans="1:10" x14ac:dyDescent="0.2">
      <c r="A188" s="154">
        <f>IF(Values_Entered,A187+1,"")</f>
        <v>171</v>
      </c>
      <c r="B188" s="153">
        <f t="shared" si="16"/>
        <v>58927</v>
      </c>
      <c r="C188" s="151">
        <f t="shared" si="22"/>
        <v>0</v>
      </c>
      <c r="D188" s="151">
        <f t="shared" si="17"/>
        <v>1136407.7926360879</v>
      </c>
      <c r="E188" s="152">
        <f t="shared" si="18"/>
        <v>0</v>
      </c>
      <c r="F188" s="151">
        <f t="shared" si="19"/>
        <v>0</v>
      </c>
      <c r="G188" s="151">
        <f t="shared" si="20"/>
        <v>0</v>
      </c>
      <c r="H188" s="151">
        <f t="shared" si="23"/>
        <v>0</v>
      </c>
      <c r="I188" s="151">
        <f t="shared" si="21"/>
        <v>0</v>
      </c>
      <c r="J188" s="151">
        <f>SUM($H$18:$H188)</f>
        <v>2728155.8527217521</v>
      </c>
    </row>
    <row r="189" spans="1:10" x14ac:dyDescent="0.2">
      <c r="A189" s="154">
        <f>IF(Values_Entered,A188+1,"")</f>
        <v>172</v>
      </c>
      <c r="B189" s="153">
        <f t="shared" si="16"/>
        <v>59019</v>
      </c>
      <c r="C189" s="151">
        <f t="shared" si="22"/>
        <v>0</v>
      </c>
      <c r="D189" s="151">
        <f t="shared" si="17"/>
        <v>1136407.7926360879</v>
      </c>
      <c r="E189" s="152">
        <f t="shared" si="18"/>
        <v>0</v>
      </c>
      <c r="F189" s="151">
        <f t="shared" si="19"/>
        <v>0</v>
      </c>
      <c r="G189" s="151">
        <f t="shared" si="20"/>
        <v>0</v>
      </c>
      <c r="H189" s="151">
        <f t="shared" si="23"/>
        <v>0</v>
      </c>
      <c r="I189" s="151">
        <f t="shared" si="21"/>
        <v>0</v>
      </c>
      <c r="J189" s="151">
        <f>SUM($H$18:$H189)</f>
        <v>2728155.8527217521</v>
      </c>
    </row>
    <row r="190" spans="1:10" x14ac:dyDescent="0.2">
      <c r="A190" s="154">
        <f>IF(Values_Entered,A189+1,"")</f>
        <v>173</v>
      </c>
      <c r="B190" s="153">
        <f t="shared" si="16"/>
        <v>59111</v>
      </c>
      <c r="C190" s="151">
        <f t="shared" si="22"/>
        <v>0</v>
      </c>
      <c r="D190" s="151">
        <f t="shared" si="17"/>
        <v>1136407.7926360879</v>
      </c>
      <c r="E190" s="152">
        <f t="shared" si="18"/>
        <v>0</v>
      </c>
      <c r="F190" s="151">
        <f t="shared" si="19"/>
        <v>0</v>
      </c>
      <c r="G190" s="151">
        <f t="shared" si="20"/>
        <v>0</v>
      </c>
      <c r="H190" s="151">
        <f t="shared" si="23"/>
        <v>0</v>
      </c>
      <c r="I190" s="151">
        <f t="shared" si="21"/>
        <v>0</v>
      </c>
      <c r="J190" s="151">
        <f>SUM($H$18:$H190)</f>
        <v>2728155.8527217521</v>
      </c>
    </row>
    <row r="191" spans="1:10" x14ac:dyDescent="0.2">
      <c r="A191" s="154">
        <f>IF(Values_Entered,A190+1,"")</f>
        <v>174</v>
      </c>
      <c r="B191" s="153">
        <f t="shared" si="16"/>
        <v>59203</v>
      </c>
      <c r="C191" s="151">
        <f t="shared" si="22"/>
        <v>0</v>
      </c>
      <c r="D191" s="151">
        <f t="shared" si="17"/>
        <v>1136407.7926360879</v>
      </c>
      <c r="E191" s="152">
        <f t="shared" si="18"/>
        <v>0</v>
      </c>
      <c r="F191" s="151">
        <f t="shared" si="19"/>
        <v>0</v>
      </c>
      <c r="G191" s="151">
        <f t="shared" si="20"/>
        <v>0</v>
      </c>
      <c r="H191" s="151">
        <f t="shared" si="23"/>
        <v>0</v>
      </c>
      <c r="I191" s="151">
        <f t="shared" si="21"/>
        <v>0</v>
      </c>
      <c r="J191" s="151">
        <f>SUM($H$18:$H191)</f>
        <v>2728155.8527217521</v>
      </c>
    </row>
    <row r="192" spans="1:10" x14ac:dyDescent="0.2">
      <c r="A192" s="154">
        <f>IF(Values_Entered,A191+1,"")</f>
        <v>175</v>
      </c>
      <c r="B192" s="153">
        <f t="shared" si="16"/>
        <v>59292</v>
      </c>
      <c r="C192" s="151">
        <f t="shared" si="22"/>
        <v>0</v>
      </c>
      <c r="D192" s="151">
        <f t="shared" si="17"/>
        <v>1136407.7926360879</v>
      </c>
      <c r="E192" s="152">
        <f t="shared" si="18"/>
        <v>0</v>
      </c>
      <c r="F192" s="151">
        <f t="shared" si="19"/>
        <v>0</v>
      </c>
      <c r="G192" s="151">
        <f t="shared" si="20"/>
        <v>0</v>
      </c>
      <c r="H192" s="151">
        <f t="shared" si="23"/>
        <v>0</v>
      </c>
      <c r="I192" s="151">
        <f t="shared" si="21"/>
        <v>0</v>
      </c>
      <c r="J192" s="151">
        <f>SUM($H$18:$H192)</f>
        <v>2728155.8527217521</v>
      </c>
    </row>
    <row r="193" spans="1:10" x14ac:dyDescent="0.2">
      <c r="A193" s="154">
        <f>IF(Values_Entered,A192+1,"")</f>
        <v>176</v>
      </c>
      <c r="B193" s="153">
        <f t="shared" si="16"/>
        <v>59384</v>
      </c>
      <c r="C193" s="151">
        <f t="shared" si="22"/>
        <v>0</v>
      </c>
      <c r="D193" s="151">
        <f t="shared" si="17"/>
        <v>1136407.7926360879</v>
      </c>
      <c r="E193" s="152">
        <f t="shared" si="18"/>
        <v>0</v>
      </c>
      <c r="F193" s="151">
        <f t="shared" si="19"/>
        <v>0</v>
      </c>
      <c r="G193" s="151">
        <f t="shared" si="20"/>
        <v>0</v>
      </c>
      <c r="H193" s="151">
        <f t="shared" si="23"/>
        <v>0</v>
      </c>
      <c r="I193" s="151">
        <f t="shared" si="21"/>
        <v>0</v>
      </c>
      <c r="J193" s="151">
        <f>SUM($H$18:$H193)</f>
        <v>2728155.8527217521</v>
      </c>
    </row>
    <row r="194" spans="1:10" x14ac:dyDescent="0.2">
      <c r="A194" s="154">
        <f>IF(Values_Entered,A193+1,"")</f>
        <v>177</v>
      </c>
      <c r="B194" s="153">
        <f t="shared" si="16"/>
        <v>59476</v>
      </c>
      <c r="C194" s="151">
        <f t="shared" si="22"/>
        <v>0</v>
      </c>
      <c r="D194" s="151">
        <f t="shared" si="17"/>
        <v>1136407.7926360879</v>
      </c>
      <c r="E194" s="152">
        <f t="shared" si="18"/>
        <v>0</v>
      </c>
      <c r="F194" s="151">
        <f t="shared" si="19"/>
        <v>0</v>
      </c>
      <c r="G194" s="151">
        <f t="shared" si="20"/>
        <v>0</v>
      </c>
      <c r="H194" s="151">
        <f t="shared" si="23"/>
        <v>0</v>
      </c>
      <c r="I194" s="151">
        <f t="shared" si="21"/>
        <v>0</v>
      </c>
      <c r="J194" s="151">
        <f>SUM($H$18:$H194)</f>
        <v>2728155.8527217521</v>
      </c>
    </row>
    <row r="195" spans="1:10" x14ac:dyDescent="0.2">
      <c r="A195" s="154">
        <f>IF(Values_Entered,A194+1,"")</f>
        <v>178</v>
      </c>
      <c r="B195" s="153">
        <f t="shared" si="16"/>
        <v>59568</v>
      </c>
      <c r="C195" s="151">
        <f t="shared" si="22"/>
        <v>0</v>
      </c>
      <c r="D195" s="151">
        <f t="shared" si="17"/>
        <v>1136407.7926360879</v>
      </c>
      <c r="E195" s="152">
        <f t="shared" si="18"/>
        <v>0</v>
      </c>
      <c r="F195" s="151">
        <f t="shared" si="19"/>
        <v>0</v>
      </c>
      <c r="G195" s="151">
        <f t="shared" si="20"/>
        <v>0</v>
      </c>
      <c r="H195" s="151">
        <f t="shared" si="23"/>
        <v>0</v>
      </c>
      <c r="I195" s="151">
        <f t="shared" si="21"/>
        <v>0</v>
      </c>
      <c r="J195" s="151">
        <f>SUM($H$18:$H195)</f>
        <v>2728155.8527217521</v>
      </c>
    </row>
    <row r="196" spans="1:10" x14ac:dyDescent="0.2">
      <c r="A196" s="154">
        <f>IF(Values_Entered,A195+1,"")</f>
        <v>179</v>
      </c>
      <c r="B196" s="153">
        <f t="shared" si="16"/>
        <v>59657</v>
      </c>
      <c r="C196" s="151">
        <f t="shared" si="22"/>
        <v>0</v>
      </c>
      <c r="D196" s="151">
        <f t="shared" si="17"/>
        <v>1136407.7926360879</v>
      </c>
      <c r="E196" s="152">
        <f t="shared" si="18"/>
        <v>0</v>
      </c>
      <c r="F196" s="151">
        <f t="shared" si="19"/>
        <v>0</v>
      </c>
      <c r="G196" s="151">
        <f t="shared" si="20"/>
        <v>0</v>
      </c>
      <c r="H196" s="151">
        <f t="shared" si="23"/>
        <v>0</v>
      </c>
      <c r="I196" s="151">
        <f t="shared" si="21"/>
        <v>0</v>
      </c>
      <c r="J196" s="151">
        <f>SUM($H$18:$H196)</f>
        <v>2728155.8527217521</v>
      </c>
    </row>
    <row r="197" spans="1:10" x14ac:dyDescent="0.2">
      <c r="A197" s="154">
        <f>IF(Values_Entered,A196+1,"")</f>
        <v>180</v>
      </c>
      <c r="B197" s="153">
        <f t="shared" si="16"/>
        <v>59749</v>
      </c>
      <c r="C197" s="151">
        <f t="shared" si="22"/>
        <v>0</v>
      </c>
      <c r="D197" s="151">
        <f t="shared" si="17"/>
        <v>1136407.7926360879</v>
      </c>
      <c r="E197" s="152">
        <f t="shared" si="18"/>
        <v>0</v>
      </c>
      <c r="F197" s="151">
        <f t="shared" si="19"/>
        <v>0</v>
      </c>
      <c r="G197" s="151">
        <f t="shared" si="20"/>
        <v>0</v>
      </c>
      <c r="H197" s="151">
        <f t="shared" si="23"/>
        <v>0</v>
      </c>
      <c r="I197" s="151">
        <f t="shared" si="21"/>
        <v>0</v>
      </c>
      <c r="J197" s="151">
        <f>SUM($H$18:$H197)</f>
        <v>2728155.8527217521</v>
      </c>
    </row>
    <row r="198" spans="1:10" x14ac:dyDescent="0.2">
      <c r="A198" s="154">
        <f>IF(Values_Entered,A197+1,"")</f>
        <v>181</v>
      </c>
      <c r="B198" s="153">
        <f t="shared" si="16"/>
        <v>59841</v>
      </c>
      <c r="C198" s="151">
        <f t="shared" si="22"/>
        <v>0</v>
      </c>
      <c r="D198" s="151">
        <f t="shared" si="17"/>
        <v>1136407.7926360879</v>
      </c>
      <c r="E198" s="152">
        <f t="shared" si="18"/>
        <v>0</v>
      </c>
      <c r="F198" s="151">
        <f t="shared" si="19"/>
        <v>0</v>
      </c>
      <c r="G198" s="151">
        <f t="shared" si="20"/>
        <v>0</v>
      </c>
      <c r="H198" s="151">
        <f t="shared" si="23"/>
        <v>0</v>
      </c>
      <c r="I198" s="151">
        <f t="shared" si="21"/>
        <v>0</v>
      </c>
      <c r="J198" s="151">
        <f>SUM($H$18:$H198)</f>
        <v>2728155.8527217521</v>
      </c>
    </row>
    <row r="199" spans="1:10" x14ac:dyDescent="0.2">
      <c r="A199" s="154">
        <f>IF(Values_Entered,A198+1,"")</f>
        <v>182</v>
      </c>
      <c r="B199" s="153">
        <f t="shared" si="16"/>
        <v>59933</v>
      </c>
      <c r="C199" s="151">
        <f t="shared" si="22"/>
        <v>0</v>
      </c>
      <c r="D199" s="151">
        <f t="shared" si="17"/>
        <v>1136407.7926360879</v>
      </c>
      <c r="E199" s="152">
        <f t="shared" si="18"/>
        <v>0</v>
      </c>
      <c r="F199" s="151">
        <f t="shared" si="19"/>
        <v>0</v>
      </c>
      <c r="G199" s="151">
        <f t="shared" si="20"/>
        <v>0</v>
      </c>
      <c r="H199" s="151">
        <f t="shared" si="23"/>
        <v>0</v>
      </c>
      <c r="I199" s="151">
        <f t="shared" si="21"/>
        <v>0</v>
      </c>
      <c r="J199" s="151">
        <f>SUM($H$18:$H199)</f>
        <v>2728155.8527217521</v>
      </c>
    </row>
    <row r="200" spans="1:10" x14ac:dyDescent="0.2">
      <c r="A200" s="154">
        <f>IF(Values_Entered,A199+1,"")</f>
        <v>183</v>
      </c>
      <c r="B200" s="153">
        <f t="shared" si="16"/>
        <v>60023</v>
      </c>
      <c r="C200" s="151">
        <f t="shared" si="22"/>
        <v>0</v>
      </c>
      <c r="D200" s="151">
        <f t="shared" si="17"/>
        <v>1136407.7926360879</v>
      </c>
      <c r="E200" s="152">
        <f t="shared" si="18"/>
        <v>0</v>
      </c>
      <c r="F200" s="151">
        <f t="shared" si="19"/>
        <v>0</v>
      </c>
      <c r="G200" s="151">
        <f t="shared" si="20"/>
        <v>0</v>
      </c>
      <c r="H200" s="151">
        <f t="shared" si="23"/>
        <v>0</v>
      </c>
      <c r="I200" s="151">
        <f t="shared" si="21"/>
        <v>0</v>
      </c>
      <c r="J200" s="151">
        <f>SUM($H$18:$H200)</f>
        <v>2728155.8527217521</v>
      </c>
    </row>
    <row r="201" spans="1:10" x14ac:dyDescent="0.2">
      <c r="A201" s="154">
        <f>IF(Values_Entered,A200+1,"")</f>
        <v>184</v>
      </c>
      <c r="B201" s="153">
        <f t="shared" si="16"/>
        <v>60115</v>
      </c>
      <c r="C201" s="151">
        <f t="shared" si="22"/>
        <v>0</v>
      </c>
      <c r="D201" s="151">
        <f t="shared" si="17"/>
        <v>1136407.7926360879</v>
      </c>
      <c r="E201" s="152">
        <f t="shared" si="18"/>
        <v>0</v>
      </c>
      <c r="F201" s="151">
        <f t="shared" si="19"/>
        <v>0</v>
      </c>
      <c r="G201" s="151">
        <f t="shared" si="20"/>
        <v>0</v>
      </c>
      <c r="H201" s="151">
        <f t="shared" si="23"/>
        <v>0</v>
      </c>
      <c r="I201" s="151">
        <f t="shared" si="21"/>
        <v>0</v>
      </c>
      <c r="J201" s="151">
        <f>SUM($H$18:$H201)</f>
        <v>2728155.8527217521</v>
      </c>
    </row>
    <row r="202" spans="1:10" x14ac:dyDescent="0.2">
      <c r="A202" s="154">
        <f>IF(Values_Entered,A201+1,"")</f>
        <v>185</v>
      </c>
      <c r="B202" s="153">
        <f t="shared" si="16"/>
        <v>60207</v>
      </c>
      <c r="C202" s="151">
        <f t="shared" si="22"/>
        <v>0</v>
      </c>
      <c r="D202" s="151">
        <f t="shared" si="17"/>
        <v>1136407.7926360879</v>
      </c>
      <c r="E202" s="152">
        <f t="shared" si="18"/>
        <v>0</v>
      </c>
      <c r="F202" s="151">
        <f t="shared" si="19"/>
        <v>0</v>
      </c>
      <c r="G202" s="151">
        <f t="shared" si="20"/>
        <v>0</v>
      </c>
      <c r="H202" s="151">
        <f t="shared" si="23"/>
        <v>0</v>
      </c>
      <c r="I202" s="151">
        <f t="shared" si="21"/>
        <v>0</v>
      </c>
      <c r="J202" s="151">
        <f>SUM($H$18:$H202)</f>
        <v>2728155.8527217521</v>
      </c>
    </row>
    <row r="203" spans="1:10" x14ac:dyDescent="0.2">
      <c r="A203" s="154">
        <f>IF(Values_Entered,A202+1,"")</f>
        <v>186</v>
      </c>
      <c r="B203" s="153">
        <f t="shared" si="16"/>
        <v>60299</v>
      </c>
      <c r="C203" s="151">
        <f t="shared" si="22"/>
        <v>0</v>
      </c>
      <c r="D203" s="151">
        <f t="shared" si="17"/>
        <v>1136407.7926360879</v>
      </c>
      <c r="E203" s="152">
        <f t="shared" si="18"/>
        <v>0</v>
      </c>
      <c r="F203" s="151">
        <f t="shared" si="19"/>
        <v>0</v>
      </c>
      <c r="G203" s="151">
        <f t="shared" si="20"/>
        <v>0</v>
      </c>
      <c r="H203" s="151">
        <f t="shared" si="23"/>
        <v>0</v>
      </c>
      <c r="I203" s="151">
        <f t="shared" si="21"/>
        <v>0</v>
      </c>
      <c r="J203" s="151">
        <f>SUM($H$18:$H203)</f>
        <v>2728155.8527217521</v>
      </c>
    </row>
    <row r="204" spans="1:10" x14ac:dyDescent="0.2">
      <c r="A204" s="154">
        <f>IF(Values_Entered,A203+1,"")</f>
        <v>187</v>
      </c>
      <c r="B204" s="153">
        <f t="shared" si="16"/>
        <v>60388</v>
      </c>
      <c r="C204" s="151">
        <f t="shared" si="22"/>
        <v>0</v>
      </c>
      <c r="D204" s="151">
        <f t="shared" si="17"/>
        <v>1136407.7926360879</v>
      </c>
      <c r="E204" s="152">
        <f t="shared" si="18"/>
        <v>0</v>
      </c>
      <c r="F204" s="151">
        <f t="shared" si="19"/>
        <v>0</v>
      </c>
      <c r="G204" s="151">
        <f t="shared" si="20"/>
        <v>0</v>
      </c>
      <c r="H204" s="151">
        <f t="shared" si="23"/>
        <v>0</v>
      </c>
      <c r="I204" s="151">
        <f t="shared" si="21"/>
        <v>0</v>
      </c>
      <c r="J204" s="151">
        <f>SUM($H$18:$H204)</f>
        <v>2728155.8527217521</v>
      </c>
    </row>
    <row r="205" spans="1:10" x14ac:dyDescent="0.2">
      <c r="A205" s="154">
        <f>IF(Values_Entered,A204+1,"")</f>
        <v>188</v>
      </c>
      <c r="B205" s="153">
        <f t="shared" si="16"/>
        <v>60480</v>
      </c>
      <c r="C205" s="151">
        <f t="shared" si="22"/>
        <v>0</v>
      </c>
      <c r="D205" s="151">
        <f t="shared" si="17"/>
        <v>1136407.7926360879</v>
      </c>
      <c r="E205" s="152">
        <f t="shared" si="18"/>
        <v>0</v>
      </c>
      <c r="F205" s="151">
        <f t="shared" si="19"/>
        <v>0</v>
      </c>
      <c r="G205" s="151">
        <f t="shared" si="20"/>
        <v>0</v>
      </c>
      <c r="H205" s="151">
        <f t="shared" si="23"/>
        <v>0</v>
      </c>
      <c r="I205" s="151">
        <f t="shared" si="21"/>
        <v>0</v>
      </c>
      <c r="J205" s="151">
        <f>SUM($H$18:$H205)</f>
        <v>2728155.8527217521</v>
      </c>
    </row>
    <row r="206" spans="1:10" x14ac:dyDescent="0.2">
      <c r="A206" s="154">
        <f>IF(Values_Entered,A205+1,"")</f>
        <v>189</v>
      </c>
      <c r="B206" s="153">
        <f t="shared" si="16"/>
        <v>60572</v>
      </c>
      <c r="C206" s="151">
        <f t="shared" si="22"/>
        <v>0</v>
      </c>
      <c r="D206" s="151">
        <f t="shared" si="17"/>
        <v>1136407.7926360879</v>
      </c>
      <c r="E206" s="152">
        <f t="shared" si="18"/>
        <v>0</v>
      </c>
      <c r="F206" s="151">
        <f t="shared" si="19"/>
        <v>0</v>
      </c>
      <c r="G206" s="151">
        <f t="shared" si="20"/>
        <v>0</v>
      </c>
      <c r="H206" s="151">
        <f t="shared" si="23"/>
        <v>0</v>
      </c>
      <c r="I206" s="151">
        <f t="shared" si="21"/>
        <v>0</v>
      </c>
      <c r="J206" s="151">
        <f>SUM($H$18:$H206)</f>
        <v>2728155.8527217521</v>
      </c>
    </row>
    <row r="207" spans="1:10" x14ac:dyDescent="0.2">
      <c r="A207" s="154">
        <f>IF(Values_Entered,A206+1,"")</f>
        <v>190</v>
      </c>
      <c r="B207" s="153">
        <f t="shared" si="16"/>
        <v>60664</v>
      </c>
      <c r="C207" s="151">
        <f t="shared" si="22"/>
        <v>0</v>
      </c>
      <c r="D207" s="151">
        <f t="shared" si="17"/>
        <v>1136407.7926360879</v>
      </c>
      <c r="E207" s="152">
        <f t="shared" si="18"/>
        <v>0</v>
      </c>
      <c r="F207" s="151">
        <f t="shared" si="19"/>
        <v>0</v>
      </c>
      <c r="G207" s="151">
        <f t="shared" si="20"/>
        <v>0</v>
      </c>
      <c r="H207" s="151">
        <f t="shared" si="23"/>
        <v>0</v>
      </c>
      <c r="I207" s="151">
        <f t="shared" si="21"/>
        <v>0</v>
      </c>
      <c r="J207" s="151">
        <f>SUM($H$18:$H207)</f>
        <v>2728155.8527217521</v>
      </c>
    </row>
    <row r="208" spans="1:10" x14ac:dyDescent="0.2">
      <c r="A208" s="154">
        <f>IF(Values_Entered,A207+1,"")</f>
        <v>191</v>
      </c>
      <c r="B208" s="153">
        <f t="shared" si="16"/>
        <v>60753</v>
      </c>
      <c r="C208" s="151">
        <f t="shared" si="22"/>
        <v>0</v>
      </c>
      <c r="D208" s="151">
        <f t="shared" si="17"/>
        <v>1136407.7926360879</v>
      </c>
      <c r="E208" s="152">
        <f t="shared" si="18"/>
        <v>0</v>
      </c>
      <c r="F208" s="151">
        <f t="shared" si="19"/>
        <v>0</v>
      </c>
      <c r="G208" s="151">
        <f t="shared" si="20"/>
        <v>0</v>
      </c>
      <c r="H208" s="151">
        <f t="shared" si="23"/>
        <v>0</v>
      </c>
      <c r="I208" s="151">
        <f t="shared" si="21"/>
        <v>0</v>
      </c>
      <c r="J208" s="151">
        <f>SUM($H$18:$H208)</f>
        <v>2728155.8527217521</v>
      </c>
    </row>
    <row r="209" spans="1:10" x14ac:dyDescent="0.2">
      <c r="A209" s="154">
        <f>IF(Values_Entered,A208+1,"")</f>
        <v>192</v>
      </c>
      <c r="B209" s="153">
        <f t="shared" si="16"/>
        <v>60845</v>
      </c>
      <c r="C209" s="151">
        <f t="shared" si="22"/>
        <v>0</v>
      </c>
      <c r="D209" s="151">
        <f t="shared" si="17"/>
        <v>1136407.7926360879</v>
      </c>
      <c r="E209" s="152">
        <f t="shared" si="18"/>
        <v>0</v>
      </c>
      <c r="F209" s="151">
        <f t="shared" si="19"/>
        <v>0</v>
      </c>
      <c r="G209" s="151">
        <f t="shared" si="20"/>
        <v>0</v>
      </c>
      <c r="H209" s="151">
        <f t="shared" si="23"/>
        <v>0</v>
      </c>
      <c r="I209" s="151">
        <f t="shared" si="21"/>
        <v>0</v>
      </c>
      <c r="J209" s="151">
        <f>SUM($H$18:$H209)</f>
        <v>2728155.8527217521</v>
      </c>
    </row>
    <row r="210" spans="1:10" x14ac:dyDescent="0.2">
      <c r="A210" s="154">
        <f>IF(Values_Entered,A209+1,"")</f>
        <v>193</v>
      </c>
      <c r="B210" s="153">
        <f t="shared" ref="B210:B273" si="24">IF(Pay_Num&lt;&gt;"",DATE(YEAR(Loan_Start),MONTH(Loan_Start)+(Pay_Num)*12/Num_Pmt_Per_Year,DAY(Loan_Start)),"")</f>
        <v>60937</v>
      </c>
      <c r="C210" s="151">
        <f t="shared" si="22"/>
        <v>0</v>
      </c>
      <c r="D210" s="151">
        <f t="shared" ref="D210:D273" si="25">IF(Pay_Num&lt;&gt;"",Scheduled_Monthly_Payment,"")</f>
        <v>1136407.7926360879</v>
      </c>
      <c r="E210" s="152">
        <f t="shared" ref="E210:E273" si="26">IF(AND(Pay_Num&lt;&gt;"",Sched_Pay+Scheduled_Extra_Payments&lt;Beg_Bal),Scheduled_Extra_Payments,IF(AND(Pay_Num&lt;&gt;"",Beg_Bal-Sched_Pay&gt;0),Beg_Bal-Sched_Pay,IF(Pay_Num&lt;&gt;"",0,"")))</f>
        <v>0</v>
      </c>
      <c r="F210" s="151">
        <f t="shared" ref="F210:F273" si="27">IF(AND(Pay_Num&lt;&gt;"",Sched_Pay+Extra_Pay&lt;Beg_Bal),Sched_Pay+Extra_Pay,IF(Pay_Num&lt;&gt;"",Beg_Bal,""))</f>
        <v>0</v>
      </c>
      <c r="G210" s="151">
        <f t="shared" ref="G210:G273" si="28">IF(Pay_Num&lt;&gt;"",Total_Pay-Int,"")</f>
        <v>0</v>
      </c>
      <c r="H210" s="151">
        <f t="shared" si="23"/>
        <v>0</v>
      </c>
      <c r="I210" s="151">
        <f t="shared" ref="I210:I273" si="29">IF(AND(Pay_Num&lt;&gt;"",Sched_Pay+Extra_Pay&lt;Beg_Bal),Beg_Bal-Princ,IF(Pay_Num&lt;&gt;"",0,""))</f>
        <v>0</v>
      </c>
      <c r="J210" s="151">
        <f>SUM($H$18:$H210)</f>
        <v>2728155.8527217521</v>
      </c>
    </row>
    <row r="211" spans="1:10" x14ac:dyDescent="0.2">
      <c r="A211" s="154">
        <f>IF(Values_Entered,A210+1,"")</f>
        <v>194</v>
      </c>
      <c r="B211" s="153">
        <f t="shared" si="24"/>
        <v>61029</v>
      </c>
      <c r="C211" s="151">
        <f t="shared" ref="C211:C274" si="30">IF(Pay_Num&lt;&gt;"",I210,"")</f>
        <v>0</v>
      </c>
      <c r="D211" s="151">
        <f t="shared" si="25"/>
        <v>1136407.7926360879</v>
      </c>
      <c r="E211" s="152">
        <f t="shared" si="26"/>
        <v>0</v>
      </c>
      <c r="F211" s="151">
        <f t="shared" si="27"/>
        <v>0</v>
      </c>
      <c r="G211" s="151">
        <f t="shared" si="28"/>
        <v>0</v>
      </c>
      <c r="H211" s="151">
        <f t="shared" ref="H211:H274" si="31">IF(Pay_Num&lt;&gt;"",Beg_Bal*Interest_Rate/Num_Pmt_Per_Year,"")</f>
        <v>0</v>
      </c>
      <c r="I211" s="151">
        <f t="shared" si="29"/>
        <v>0</v>
      </c>
      <c r="J211" s="151">
        <f>SUM($H$18:$H211)</f>
        <v>2728155.8527217521</v>
      </c>
    </row>
    <row r="212" spans="1:10" x14ac:dyDescent="0.2">
      <c r="A212" s="154">
        <f>IF(Values_Entered,A211+1,"")</f>
        <v>195</v>
      </c>
      <c r="B212" s="153">
        <f t="shared" si="24"/>
        <v>61118</v>
      </c>
      <c r="C212" s="151">
        <f t="shared" si="30"/>
        <v>0</v>
      </c>
      <c r="D212" s="151">
        <f t="shared" si="25"/>
        <v>1136407.7926360879</v>
      </c>
      <c r="E212" s="152">
        <f t="shared" si="26"/>
        <v>0</v>
      </c>
      <c r="F212" s="151">
        <f t="shared" si="27"/>
        <v>0</v>
      </c>
      <c r="G212" s="151">
        <f t="shared" si="28"/>
        <v>0</v>
      </c>
      <c r="H212" s="151">
        <f t="shared" si="31"/>
        <v>0</v>
      </c>
      <c r="I212" s="151">
        <f t="shared" si="29"/>
        <v>0</v>
      </c>
      <c r="J212" s="151">
        <f>SUM($H$18:$H212)</f>
        <v>2728155.8527217521</v>
      </c>
    </row>
    <row r="213" spans="1:10" x14ac:dyDescent="0.2">
      <c r="A213" s="154">
        <f>IF(Values_Entered,A212+1,"")</f>
        <v>196</v>
      </c>
      <c r="B213" s="153">
        <f t="shared" si="24"/>
        <v>61210</v>
      </c>
      <c r="C213" s="151">
        <f t="shared" si="30"/>
        <v>0</v>
      </c>
      <c r="D213" s="151">
        <f t="shared" si="25"/>
        <v>1136407.7926360879</v>
      </c>
      <c r="E213" s="152">
        <f t="shared" si="26"/>
        <v>0</v>
      </c>
      <c r="F213" s="151">
        <f t="shared" si="27"/>
        <v>0</v>
      </c>
      <c r="G213" s="151">
        <f t="shared" si="28"/>
        <v>0</v>
      </c>
      <c r="H213" s="151">
        <f t="shared" si="31"/>
        <v>0</v>
      </c>
      <c r="I213" s="151">
        <f t="shared" si="29"/>
        <v>0</v>
      </c>
      <c r="J213" s="151">
        <f>SUM($H$18:$H213)</f>
        <v>2728155.8527217521</v>
      </c>
    </row>
    <row r="214" spans="1:10" x14ac:dyDescent="0.2">
      <c r="A214" s="154">
        <f>IF(Values_Entered,A213+1,"")</f>
        <v>197</v>
      </c>
      <c r="B214" s="153">
        <f t="shared" si="24"/>
        <v>61302</v>
      </c>
      <c r="C214" s="151">
        <f t="shared" si="30"/>
        <v>0</v>
      </c>
      <c r="D214" s="151">
        <f t="shared" si="25"/>
        <v>1136407.7926360879</v>
      </c>
      <c r="E214" s="152">
        <f t="shared" si="26"/>
        <v>0</v>
      </c>
      <c r="F214" s="151">
        <f t="shared" si="27"/>
        <v>0</v>
      </c>
      <c r="G214" s="151">
        <f t="shared" si="28"/>
        <v>0</v>
      </c>
      <c r="H214" s="151">
        <f t="shared" si="31"/>
        <v>0</v>
      </c>
      <c r="I214" s="151">
        <f t="shared" si="29"/>
        <v>0</v>
      </c>
      <c r="J214" s="151">
        <f>SUM($H$18:$H214)</f>
        <v>2728155.8527217521</v>
      </c>
    </row>
    <row r="215" spans="1:10" x14ac:dyDescent="0.2">
      <c r="A215" s="154">
        <f>IF(Values_Entered,A214+1,"")</f>
        <v>198</v>
      </c>
      <c r="B215" s="153">
        <f t="shared" si="24"/>
        <v>61394</v>
      </c>
      <c r="C215" s="151">
        <f t="shared" si="30"/>
        <v>0</v>
      </c>
      <c r="D215" s="151">
        <f t="shared" si="25"/>
        <v>1136407.7926360879</v>
      </c>
      <c r="E215" s="152">
        <f t="shared" si="26"/>
        <v>0</v>
      </c>
      <c r="F215" s="151">
        <f t="shared" si="27"/>
        <v>0</v>
      </c>
      <c r="G215" s="151">
        <f t="shared" si="28"/>
        <v>0</v>
      </c>
      <c r="H215" s="151">
        <f t="shared" si="31"/>
        <v>0</v>
      </c>
      <c r="I215" s="151">
        <f t="shared" si="29"/>
        <v>0</v>
      </c>
      <c r="J215" s="151">
        <f>SUM($H$18:$H215)</f>
        <v>2728155.8527217521</v>
      </c>
    </row>
    <row r="216" spans="1:10" x14ac:dyDescent="0.2">
      <c r="A216" s="154">
        <f>IF(Values_Entered,A215+1,"")</f>
        <v>199</v>
      </c>
      <c r="B216" s="153">
        <f t="shared" si="24"/>
        <v>61484</v>
      </c>
      <c r="C216" s="151">
        <f t="shared" si="30"/>
        <v>0</v>
      </c>
      <c r="D216" s="151">
        <f t="shared" si="25"/>
        <v>1136407.7926360879</v>
      </c>
      <c r="E216" s="152">
        <f t="shared" si="26"/>
        <v>0</v>
      </c>
      <c r="F216" s="151">
        <f t="shared" si="27"/>
        <v>0</v>
      </c>
      <c r="G216" s="151">
        <f t="shared" si="28"/>
        <v>0</v>
      </c>
      <c r="H216" s="151">
        <f t="shared" si="31"/>
        <v>0</v>
      </c>
      <c r="I216" s="151">
        <f t="shared" si="29"/>
        <v>0</v>
      </c>
      <c r="J216" s="151">
        <f>SUM($H$18:$H216)</f>
        <v>2728155.8527217521</v>
      </c>
    </row>
    <row r="217" spans="1:10" x14ac:dyDescent="0.2">
      <c r="A217" s="154">
        <f>IF(Values_Entered,A216+1,"")</f>
        <v>200</v>
      </c>
      <c r="B217" s="153">
        <f t="shared" si="24"/>
        <v>61576</v>
      </c>
      <c r="C217" s="151">
        <f t="shared" si="30"/>
        <v>0</v>
      </c>
      <c r="D217" s="151">
        <f t="shared" si="25"/>
        <v>1136407.7926360879</v>
      </c>
      <c r="E217" s="152">
        <f t="shared" si="26"/>
        <v>0</v>
      </c>
      <c r="F217" s="151">
        <f t="shared" si="27"/>
        <v>0</v>
      </c>
      <c r="G217" s="151">
        <f t="shared" si="28"/>
        <v>0</v>
      </c>
      <c r="H217" s="151">
        <f t="shared" si="31"/>
        <v>0</v>
      </c>
      <c r="I217" s="151">
        <f t="shared" si="29"/>
        <v>0</v>
      </c>
      <c r="J217" s="151">
        <f>SUM($H$18:$H217)</f>
        <v>2728155.8527217521</v>
      </c>
    </row>
    <row r="218" spans="1:10" x14ac:dyDescent="0.2">
      <c r="A218" s="154">
        <f>IF(Values_Entered,A217+1,"")</f>
        <v>201</v>
      </c>
      <c r="B218" s="153">
        <f t="shared" si="24"/>
        <v>61668</v>
      </c>
      <c r="C218" s="151">
        <f t="shared" si="30"/>
        <v>0</v>
      </c>
      <c r="D218" s="151">
        <f t="shared" si="25"/>
        <v>1136407.7926360879</v>
      </c>
      <c r="E218" s="152">
        <f t="shared" si="26"/>
        <v>0</v>
      </c>
      <c r="F218" s="151">
        <f t="shared" si="27"/>
        <v>0</v>
      </c>
      <c r="G218" s="151">
        <f t="shared" si="28"/>
        <v>0</v>
      </c>
      <c r="H218" s="151">
        <f t="shared" si="31"/>
        <v>0</v>
      </c>
      <c r="I218" s="151">
        <f t="shared" si="29"/>
        <v>0</v>
      </c>
      <c r="J218" s="151">
        <f>SUM($H$18:$H218)</f>
        <v>2728155.8527217521</v>
      </c>
    </row>
    <row r="219" spans="1:10" x14ac:dyDescent="0.2">
      <c r="A219" s="154">
        <f>IF(Values_Entered,A218+1,"")</f>
        <v>202</v>
      </c>
      <c r="B219" s="153">
        <f t="shared" si="24"/>
        <v>61760</v>
      </c>
      <c r="C219" s="151">
        <f t="shared" si="30"/>
        <v>0</v>
      </c>
      <c r="D219" s="151">
        <f t="shared" si="25"/>
        <v>1136407.7926360879</v>
      </c>
      <c r="E219" s="152">
        <f t="shared" si="26"/>
        <v>0</v>
      </c>
      <c r="F219" s="151">
        <f t="shared" si="27"/>
        <v>0</v>
      </c>
      <c r="G219" s="151">
        <f t="shared" si="28"/>
        <v>0</v>
      </c>
      <c r="H219" s="151">
        <f t="shared" si="31"/>
        <v>0</v>
      </c>
      <c r="I219" s="151">
        <f t="shared" si="29"/>
        <v>0</v>
      </c>
      <c r="J219" s="151">
        <f>SUM($H$18:$H219)</f>
        <v>2728155.8527217521</v>
      </c>
    </row>
    <row r="220" spans="1:10" x14ac:dyDescent="0.2">
      <c r="A220" s="154">
        <f>IF(Values_Entered,A219+1,"")</f>
        <v>203</v>
      </c>
      <c r="B220" s="153">
        <f t="shared" si="24"/>
        <v>61849</v>
      </c>
      <c r="C220" s="151">
        <f t="shared" si="30"/>
        <v>0</v>
      </c>
      <c r="D220" s="151">
        <f t="shared" si="25"/>
        <v>1136407.7926360879</v>
      </c>
      <c r="E220" s="152">
        <f t="shared" si="26"/>
        <v>0</v>
      </c>
      <c r="F220" s="151">
        <f t="shared" si="27"/>
        <v>0</v>
      </c>
      <c r="G220" s="151">
        <f t="shared" si="28"/>
        <v>0</v>
      </c>
      <c r="H220" s="151">
        <f t="shared" si="31"/>
        <v>0</v>
      </c>
      <c r="I220" s="151">
        <f t="shared" si="29"/>
        <v>0</v>
      </c>
      <c r="J220" s="151">
        <f>SUM($H$18:$H220)</f>
        <v>2728155.8527217521</v>
      </c>
    </row>
    <row r="221" spans="1:10" x14ac:dyDescent="0.2">
      <c r="A221" s="154">
        <f>IF(Values_Entered,A220+1,"")</f>
        <v>204</v>
      </c>
      <c r="B221" s="153">
        <f t="shared" si="24"/>
        <v>61941</v>
      </c>
      <c r="C221" s="151">
        <f t="shared" si="30"/>
        <v>0</v>
      </c>
      <c r="D221" s="151">
        <f t="shared" si="25"/>
        <v>1136407.7926360879</v>
      </c>
      <c r="E221" s="152">
        <f t="shared" si="26"/>
        <v>0</v>
      </c>
      <c r="F221" s="151">
        <f t="shared" si="27"/>
        <v>0</v>
      </c>
      <c r="G221" s="151">
        <f t="shared" si="28"/>
        <v>0</v>
      </c>
      <c r="H221" s="151">
        <f t="shared" si="31"/>
        <v>0</v>
      </c>
      <c r="I221" s="151">
        <f t="shared" si="29"/>
        <v>0</v>
      </c>
      <c r="J221" s="151">
        <f>SUM($H$18:$H221)</f>
        <v>2728155.8527217521</v>
      </c>
    </row>
    <row r="222" spans="1:10" x14ac:dyDescent="0.2">
      <c r="A222" s="154">
        <f>IF(Values_Entered,A221+1,"")</f>
        <v>205</v>
      </c>
      <c r="B222" s="153">
        <f t="shared" si="24"/>
        <v>62033</v>
      </c>
      <c r="C222" s="151">
        <f t="shared" si="30"/>
        <v>0</v>
      </c>
      <c r="D222" s="151">
        <f t="shared" si="25"/>
        <v>1136407.7926360879</v>
      </c>
      <c r="E222" s="152">
        <f t="shared" si="26"/>
        <v>0</v>
      </c>
      <c r="F222" s="151">
        <f t="shared" si="27"/>
        <v>0</v>
      </c>
      <c r="G222" s="151">
        <f t="shared" si="28"/>
        <v>0</v>
      </c>
      <c r="H222" s="151">
        <f t="shared" si="31"/>
        <v>0</v>
      </c>
      <c r="I222" s="151">
        <f t="shared" si="29"/>
        <v>0</v>
      </c>
      <c r="J222" s="151">
        <f>SUM($H$18:$H222)</f>
        <v>2728155.8527217521</v>
      </c>
    </row>
    <row r="223" spans="1:10" x14ac:dyDescent="0.2">
      <c r="A223" s="154">
        <f>IF(Values_Entered,A222+1,"")</f>
        <v>206</v>
      </c>
      <c r="B223" s="153">
        <f t="shared" si="24"/>
        <v>62125</v>
      </c>
      <c r="C223" s="151">
        <f t="shared" si="30"/>
        <v>0</v>
      </c>
      <c r="D223" s="151">
        <f t="shared" si="25"/>
        <v>1136407.7926360879</v>
      </c>
      <c r="E223" s="152">
        <f t="shared" si="26"/>
        <v>0</v>
      </c>
      <c r="F223" s="151">
        <f t="shared" si="27"/>
        <v>0</v>
      </c>
      <c r="G223" s="151">
        <f t="shared" si="28"/>
        <v>0</v>
      </c>
      <c r="H223" s="151">
        <f t="shared" si="31"/>
        <v>0</v>
      </c>
      <c r="I223" s="151">
        <f t="shared" si="29"/>
        <v>0</v>
      </c>
      <c r="J223" s="151">
        <f>SUM($H$18:$H223)</f>
        <v>2728155.8527217521</v>
      </c>
    </row>
    <row r="224" spans="1:10" x14ac:dyDescent="0.2">
      <c r="A224" s="154">
        <f>IF(Values_Entered,A223+1,"")</f>
        <v>207</v>
      </c>
      <c r="B224" s="153">
        <f t="shared" si="24"/>
        <v>62214</v>
      </c>
      <c r="C224" s="151">
        <f t="shared" si="30"/>
        <v>0</v>
      </c>
      <c r="D224" s="151">
        <f t="shared" si="25"/>
        <v>1136407.7926360879</v>
      </c>
      <c r="E224" s="152">
        <f t="shared" si="26"/>
        <v>0</v>
      </c>
      <c r="F224" s="151">
        <f t="shared" si="27"/>
        <v>0</v>
      </c>
      <c r="G224" s="151">
        <f t="shared" si="28"/>
        <v>0</v>
      </c>
      <c r="H224" s="151">
        <f t="shared" si="31"/>
        <v>0</v>
      </c>
      <c r="I224" s="151">
        <f t="shared" si="29"/>
        <v>0</v>
      </c>
      <c r="J224" s="151">
        <f>SUM($H$18:$H224)</f>
        <v>2728155.8527217521</v>
      </c>
    </row>
    <row r="225" spans="1:10" x14ac:dyDescent="0.2">
      <c r="A225" s="154">
        <f>IF(Values_Entered,A224+1,"")</f>
        <v>208</v>
      </c>
      <c r="B225" s="153">
        <f t="shared" si="24"/>
        <v>62306</v>
      </c>
      <c r="C225" s="151">
        <f t="shared" si="30"/>
        <v>0</v>
      </c>
      <c r="D225" s="151">
        <f t="shared" si="25"/>
        <v>1136407.7926360879</v>
      </c>
      <c r="E225" s="152">
        <f t="shared" si="26"/>
        <v>0</v>
      </c>
      <c r="F225" s="151">
        <f t="shared" si="27"/>
        <v>0</v>
      </c>
      <c r="G225" s="151">
        <f t="shared" si="28"/>
        <v>0</v>
      </c>
      <c r="H225" s="151">
        <f t="shared" si="31"/>
        <v>0</v>
      </c>
      <c r="I225" s="151">
        <f t="shared" si="29"/>
        <v>0</v>
      </c>
      <c r="J225" s="151">
        <f>SUM($H$18:$H225)</f>
        <v>2728155.8527217521</v>
      </c>
    </row>
    <row r="226" spans="1:10" x14ac:dyDescent="0.2">
      <c r="A226" s="154">
        <f>IF(Values_Entered,A225+1,"")</f>
        <v>209</v>
      </c>
      <c r="B226" s="153">
        <f t="shared" si="24"/>
        <v>62398</v>
      </c>
      <c r="C226" s="151">
        <f t="shared" si="30"/>
        <v>0</v>
      </c>
      <c r="D226" s="151">
        <f t="shared" si="25"/>
        <v>1136407.7926360879</v>
      </c>
      <c r="E226" s="152">
        <f t="shared" si="26"/>
        <v>0</v>
      </c>
      <c r="F226" s="151">
        <f t="shared" si="27"/>
        <v>0</v>
      </c>
      <c r="G226" s="151">
        <f t="shared" si="28"/>
        <v>0</v>
      </c>
      <c r="H226" s="151">
        <f t="shared" si="31"/>
        <v>0</v>
      </c>
      <c r="I226" s="151">
        <f t="shared" si="29"/>
        <v>0</v>
      </c>
      <c r="J226" s="151">
        <f>SUM($H$18:$H226)</f>
        <v>2728155.8527217521</v>
      </c>
    </row>
    <row r="227" spans="1:10" x14ac:dyDescent="0.2">
      <c r="A227" s="154">
        <f>IF(Values_Entered,A226+1,"")</f>
        <v>210</v>
      </c>
      <c r="B227" s="153">
        <f t="shared" si="24"/>
        <v>62490</v>
      </c>
      <c r="C227" s="151">
        <f t="shared" si="30"/>
        <v>0</v>
      </c>
      <c r="D227" s="151">
        <f t="shared" si="25"/>
        <v>1136407.7926360879</v>
      </c>
      <c r="E227" s="152">
        <f t="shared" si="26"/>
        <v>0</v>
      </c>
      <c r="F227" s="151">
        <f t="shared" si="27"/>
        <v>0</v>
      </c>
      <c r="G227" s="151">
        <f t="shared" si="28"/>
        <v>0</v>
      </c>
      <c r="H227" s="151">
        <f t="shared" si="31"/>
        <v>0</v>
      </c>
      <c r="I227" s="151">
        <f t="shared" si="29"/>
        <v>0</v>
      </c>
      <c r="J227" s="151">
        <f>SUM($H$18:$H227)</f>
        <v>2728155.8527217521</v>
      </c>
    </row>
    <row r="228" spans="1:10" x14ac:dyDescent="0.2">
      <c r="A228" s="154">
        <f>IF(Values_Entered,A227+1,"")</f>
        <v>211</v>
      </c>
      <c r="B228" s="153">
        <f t="shared" si="24"/>
        <v>62579</v>
      </c>
      <c r="C228" s="151">
        <f t="shared" si="30"/>
        <v>0</v>
      </c>
      <c r="D228" s="151">
        <f t="shared" si="25"/>
        <v>1136407.7926360879</v>
      </c>
      <c r="E228" s="152">
        <f t="shared" si="26"/>
        <v>0</v>
      </c>
      <c r="F228" s="151">
        <f t="shared" si="27"/>
        <v>0</v>
      </c>
      <c r="G228" s="151">
        <f t="shared" si="28"/>
        <v>0</v>
      </c>
      <c r="H228" s="151">
        <f t="shared" si="31"/>
        <v>0</v>
      </c>
      <c r="I228" s="151">
        <f t="shared" si="29"/>
        <v>0</v>
      </c>
      <c r="J228" s="151">
        <f>SUM($H$18:$H228)</f>
        <v>2728155.8527217521</v>
      </c>
    </row>
    <row r="229" spans="1:10" x14ac:dyDescent="0.2">
      <c r="A229" s="154">
        <f>IF(Values_Entered,A228+1,"")</f>
        <v>212</v>
      </c>
      <c r="B229" s="153">
        <f t="shared" si="24"/>
        <v>62671</v>
      </c>
      <c r="C229" s="151">
        <f t="shared" si="30"/>
        <v>0</v>
      </c>
      <c r="D229" s="151">
        <f t="shared" si="25"/>
        <v>1136407.7926360879</v>
      </c>
      <c r="E229" s="152">
        <f t="shared" si="26"/>
        <v>0</v>
      </c>
      <c r="F229" s="151">
        <f t="shared" si="27"/>
        <v>0</v>
      </c>
      <c r="G229" s="151">
        <f t="shared" si="28"/>
        <v>0</v>
      </c>
      <c r="H229" s="151">
        <f t="shared" si="31"/>
        <v>0</v>
      </c>
      <c r="I229" s="151">
        <f t="shared" si="29"/>
        <v>0</v>
      </c>
      <c r="J229" s="151">
        <f>SUM($H$18:$H229)</f>
        <v>2728155.8527217521</v>
      </c>
    </row>
    <row r="230" spans="1:10" x14ac:dyDescent="0.2">
      <c r="A230" s="154">
        <f>IF(Values_Entered,A229+1,"")</f>
        <v>213</v>
      </c>
      <c r="B230" s="153">
        <f t="shared" si="24"/>
        <v>62763</v>
      </c>
      <c r="C230" s="151">
        <f t="shared" si="30"/>
        <v>0</v>
      </c>
      <c r="D230" s="151">
        <f t="shared" si="25"/>
        <v>1136407.7926360879</v>
      </c>
      <c r="E230" s="152">
        <f t="shared" si="26"/>
        <v>0</v>
      </c>
      <c r="F230" s="151">
        <f t="shared" si="27"/>
        <v>0</v>
      </c>
      <c r="G230" s="151">
        <f t="shared" si="28"/>
        <v>0</v>
      </c>
      <c r="H230" s="151">
        <f t="shared" si="31"/>
        <v>0</v>
      </c>
      <c r="I230" s="151">
        <f t="shared" si="29"/>
        <v>0</v>
      </c>
      <c r="J230" s="151">
        <f>SUM($H$18:$H230)</f>
        <v>2728155.8527217521</v>
      </c>
    </row>
    <row r="231" spans="1:10" x14ac:dyDescent="0.2">
      <c r="A231" s="154">
        <f>IF(Values_Entered,A230+1,"")</f>
        <v>214</v>
      </c>
      <c r="B231" s="153">
        <f t="shared" si="24"/>
        <v>62855</v>
      </c>
      <c r="C231" s="151">
        <f t="shared" si="30"/>
        <v>0</v>
      </c>
      <c r="D231" s="151">
        <f t="shared" si="25"/>
        <v>1136407.7926360879</v>
      </c>
      <c r="E231" s="152">
        <f t="shared" si="26"/>
        <v>0</v>
      </c>
      <c r="F231" s="151">
        <f t="shared" si="27"/>
        <v>0</v>
      </c>
      <c r="G231" s="151">
        <f t="shared" si="28"/>
        <v>0</v>
      </c>
      <c r="H231" s="151">
        <f t="shared" si="31"/>
        <v>0</v>
      </c>
      <c r="I231" s="151">
        <f t="shared" si="29"/>
        <v>0</v>
      </c>
      <c r="J231" s="151">
        <f>SUM($H$18:$H231)</f>
        <v>2728155.8527217521</v>
      </c>
    </row>
    <row r="232" spans="1:10" x14ac:dyDescent="0.2">
      <c r="A232" s="154">
        <f>IF(Values_Entered,A231+1,"")</f>
        <v>215</v>
      </c>
      <c r="B232" s="153">
        <f t="shared" si="24"/>
        <v>62945</v>
      </c>
      <c r="C232" s="151">
        <f t="shared" si="30"/>
        <v>0</v>
      </c>
      <c r="D232" s="151">
        <f t="shared" si="25"/>
        <v>1136407.7926360879</v>
      </c>
      <c r="E232" s="152">
        <f t="shared" si="26"/>
        <v>0</v>
      </c>
      <c r="F232" s="151">
        <f t="shared" si="27"/>
        <v>0</v>
      </c>
      <c r="G232" s="151">
        <f t="shared" si="28"/>
        <v>0</v>
      </c>
      <c r="H232" s="151">
        <f t="shared" si="31"/>
        <v>0</v>
      </c>
      <c r="I232" s="151">
        <f t="shared" si="29"/>
        <v>0</v>
      </c>
      <c r="J232" s="151">
        <f>SUM($H$18:$H232)</f>
        <v>2728155.8527217521</v>
      </c>
    </row>
    <row r="233" spans="1:10" x14ac:dyDescent="0.2">
      <c r="A233" s="154">
        <f>IF(Values_Entered,A232+1,"")</f>
        <v>216</v>
      </c>
      <c r="B233" s="153">
        <f t="shared" si="24"/>
        <v>63037</v>
      </c>
      <c r="C233" s="151">
        <f t="shared" si="30"/>
        <v>0</v>
      </c>
      <c r="D233" s="151">
        <f t="shared" si="25"/>
        <v>1136407.7926360879</v>
      </c>
      <c r="E233" s="152">
        <f t="shared" si="26"/>
        <v>0</v>
      </c>
      <c r="F233" s="151">
        <f t="shared" si="27"/>
        <v>0</v>
      </c>
      <c r="G233" s="151">
        <f t="shared" si="28"/>
        <v>0</v>
      </c>
      <c r="H233" s="151">
        <f t="shared" si="31"/>
        <v>0</v>
      </c>
      <c r="I233" s="151">
        <f t="shared" si="29"/>
        <v>0</v>
      </c>
      <c r="J233" s="151">
        <f>SUM($H$18:$H233)</f>
        <v>2728155.8527217521</v>
      </c>
    </row>
    <row r="234" spans="1:10" x14ac:dyDescent="0.2">
      <c r="A234" s="154">
        <f>IF(Values_Entered,A233+1,"")</f>
        <v>217</v>
      </c>
      <c r="B234" s="153">
        <f t="shared" si="24"/>
        <v>63129</v>
      </c>
      <c r="C234" s="151">
        <f t="shared" si="30"/>
        <v>0</v>
      </c>
      <c r="D234" s="151">
        <f t="shared" si="25"/>
        <v>1136407.7926360879</v>
      </c>
      <c r="E234" s="152">
        <f t="shared" si="26"/>
        <v>0</v>
      </c>
      <c r="F234" s="151">
        <f t="shared" si="27"/>
        <v>0</v>
      </c>
      <c r="G234" s="151">
        <f t="shared" si="28"/>
        <v>0</v>
      </c>
      <c r="H234" s="151">
        <f t="shared" si="31"/>
        <v>0</v>
      </c>
      <c r="I234" s="151">
        <f t="shared" si="29"/>
        <v>0</v>
      </c>
      <c r="J234" s="151">
        <f>SUM($H$18:$H234)</f>
        <v>2728155.8527217521</v>
      </c>
    </row>
    <row r="235" spans="1:10" x14ac:dyDescent="0.2">
      <c r="A235" s="154">
        <f>IF(Values_Entered,A234+1,"")</f>
        <v>218</v>
      </c>
      <c r="B235" s="153">
        <f t="shared" si="24"/>
        <v>63221</v>
      </c>
      <c r="C235" s="151">
        <f t="shared" si="30"/>
        <v>0</v>
      </c>
      <c r="D235" s="151">
        <f t="shared" si="25"/>
        <v>1136407.7926360879</v>
      </c>
      <c r="E235" s="152">
        <f t="shared" si="26"/>
        <v>0</v>
      </c>
      <c r="F235" s="151">
        <f t="shared" si="27"/>
        <v>0</v>
      </c>
      <c r="G235" s="151">
        <f t="shared" si="28"/>
        <v>0</v>
      </c>
      <c r="H235" s="151">
        <f t="shared" si="31"/>
        <v>0</v>
      </c>
      <c r="I235" s="151">
        <f t="shared" si="29"/>
        <v>0</v>
      </c>
      <c r="J235" s="151">
        <f>SUM($H$18:$H235)</f>
        <v>2728155.8527217521</v>
      </c>
    </row>
    <row r="236" spans="1:10" x14ac:dyDescent="0.2">
      <c r="A236" s="154">
        <f>IF(Values_Entered,A235+1,"")</f>
        <v>219</v>
      </c>
      <c r="B236" s="153">
        <f t="shared" si="24"/>
        <v>63310</v>
      </c>
      <c r="C236" s="151">
        <f t="shared" si="30"/>
        <v>0</v>
      </c>
      <c r="D236" s="151">
        <f t="shared" si="25"/>
        <v>1136407.7926360879</v>
      </c>
      <c r="E236" s="152">
        <f t="shared" si="26"/>
        <v>0</v>
      </c>
      <c r="F236" s="151">
        <f t="shared" si="27"/>
        <v>0</v>
      </c>
      <c r="G236" s="151">
        <f t="shared" si="28"/>
        <v>0</v>
      </c>
      <c r="H236" s="151">
        <f t="shared" si="31"/>
        <v>0</v>
      </c>
      <c r="I236" s="151">
        <f t="shared" si="29"/>
        <v>0</v>
      </c>
      <c r="J236" s="151">
        <f>SUM($H$18:$H236)</f>
        <v>2728155.8527217521</v>
      </c>
    </row>
    <row r="237" spans="1:10" x14ac:dyDescent="0.2">
      <c r="A237" s="154">
        <f>IF(Values_Entered,A236+1,"")</f>
        <v>220</v>
      </c>
      <c r="B237" s="153">
        <f t="shared" si="24"/>
        <v>63402</v>
      </c>
      <c r="C237" s="151">
        <f t="shared" si="30"/>
        <v>0</v>
      </c>
      <c r="D237" s="151">
        <f t="shared" si="25"/>
        <v>1136407.7926360879</v>
      </c>
      <c r="E237" s="152">
        <f t="shared" si="26"/>
        <v>0</v>
      </c>
      <c r="F237" s="151">
        <f t="shared" si="27"/>
        <v>0</v>
      </c>
      <c r="G237" s="151">
        <f t="shared" si="28"/>
        <v>0</v>
      </c>
      <c r="H237" s="151">
        <f t="shared" si="31"/>
        <v>0</v>
      </c>
      <c r="I237" s="151">
        <f t="shared" si="29"/>
        <v>0</v>
      </c>
      <c r="J237" s="151">
        <f>SUM($H$18:$H237)</f>
        <v>2728155.8527217521</v>
      </c>
    </row>
    <row r="238" spans="1:10" x14ac:dyDescent="0.2">
      <c r="A238" s="154">
        <f>IF(Values_Entered,A237+1,"")</f>
        <v>221</v>
      </c>
      <c r="B238" s="153">
        <f t="shared" si="24"/>
        <v>63494</v>
      </c>
      <c r="C238" s="151">
        <f t="shared" si="30"/>
        <v>0</v>
      </c>
      <c r="D238" s="151">
        <f t="shared" si="25"/>
        <v>1136407.7926360879</v>
      </c>
      <c r="E238" s="152">
        <f t="shared" si="26"/>
        <v>0</v>
      </c>
      <c r="F238" s="151">
        <f t="shared" si="27"/>
        <v>0</v>
      </c>
      <c r="G238" s="151">
        <f t="shared" si="28"/>
        <v>0</v>
      </c>
      <c r="H238" s="151">
        <f t="shared" si="31"/>
        <v>0</v>
      </c>
      <c r="I238" s="151">
        <f t="shared" si="29"/>
        <v>0</v>
      </c>
      <c r="J238" s="151">
        <f>SUM($H$18:$H238)</f>
        <v>2728155.8527217521</v>
      </c>
    </row>
    <row r="239" spans="1:10" x14ac:dyDescent="0.2">
      <c r="A239" s="154">
        <f>IF(Values_Entered,A238+1,"")</f>
        <v>222</v>
      </c>
      <c r="B239" s="153">
        <f t="shared" si="24"/>
        <v>63586</v>
      </c>
      <c r="C239" s="151">
        <f t="shared" si="30"/>
        <v>0</v>
      </c>
      <c r="D239" s="151">
        <f t="shared" si="25"/>
        <v>1136407.7926360879</v>
      </c>
      <c r="E239" s="152">
        <f t="shared" si="26"/>
        <v>0</v>
      </c>
      <c r="F239" s="151">
        <f t="shared" si="27"/>
        <v>0</v>
      </c>
      <c r="G239" s="151">
        <f t="shared" si="28"/>
        <v>0</v>
      </c>
      <c r="H239" s="151">
        <f t="shared" si="31"/>
        <v>0</v>
      </c>
      <c r="I239" s="151">
        <f t="shared" si="29"/>
        <v>0</v>
      </c>
      <c r="J239" s="151">
        <f>SUM($H$18:$H239)</f>
        <v>2728155.8527217521</v>
      </c>
    </row>
    <row r="240" spans="1:10" x14ac:dyDescent="0.2">
      <c r="A240" s="154">
        <f>IF(Values_Entered,A239+1,"")</f>
        <v>223</v>
      </c>
      <c r="B240" s="153">
        <f t="shared" si="24"/>
        <v>63675</v>
      </c>
      <c r="C240" s="151">
        <f t="shared" si="30"/>
        <v>0</v>
      </c>
      <c r="D240" s="151">
        <f t="shared" si="25"/>
        <v>1136407.7926360879</v>
      </c>
      <c r="E240" s="152">
        <f t="shared" si="26"/>
        <v>0</v>
      </c>
      <c r="F240" s="151">
        <f t="shared" si="27"/>
        <v>0</v>
      </c>
      <c r="G240" s="151">
        <f t="shared" si="28"/>
        <v>0</v>
      </c>
      <c r="H240" s="151">
        <f t="shared" si="31"/>
        <v>0</v>
      </c>
      <c r="I240" s="151">
        <f t="shared" si="29"/>
        <v>0</v>
      </c>
      <c r="J240" s="151">
        <f>SUM($H$18:$H240)</f>
        <v>2728155.8527217521</v>
      </c>
    </row>
    <row r="241" spans="1:10" x14ac:dyDescent="0.2">
      <c r="A241" s="154">
        <f>IF(Values_Entered,A240+1,"")</f>
        <v>224</v>
      </c>
      <c r="B241" s="153">
        <f t="shared" si="24"/>
        <v>63767</v>
      </c>
      <c r="C241" s="151">
        <f t="shared" si="30"/>
        <v>0</v>
      </c>
      <c r="D241" s="151">
        <f t="shared" si="25"/>
        <v>1136407.7926360879</v>
      </c>
      <c r="E241" s="152">
        <f t="shared" si="26"/>
        <v>0</v>
      </c>
      <c r="F241" s="151">
        <f t="shared" si="27"/>
        <v>0</v>
      </c>
      <c r="G241" s="151">
        <f t="shared" si="28"/>
        <v>0</v>
      </c>
      <c r="H241" s="151">
        <f t="shared" si="31"/>
        <v>0</v>
      </c>
      <c r="I241" s="151">
        <f t="shared" si="29"/>
        <v>0</v>
      </c>
      <c r="J241" s="151">
        <f>SUM($H$18:$H241)</f>
        <v>2728155.8527217521</v>
      </c>
    </row>
    <row r="242" spans="1:10" x14ac:dyDescent="0.2">
      <c r="A242" s="154">
        <f>IF(Values_Entered,A241+1,"")</f>
        <v>225</v>
      </c>
      <c r="B242" s="153">
        <f t="shared" si="24"/>
        <v>63859</v>
      </c>
      <c r="C242" s="151">
        <f t="shared" si="30"/>
        <v>0</v>
      </c>
      <c r="D242" s="151">
        <f t="shared" si="25"/>
        <v>1136407.7926360879</v>
      </c>
      <c r="E242" s="152">
        <f t="shared" si="26"/>
        <v>0</v>
      </c>
      <c r="F242" s="151">
        <f t="shared" si="27"/>
        <v>0</v>
      </c>
      <c r="G242" s="151">
        <f t="shared" si="28"/>
        <v>0</v>
      </c>
      <c r="H242" s="151">
        <f t="shared" si="31"/>
        <v>0</v>
      </c>
      <c r="I242" s="151">
        <f t="shared" si="29"/>
        <v>0</v>
      </c>
      <c r="J242" s="151">
        <f>SUM($H$18:$H242)</f>
        <v>2728155.8527217521</v>
      </c>
    </row>
    <row r="243" spans="1:10" x14ac:dyDescent="0.2">
      <c r="A243" s="154">
        <f>IF(Values_Entered,A242+1,"")</f>
        <v>226</v>
      </c>
      <c r="B243" s="153">
        <f t="shared" si="24"/>
        <v>63951</v>
      </c>
      <c r="C243" s="151">
        <f t="shared" si="30"/>
        <v>0</v>
      </c>
      <c r="D243" s="151">
        <f t="shared" si="25"/>
        <v>1136407.7926360879</v>
      </c>
      <c r="E243" s="152">
        <f t="shared" si="26"/>
        <v>0</v>
      </c>
      <c r="F243" s="151">
        <f t="shared" si="27"/>
        <v>0</v>
      </c>
      <c r="G243" s="151">
        <f t="shared" si="28"/>
        <v>0</v>
      </c>
      <c r="H243" s="151">
        <f t="shared" si="31"/>
        <v>0</v>
      </c>
      <c r="I243" s="151">
        <f t="shared" si="29"/>
        <v>0</v>
      </c>
      <c r="J243" s="151">
        <f>SUM($H$18:$H243)</f>
        <v>2728155.8527217521</v>
      </c>
    </row>
    <row r="244" spans="1:10" x14ac:dyDescent="0.2">
      <c r="A244" s="154">
        <f>IF(Values_Entered,A243+1,"")</f>
        <v>227</v>
      </c>
      <c r="B244" s="153">
        <f t="shared" si="24"/>
        <v>64040</v>
      </c>
      <c r="C244" s="151">
        <f t="shared" si="30"/>
        <v>0</v>
      </c>
      <c r="D244" s="151">
        <f t="shared" si="25"/>
        <v>1136407.7926360879</v>
      </c>
      <c r="E244" s="152">
        <f t="shared" si="26"/>
        <v>0</v>
      </c>
      <c r="F244" s="151">
        <f t="shared" si="27"/>
        <v>0</v>
      </c>
      <c r="G244" s="151">
        <f t="shared" si="28"/>
        <v>0</v>
      </c>
      <c r="H244" s="151">
        <f t="shared" si="31"/>
        <v>0</v>
      </c>
      <c r="I244" s="151">
        <f t="shared" si="29"/>
        <v>0</v>
      </c>
      <c r="J244" s="151">
        <f>SUM($H$18:$H244)</f>
        <v>2728155.8527217521</v>
      </c>
    </row>
    <row r="245" spans="1:10" x14ac:dyDescent="0.2">
      <c r="A245" s="154">
        <f>IF(Values_Entered,A244+1,"")</f>
        <v>228</v>
      </c>
      <c r="B245" s="153">
        <f t="shared" si="24"/>
        <v>64132</v>
      </c>
      <c r="C245" s="151">
        <f t="shared" si="30"/>
        <v>0</v>
      </c>
      <c r="D245" s="151">
        <f t="shared" si="25"/>
        <v>1136407.7926360879</v>
      </c>
      <c r="E245" s="152">
        <f t="shared" si="26"/>
        <v>0</v>
      </c>
      <c r="F245" s="151">
        <f t="shared" si="27"/>
        <v>0</v>
      </c>
      <c r="G245" s="151">
        <f t="shared" si="28"/>
        <v>0</v>
      </c>
      <c r="H245" s="151">
        <f t="shared" si="31"/>
        <v>0</v>
      </c>
      <c r="I245" s="151">
        <f t="shared" si="29"/>
        <v>0</v>
      </c>
      <c r="J245" s="151">
        <f>SUM($H$18:$H245)</f>
        <v>2728155.8527217521</v>
      </c>
    </row>
    <row r="246" spans="1:10" x14ac:dyDescent="0.2">
      <c r="A246" s="154">
        <f>IF(Values_Entered,A245+1,"")</f>
        <v>229</v>
      </c>
      <c r="B246" s="153">
        <f t="shared" si="24"/>
        <v>64224</v>
      </c>
      <c r="C246" s="151">
        <f t="shared" si="30"/>
        <v>0</v>
      </c>
      <c r="D246" s="151">
        <f t="shared" si="25"/>
        <v>1136407.7926360879</v>
      </c>
      <c r="E246" s="152">
        <f t="shared" si="26"/>
        <v>0</v>
      </c>
      <c r="F246" s="151">
        <f t="shared" si="27"/>
        <v>0</v>
      </c>
      <c r="G246" s="151">
        <f t="shared" si="28"/>
        <v>0</v>
      </c>
      <c r="H246" s="151">
        <f t="shared" si="31"/>
        <v>0</v>
      </c>
      <c r="I246" s="151">
        <f t="shared" si="29"/>
        <v>0</v>
      </c>
      <c r="J246" s="151">
        <f>SUM($H$18:$H246)</f>
        <v>2728155.8527217521</v>
      </c>
    </row>
    <row r="247" spans="1:10" x14ac:dyDescent="0.2">
      <c r="A247" s="154">
        <f>IF(Values_Entered,A246+1,"")</f>
        <v>230</v>
      </c>
      <c r="B247" s="153">
        <f t="shared" si="24"/>
        <v>64316</v>
      </c>
      <c r="C247" s="151">
        <f t="shared" si="30"/>
        <v>0</v>
      </c>
      <c r="D247" s="151">
        <f t="shared" si="25"/>
        <v>1136407.7926360879</v>
      </c>
      <c r="E247" s="152">
        <f t="shared" si="26"/>
        <v>0</v>
      </c>
      <c r="F247" s="151">
        <f t="shared" si="27"/>
        <v>0</v>
      </c>
      <c r="G247" s="151">
        <f t="shared" si="28"/>
        <v>0</v>
      </c>
      <c r="H247" s="151">
        <f t="shared" si="31"/>
        <v>0</v>
      </c>
      <c r="I247" s="151">
        <f t="shared" si="29"/>
        <v>0</v>
      </c>
      <c r="J247" s="151">
        <f>SUM($H$18:$H247)</f>
        <v>2728155.8527217521</v>
      </c>
    </row>
    <row r="248" spans="1:10" x14ac:dyDescent="0.2">
      <c r="A248" s="154">
        <f>IF(Values_Entered,A247+1,"")</f>
        <v>231</v>
      </c>
      <c r="B248" s="153">
        <f t="shared" si="24"/>
        <v>64406</v>
      </c>
      <c r="C248" s="151">
        <f t="shared" si="30"/>
        <v>0</v>
      </c>
      <c r="D248" s="151">
        <f t="shared" si="25"/>
        <v>1136407.7926360879</v>
      </c>
      <c r="E248" s="152">
        <f t="shared" si="26"/>
        <v>0</v>
      </c>
      <c r="F248" s="151">
        <f t="shared" si="27"/>
        <v>0</v>
      </c>
      <c r="G248" s="151">
        <f t="shared" si="28"/>
        <v>0</v>
      </c>
      <c r="H248" s="151">
        <f t="shared" si="31"/>
        <v>0</v>
      </c>
      <c r="I248" s="151">
        <f t="shared" si="29"/>
        <v>0</v>
      </c>
      <c r="J248" s="151">
        <f>SUM($H$18:$H248)</f>
        <v>2728155.8527217521</v>
      </c>
    </row>
    <row r="249" spans="1:10" x14ac:dyDescent="0.2">
      <c r="A249" s="154">
        <f>IF(Values_Entered,A248+1,"")</f>
        <v>232</v>
      </c>
      <c r="B249" s="153">
        <f t="shared" si="24"/>
        <v>64498</v>
      </c>
      <c r="C249" s="151">
        <f t="shared" si="30"/>
        <v>0</v>
      </c>
      <c r="D249" s="151">
        <f t="shared" si="25"/>
        <v>1136407.7926360879</v>
      </c>
      <c r="E249" s="152">
        <f t="shared" si="26"/>
        <v>0</v>
      </c>
      <c r="F249" s="151">
        <f t="shared" si="27"/>
        <v>0</v>
      </c>
      <c r="G249" s="151">
        <f t="shared" si="28"/>
        <v>0</v>
      </c>
      <c r="H249" s="151">
        <f t="shared" si="31"/>
        <v>0</v>
      </c>
      <c r="I249" s="151">
        <f t="shared" si="29"/>
        <v>0</v>
      </c>
      <c r="J249" s="151">
        <f>SUM($H$18:$H249)</f>
        <v>2728155.8527217521</v>
      </c>
    </row>
    <row r="250" spans="1:10" x14ac:dyDescent="0.2">
      <c r="A250" s="154">
        <f>IF(Values_Entered,A249+1,"")</f>
        <v>233</v>
      </c>
      <c r="B250" s="153">
        <f t="shared" si="24"/>
        <v>64590</v>
      </c>
      <c r="C250" s="151">
        <f t="shared" si="30"/>
        <v>0</v>
      </c>
      <c r="D250" s="151">
        <f t="shared" si="25"/>
        <v>1136407.7926360879</v>
      </c>
      <c r="E250" s="152">
        <f t="shared" si="26"/>
        <v>0</v>
      </c>
      <c r="F250" s="151">
        <f t="shared" si="27"/>
        <v>0</v>
      </c>
      <c r="G250" s="151">
        <f t="shared" si="28"/>
        <v>0</v>
      </c>
      <c r="H250" s="151">
        <f t="shared" si="31"/>
        <v>0</v>
      </c>
      <c r="I250" s="151">
        <f t="shared" si="29"/>
        <v>0</v>
      </c>
      <c r="J250" s="151">
        <f>SUM($H$18:$H250)</f>
        <v>2728155.8527217521</v>
      </c>
    </row>
    <row r="251" spans="1:10" x14ac:dyDescent="0.2">
      <c r="A251" s="154">
        <f>IF(Values_Entered,A250+1,"")</f>
        <v>234</v>
      </c>
      <c r="B251" s="153">
        <f t="shared" si="24"/>
        <v>64682</v>
      </c>
      <c r="C251" s="151">
        <f t="shared" si="30"/>
        <v>0</v>
      </c>
      <c r="D251" s="151">
        <f t="shared" si="25"/>
        <v>1136407.7926360879</v>
      </c>
      <c r="E251" s="152">
        <f t="shared" si="26"/>
        <v>0</v>
      </c>
      <c r="F251" s="151">
        <f t="shared" si="27"/>
        <v>0</v>
      </c>
      <c r="G251" s="151">
        <f t="shared" si="28"/>
        <v>0</v>
      </c>
      <c r="H251" s="151">
        <f t="shared" si="31"/>
        <v>0</v>
      </c>
      <c r="I251" s="151">
        <f t="shared" si="29"/>
        <v>0</v>
      </c>
      <c r="J251" s="151">
        <f>SUM($H$18:$H251)</f>
        <v>2728155.8527217521</v>
      </c>
    </row>
    <row r="252" spans="1:10" x14ac:dyDescent="0.2">
      <c r="A252" s="154">
        <f>IF(Values_Entered,A251+1,"")</f>
        <v>235</v>
      </c>
      <c r="B252" s="153">
        <f t="shared" si="24"/>
        <v>64771</v>
      </c>
      <c r="C252" s="151">
        <f t="shared" si="30"/>
        <v>0</v>
      </c>
      <c r="D252" s="151">
        <f t="shared" si="25"/>
        <v>1136407.7926360879</v>
      </c>
      <c r="E252" s="152">
        <f t="shared" si="26"/>
        <v>0</v>
      </c>
      <c r="F252" s="151">
        <f t="shared" si="27"/>
        <v>0</v>
      </c>
      <c r="G252" s="151">
        <f t="shared" si="28"/>
        <v>0</v>
      </c>
      <c r="H252" s="151">
        <f t="shared" si="31"/>
        <v>0</v>
      </c>
      <c r="I252" s="151">
        <f t="shared" si="29"/>
        <v>0</v>
      </c>
      <c r="J252" s="151">
        <f>SUM($H$18:$H252)</f>
        <v>2728155.8527217521</v>
      </c>
    </row>
    <row r="253" spans="1:10" x14ac:dyDescent="0.2">
      <c r="A253" s="154">
        <f>IF(Values_Entered,A252+1,"")</f>
        <v>236</v>
      </c>
      <c r="B253" s="153">
        <f t="shared" si="24"/>
        <v>64863</v>
      </c>
      <c r="C253" s="151">
        <f t="shared" si="30"/>
        <v>0</v>
      </c>
      <c r="D253" s="151">
        <f t="shared" si="25"/>
        <v>1136407.7926360879</v>
      </c>
      <c r="E253" s="152">
        <f t="shared" si="26"/>
        <v>0</v>
      </c>
      <c r="F253" s="151">
        <f t="shared" si="27"/>
        <v>0</v>
      </c>
      <c r="G253" s="151">
        <f t="shared" si="28"/>
        <v>0</v>
      </c>
      <c r="H253" s="151">
        <f t="shared" si="31"/>
        <v>0</v>
      </c>
      <c r="I253" s="151">
        <f t="shared" si="29"/>
        <v>0</v>
      </c>
      <c r="J253" s="151">
        <f>SUM($H$18:$H253)</f>
        <v>2728155.8527217521</v>
      </c>
    </row>
    <row r="254" spans="1:10" x14ac:dyDescent="0.2">
      <c r="A254" s="154">
        <f>IF(Values_Entered,A253+1,"")</f>
        <v>237</v>
      </c>
      <c r="B254" s="153">
        <f t="shared" si="24"/>
        <v>64955</v>
      </c>
      <c r="C254" s="151">
        <f t="shared" si="30"/>
        <v>0</v>
      </c>
      <c r="D254" s="151">
        <f t="shared" si="25"/>
        <v>1136407.7926360879</v>
      </c>
      <c r="E254" s="152">
        <f t="shared" si="26"/>
        <v>0</v>
      </c>
      <c r="F254" s="151">
        <f t="shared" si="27"/>
        <v>0</v>
      </c>
      <c r="G254" s="151">
        <f t="shared" si="28"/>
        <v>0</v>
      </c>
      <c r="H254" s="151">
        <f t="shared" si="31"/>
        <v>0</v>
      </c>
      <c r="I254" s="151">
        <f t="shared" si="29"/>
        <v>0</v>
      </c>
      <c r="J254" s="151">
        <f>SUM($H$18:$H254)</f>
        <v>2728155.8527217521</v>
      </c>
    </row>
    <row r="255" spans="1:10" x14ac:dyDescent="0.2">
      <c r="A255" s="154">
        <f>IF(Values_Entered,A254+1,"")</f>
        <v>238</v>
      </c>
      <c r="B255" s="153">
        <f t="shared" si="24"/>
        <v>65047</v>
      </c>
      <c r="C255" s="151">
        <f t="shared" si="30"/>
        <v>0</v>
      </c>
      <c r="D255" s="151">
        <f t="shared" si="25"/>
        <v>1136407.7926360879</v>
      </c>
      <c r="E255" s="152">
        <f t="shared" si="26"/>
        <v>0</v>
      </c>
      <c r="F255" s="151">
        <f t="shared" si="27"/>
        <v>0</v>
      </c>
      <c r="G255" s="151">
        <f t="shared" si="28"/>
        <v>0</v>
      </c>
      <c r="H255" s="151">
        <f t="shared" si="31"/>
        <v>0</v>
      </c>
      <c r="I255" s="151">
        <f t="shared" si="29"/>
        <v>0</v>
      </c>
      <c r="J255" s="151">
        <f>SUM($H$18:$H255)</f>
        <v>2728155.8527217521</v>
      </c>
    </row>
    <row r="256" spans="1:10" x14ac:dyDescent="0.2">
      <c r="A256" s="154">
        <f>IF(Values_Entered,A255+1,"")</f>
        <v>239</v>
      </c>
      <c r="B256" s="153">
        <f t="shared" si="24"/>
        <v>65136</v>
      </c>
      <c r="C256" s="151">
        <f t="shared" si="30"/>
        <v>0</v>
      </c>
      <c r="D256" s="151">
        <f t="shared" si="25"/>
        <v>1136407.7926360879</v>
      </c>
      <c r="E256" s="152">
        <f t="shared" si="26"/>
        <v>0</v>
      </c>
      <c r="F256" s="151">
        <f t="shared" si="27"/>
        <v>0</v>
      </c>
      <c r="G256" s="151">
        <f t="shared" si="28"/>
        <v>0</v>
      </c>
      <c r="H256" s="151">
        <f t="shared" si="31"/>
        <v>0</v>
      </c>
      <c r="I256" s="151">
        <f t="shared" si="29"/>
        <v>0</v>
      </c>
      <c r="J256" s="151">
        <f>SUM($H$18:$H256)</f>
        <v>2728155.8527217521</v>
      </c>
    </row>
    <row r="257" spans="1:10" x14ac:dyDescent="0.2">
      <c r="A257" s="154">
        <f>IF(Values_Entered,A256+1,"")</f>
        <v>240</v>
      </c>
      <c r="B257" s="153">
        <f t="shared" si="24"/>
        <v>65228</v>
      </c>
      <c r="C257" s="151">
        <f t="shared" si="30"/>
        <v>0</v>
      </c>
      <c r="D257" s="151">
        <f t="shared" si="25"/>
        <v>1136407.7926360879</v>
      </c>
      <c r="E257" s="152">
        <f t="shared" si="26"/>
        <v>0</v>
      </c>
      <c r="F257" s="151">
        <f t="shared" si="27"/>
        <v>0</v>
      </c>
      <c r="G257" s="151">
        <f t="shared" si="28"/>
        <v>0</v>
      </c>
      <c r="H257" s="151">
        <f t="shared" si="31"/>
        <v>0</v>
      </c>
      <c r="I257" s="151">
        <f t="shared" si="29"/>
        <v>0</v>
      </c>
      <c r="J257" s="151">
        <f>SUM($H$18:$H257)</f>
        <v>2728155.8527217521</v>
      </c>
    </row>
    <row r="258" spans="1:10" x14ac:dyDescent="0.2">
      <c r="A258" s="154">
        <f>IF(Values_Entered,A257+1,"")</f>
        <v>241</v>
      </c>
      <c r="B258" s="153">
        <f t="shared" si="24"/>
        <v>65320</v>
      </c>
      <c r="C258" s="151">
        <f t="shared" si="30"/>
        <v>0</v>
      </c>
      <c r="D258" s="151">
        <f t="shared" si="25"/>
        <v>1136407.7926360879</v>
      </c>
      <c r="E258" s="152">
        <f t="shared" si="26"/>
        <v>0</v>
      </c>
      <c r="F258" s="151">
        <f t="shared" si="27"/>
        <v>0</v>
      </c>
      <c r="G258" s="151">
        <f t="shared" si="28"/>
        <v>0</v>
      </c>
      <c r="H258" s="151">
        <f t="shared" si="31"/>
        <v>0</v>
      </c>
      <c r="I258" s="151">
        <f t="shared" si="29"/>
        <v>0</v>
      </c>
      <c r="J258" s="151">
        <f>SUM($H$18:$H258)</f>
        <v>2728155.8527217521</v>
      </c>
    </row>
    <row r="259" spans="1:10" x14ac:dyDescent="0.2">
      <c r="A259" s="154">
        <f>IF(Values_Entered,A258+1,"")</f>
        <v>242</v>
      </c>
      <c r="B259" s="153">
        <f t="shared" si="24"/>
        <v>65412</v>
      </c>
      <c r="C259" s="151">
        <f t="shared" si="30"/>
        <v>0</v>
      </c>
      <c r="D259" s="151">
        <f t="shared" si="25"/>
        <v>1136407.7926360879</v>
      </c>
      <c r="E259" s="152">
        <f t="shared" si="26"/>
        <v>0</v>
      </c>
      <c r="F259" s="151">
        <f t="shared" si="27"/>
        <v>0</v>
      </c>
      <c r="G259" s="151">
        <f t="shared" si="28"/>
        <v>0</v>
      </c>
      <c r="H259" s="151">
        <f t="shared" si="31"/>
        <v>0</v>
      </c>
      <c r="I259" s="151">
        <f t="shared" si="29"/>
        <v>0</v>
      </c>
      <c r="J259" s="151">
        <f>SUM($H$18:$H259)</f>
        <v>2728155.8527217521</v>
      </c>
    </row>
    <row r="260" spans="1:10" x14ac:dyDescent="0.2">
      <c r="A260" s="154">
        <f>IF(Values_Entered,A259+1,"")</f>
        <v>243</v>
      </c>
      <c r="B260" s="153">
        <f t="shared" si="24"/>
        <v>65501</v>
      </c>
      <c r="C260" s="151">
        <f t="shared" si="30"/>
        <v>0</v>
      </c>
      <c r="D260" s="151">
        <f t="shared" si="25"/>
        <v>1136407.7926360879</v>
      </c>
      <c r="E260" s="152">
        <f t="shared" si="26"/>
        <v>0</v>
      </c>
      <c r="F260" s="151">
        <f t="shared" si="27"/>
        <v>0</v>
      </c>
      <c r="G260" s="151">
        <f t="shared" si="28"/>
        <v>0</v>
      </c>
      <c r="H260" s="151">
        <f t="shared" si="31"/>
        <v>0</v>
      </c>
      <c r="I260" s="151">
        <f t="shared" si="29"/>
        <v>0</v>
      </c>
      <c r="J260" s="151">
        <f>SUM($H$18:$H260)</f>
        <v>2728155.8527217521</v>
      </c>
    </row>
    <row r="261" spans="1:10" x14ac:dyDescent="0.2">
      <c r="A261" s="154">
        <f>IF(Values_Entered,A260+1,"")</f>
        <v>244</v>
      </c>
      <c r="B261" s="153">
        <f t="shared" si="24"/>
        <v>65593</v>
      </c>
      <c r="C261" s="151">
        <f t="shared" si="30"/>
        <v>0</v>
      </c>
      <c r="D261" s="151">
        <f t="shared" si="25"/>
        <v>1136407.7926360879</v>
      </c>
      <c r="E261" s="152">
        <f t="shared" si="26"/>
        <v>0</v>
      </c>
      <c r="F261" s="151">
        <f t="shared" si="27"/>
        <v>0</v>
      </c>
      <c r="G261" s="151">
        <f t="shared" si="28"/>
        <v>0</v>
      </c>
      <c r="H261" s="151">
        <f t="shared" si="31"/>
        <v>0</v>
      </c>
      <c r="I261" s="151">
        <f t="shared" si="29"/>
        <v>0</v>
      </c>
      <c r="J261" s="151">
        <f>SUM($H$18:$H261)</f>
        <v>2728155.8527217521</v>
      </c>
    </row>
    <row r="262" spans="1:10" x14ac:dyDescent="0.2">
      <c r="A262" s="154">
        <f>IF(Values_Entered,A261+1,"")</f>
        <v>245</v>
      </c>
      <c r="B262" s="153">
        <f t="shared" si="24"/>
        <v>65685</v>
      </c>
      <c r="C262" s="151">
        <f t="shared" si="30"/>
        <v>0</v>
      </c>
      <c r="D262" s="151">
        <f t="shared" si="25"/>
        <v>1136407.7926360879</v>
      </c>
      <c r="E262" s="152">
        <f t="shared" si="26"/>
        <v>0</v>
      </c>
      <c r="F262" s="151">
        <f t="shared" si="27"/>
        <v>0</v>
      </c>
      <c r="G262" s="151">
        <f t="shared" si="28"/>
        <v>0</v>
      </c>
      <c r="H262" s="151">
        <f t="shared" si="31"/>
        <v>0</v>
      </c>
      <c r="I262" s="151">
        <f t="shared" si="29"/>
        <v>0</v>
      </c>
      <c r="J262" s="151">
        <f>SUM($H$18:$H262)</f>
        <v>2728155.8527217521</v>
      </c>
    </row>
    <row r="263" spans="1:10" x14ac:dyDescent="0.2">
      <c r="A263" s="154">
        <f>IF(Values_Entered,A262+1,"")</f>
        <v>246</v>
      </c>
      <c r="B263" s="153">
        <f t="shared" si="24"/>
        <v>65777</v>
      </c>
      <c r="C263" s="151">
        <f t="shared" si="30"/>
        <v>0</v>
      </c>
      <c r="D263" s="151">
        <f t="shared" si="25"/>
        <v>1136407.7926360879</v>
      </c>
      <c r="E263" s="152">
        <f t="shared" si="26"/>
        <v>0</v>
      </c>
      <c r="F263" s="151">
        <f t="shared" si="27"/>
        <v>0</v>
      </c>
      <c r="G263" s="151">
        <f t="shared" si="28"/>
        <v>0</v>
      </c>
      <c r="H263" s="151">
        <f t="shared" si="31"/>
        <v>0</v>
      </c>
      <c r="I263" s="151">
        <f t="shared" si="29"/>
        <v>0</v>
      </c>
      <c r="J263" s="151">
        <f>SUM($H$18:$H263)</f>
        <v>2728155.8527217521</v>
      </c>
    </row>
    <row r="264" spans="1:10" x14ac:dyDescent="0.2">
      <c r="A264" s="154">
        <f>IF(Values_Entered,A263+1,"")</f>
        <v>247</v>
      </c>
      <c r="B264" s="153">
        <f t="shared" si="24"/>
        <v>65867</v>
      </c>
      <c r="C264" s="151">
        <f t="shared" si="30"/>
        <v>0</v>
      </c>
      <c r="D264" s="151">
        <f t="shared" si="25"/>
        <v>1136407.7926360879</v>
      </c>
      <c r="E264" s="152">
        <f t="shared" si="26"/>
        <v>0</v>
      </c>
      <c r="F264" s="151">
        <f t="shared" si="27"/>
        <v>0</v>
      </c>
      <c r="G264" s="151">
        <f t="shared" si="28"/>
        <v>0</v>
      </c>
      <c r="H264" s="151">
        <f t="shared" si="31"/>
        <v>0</v>
      </c>
      <c r="I264" s="151">
        <f t="shared" si="29"/>
        <v>0</v>
      </c>
      <c r="J264" s="151">
        <f>SUM($H$18:$H264)</f>
        <v>2728155.8527217521</v>
      </c>
    </row>
    <row r="265" spans="1:10" x14ac:dyDescent="0.2">
      <c r="A265" s="154">
        <f>IF(Values_Entered,A264+1,"")</f>
        <v>248</v>
      </c>
      <c r="B265" s="153">
        <f t="shared" si="24"/>
        <v>65959</v>
      </c>
      <c r="C265" s="151">
        <f t="shared" si="30"/>
        <v>0</v>
      </c>
      <c r="D265" s="151">
        <f t="shared" si="25"/>
        <v>1136407.7926360879</v>
      </c>
      <c r="E265" s="152">
        <f t="shared" si="26"/>
        <v>0</v>
      </c>
      <c r="F265" s="151">
        <f t="shared" si="27"/>
        <v>0</v>
      </c>
      <c r="G265" s="151">
        <f t="shared" si="28"/>
        <v>0</v>
      </c>
      <c r="H265" s="151">
        <f t="shared" si="31"/>
        <v>0</v>
      </c>
      <c r="I265" s="151">
        <f t="shared" si="29"/>
        <v>0</v>
      </c>
      <c r="J265" s="151">
        <f>SUM($H$18:$H265)</f>
        <v>2728155.8527217521</v>
      </c>
    </row>
    <row r="266" spans="1:10" x14ac:dyDescent="0.2">
      <c r="A266" s="154">
        <f>IF(Values_Entered,A265+1,"")</f>
        <v>249</v>
      </c>
      <c r="B266" s="153">
        <f t="shared" si="24"/>
        <v>66051</v>
      </c>
      <c r="C266" s="151">
        <f t="shared" si="30"/>
        <v>0</v>
      </c>
      <c r="D266" s="151">
        <f t="shared" si="25"/>
        <v>1136407.7926360879</v>
      </c>
      <c r="E266" s="152">
        <f t="shared" si="26"/>
        <v>0</v>
      </c>
      <c r="F266" s="151">
        <f t="shared" si="27"/>
        <v>0</v>
      </c>
      <c r="G266" s="151">
        <f t="shared" si="28"/>
        <v>0</v>
      </c>
      <c r="H266" s="151">
        <f t="shared" si="31"/>
        <v>0</v>
      </c>
      <c r="I266" s="151">
        <f t="shared" si="29"/>
        <v>0</v>
      </c>
      <c r="J266" s="151">
        <f>SUM($H$18:$H266)</f>
        <v>2728155.8527217521</v>
      </c>
    </row>
    <row r="267" spans="1:10" x14ac:dyDescent="0.2">
      <c r="A267" s="154">
        <f>IF(Values_Entered,A266+1,"")</f>
        <v>250</v>
      </c>
      <c r="B267" s="153">
        <f t="shared" si="24"/>
        <v>66143</v>
      </c>
      <c r="C267" s="151">
        <f t="shared" si="30"/>
        <v>0</v>
      </c>
      <c r="D267" s="151">
        <f t="shared" si="25"/>
        <v>1136407.7926360879</v>
      </c>
      <c r="E267" s="152">
        <f t="shared" si="26"/>
        <v>0</v>
      </c>
      <c r="F267" s="151">
        <f t="shared" si="27"/>
        <v>0</v>
      </c>
      <c r="G267" s="151">
        <f t="shared" si="28"/>
        <v>0</v>
      </c>
      <c r="H267" s="151">
        <f t="shared" si="31"/>
        <v>0</v>
      </c>
      <c r="I267" s="151">
        <f t="shared" si="29"/>
        <v>0</v>
      </c>
      <c r="J267" s="151">
        <f>SUM($H$18:$H267)</f>
        <v>2728155.8527217521</v>
      </c>
    </row>
    <row r="268" spans="1:10" x14ac:dyDescent="0.2">
      <c r="A268" s="154">
        <f>IF(Values_Entered,A267+1,"")</f>
        <v>251</v>
      </c>
      <c r="B268" s="153">
        <f t="shared" si="24"/>
        <v>66232</v>
      </c>
      <c r="C268" s="151">
        <f t="shared" si="30"/>
        <v>0</v>
      </c>
      <c r="D268" s="151">
        <f t="shared" si="25"/>
        <v>1136407.7926360879</v>
      </c>
      <c r="E268" s="152">
        <f t="shared" si="26"/>
        <v>0</v>
      </c>
      <c r="F268" s="151">
        <f t="shared" si="27"/>
        <v>0</v>
      </c>
      <c r="G268" s="151">
        <f t="shared" si="28"/>
        <v>0</v>
      </c>
      <c r="H268" s="151">
        <f t="shared" si="31"/>
        <v>0</v>
      </c>
      <c r="I268" s="151">
        <f t="shared" si="29"/>
        <v>0</v>
      </c>
      <c r="J268" s="151">
        <f>SUM($H$18:$H268)</f>
        <v>2728155.8527217521</v>
      </c>
    </row>
    <row r="269" spans="1:10" x14ac:dyDescent="0.2">
      <c r="A269" s="154">
        <f>IF(Values_Entered,A268+1,"")</f>
        <v>252</v>
      </c>
      <c r="B269" s="153">
        <f t="shared" si="24"/>
        <v>66324</v>
      </c>
      <c r="C269" s="151">
        <f t="shared" si="30"/>
        <v>0</v>
      </c>
      <c r="D269" s="151">
        <f t="shared" si="25"/>
        <v>1136407.7926360879</v>
      </c>
      <c r="E269" s="152">
        <f t="shared" si="26"/>
        <v>0</v>
      </c>
      <c r="F269" s="151">
        <f t="shared" si="27"/>
        <v>0</v>
      </c>
      <c r="G269" s="151">
        <f t="shared" si="28"/>
        <v>0</v>
      </c>
      <c r="H269" s="151">
        <f t="shared" si="31"/>
        <v>0</v>
      </c>
      <c r="I269" s="151">
        <f t="shared" si="29"/>
        <v>0</v>
      </c>
      <c r="J269" s="151">
        <f>SUM($H$18:$H269)</f>
        <v>2728155.8527217521</v>
      </c>
    </row>
    <row r="270" spans="1:10" x14ac:dyDescent="0.2">
      <c r="A270" s="154">
        <f>IF(Values_Entered,A269+1,"")</f>
        <v>253</v>
      </c>
      <c r="B270" s="153">
        <f t="shared" si="24"/>
        <v>66416</v>
      </c>
      <c r="C270" s="151">
        <f t="shared" si="30"/>
        <v>0</v>
      </c>
      <c r="D270" s="151">
        <f t="shared" si="25"/>
        <v>1136407.7926360879</v>
      </c>
      <c r="E270" s="152">
        <f t="shared" si="26"/>
        <v>0</v>
      </c>
      <c r="F270" s="151">
        <f t="shared" si="27"/>
        <v>0</v>
      </c>
      <c r="G270" s="151">
        <f t="shared" si="28"/>
        <v>0</v>
      </c>
      <c r="H270" s="151">
        <f t="shared" si="31"/>
        <v>0</v>
      </c>
      <c r="I270" s="151">
        <f t="shared" si="29"/>
        <v>0</v>
      </c>
      <c r="J270" s="151">
        <f>SUM($H$18:$H270)</f>
        <v>2728155.8527217521</v>
      </c>
    </row>
    <row r="271" spans="1:10" x14ac:dyDescent="0.2">
      <c r="A271" s="154">
        <f>IF(Values_Entered,A270+1,"")</f>
        <v>254</v>
      </c>
      <c r="B271" s="153">
        <f t="shared" si="24"/>
        <v>66508</v>
      </c>
      <c r="C271" s="151">
        <f t="shared" si="30"/>
        <v>0</v>
      </c>
      <c r="D271" s="151">
        <f t="shared" si="25"/>
        <v>1136407.7926360879</v>
      </c>
      <c r="E271" s="152">
        <f t="shared" si="26"/>
        <v>0</v>
      </c>
      <c r="F271" s="151">
        <f t="shared" si="27"/>
        <v>0</v>
      </c>
      <c r="G271" s="151">
        <f t="shared" si="28"/>
        <v>0</v>
      </c>
      <c r="H271" s="151">
        <f t="shared" si="31"/>
        <v>0</v>
      </c>
      <c r="I271" s="151">
        <f t="shared" si="29"/>
        <v>0</v>
      </c>
      <c r="J271" s="151">
        <f>SUM($H$18:$H271)</f>
        <v>2728155.8527217521</v>
      </c>
    </row>
    <row r="272" spans="1:10" x14ac:dyDescent="0.2">
      <c r="A272" s="154">
        <f>IF(Values_Entered,A271+1,"")</f>
        <v>255</v>
      </c>
      <c r="B272" s="153">
        <f t="shared" si="24"/>
        <v>66597</v>
      </c>
      <c r="C272" s="151">
        <f t="shared" si="30"/>
        <v>0</v>
      </c>
      <c r="D272" s="151">
        <f t="shared" si="25"/>
        <v>1136407.7926360879</v>
      </c>
      <c r="E272" s="152">
        <f t="shared" si="26"/>
        <v>0</v>
      </c>
      <c r="F272" s="151">
        <f t="shared" si="27"/>
        <v>0</v>
      </c>
      <c r="G272" s="151">
        <f t="shared" si="28"/>
        <v>0</v>
      </c>
      <c r="H272" s="151">
        <f t="shared" si="31"/>
        <v>0</v>
      </c>
      <c r="I272" s="151">
        <f t="shared" si="29"/>
        <v>0</v>
      </c>
      <c r="J272" s="151">
        <f>SUM($H$18:$H272)</f>
        <v>2728155.8527217521</v>
      </c>
    </row>
    <row r="273" spans="1:10" x14ac:dyDescent="0.2">
      <c r="A273" s="154">
        <f>IF(Values_Entered,A272+1,"")</f>
        <v>256</v>
      </c>
      <c r="B273" s="153">
        <f t="shared" si="24"/>
        <v>66689</v>
      </c>
      <c r="C273" s="151">
        <f t="shared" si="30"/>
        <v>0</v>
      </c>
      <c r="D273" s="151">
        <f t="shared" si="25"/>
        <v>1136407.7926360879</v>
      </c>
      <c r="E273" s="152">
        <f t="shared" si="26"/>
        <v>0</v>
      </c>
      <c r="F273" s="151">
        <f t="shared" si="27"/>
        <v>0</v>
      </c>
      <c r="G273" s="151">
        <f t="shared" si="28"/>
        <v>0</v>
      </c>
      <c r="H273" s="151">
        <f t="shared" si="31"/>
        <v>0</v>
      </c>
      <c r="I273" s="151">
        <f t="shared" si="29"/>
        <v>0</v>
      </c>
      <c r="J273" s="151">
        <f>SUM($H$18:$H273)</f>
        <v>2728155.8527217521</v>
      </c>
    </row>
    <row r="274" spans="1:10" x14ac:dyDescent="0.2">
      <c r="A274" s="154">
        <f>IF(Values_Entered,A273+1,"")</f>
        <v>257</v>
      </c>
      <c r="B274" s="153">
        <f t="shared" ref="B274:B337" si="32">IF(Pay_Num&lt;&gt;"",DATE(YEAR(Loan_Start),MONTH(Loan_Start)+(Pay_Num)*12/Num_Pmt_Per_Year,DAY(Loan_Start)),"")</f>
        <v>66781</v>
      </c>
      <c r="C274" s="151">
        <f t="shared" si="30"/>
        <v>0</v>
      </c>
      <c r="D274" s="151">
        <f t="shared" ref="D274:D337" si="33">IF(Pay_Num&lt;&gt;"",Scheduled_Monthly_Payment,"")</f>
        <v>1136407.7926360879</v>
      </c>
      <c r="E274" s="152">
        <f t="shared" ref="E274:E337" si="34">IF(AND(Pay_Num&lt;&gt;"",Sched_Pay+Scheduled_Extra_Payments&lt;Beg_Bal),Scheduled_Extra_Payments,IF(AND(Pay_Num&lt;&gt;"",Beg_Bal-Sched_Pay&gt;0),Beg_Bal-Sched_Pay,IF(Pay_Num&lt;&gt;"",0,"")))</f>
        <v>0</v>
      </c>
      <c r="F274" s="151">
        <f t="shared" ref="F274:F337" si="35">IF(AND(Pay_Num&lt;&gt;"",Sched_Pay+Extra_Pay&lt;Beg_Bal),Sched_Pay+Extra_Pay,IF(Pay_Num&lt;&gt;"",Beg_Bal,""))</f>
        <v>0</v>
      </c>
      <c r="G274" s="151">
        <f t="shared" ref="G274:G337" si="36">IF(Pay_Num&lt;&gt;"",Total_Pay-Int,"")</f>
        <v>0</v>
      </c>
      <c r="H274" s="151">
        <f t="shared" si="31"/>
        <v>0</v>
      </c>
      <c r="I274" s="151">
        <f t="shared" ref="I274:I337" si="37">IF(AND(Pay_Num&lt;&gt;"",Sched_Pay+Extra_Pay&lt;Beg_Bal),Beg_Bal-Princ,IF(Pay_Num&lt;&gt;"",0,""))</f>
        <v>0</v>
      </c>
      <c r="J274" s="151">
        <f>SUM($H$18:$H274)</f>
        <v>2728155.8527217521</v>
      </c>
    </row>
    <row r="275" spans="1:10" x14ac:dyDescent="0.2">
      <c r="A275" s="154">
        <f>IF(Values_Entered,A274+1,"")</f>
        <v>258</v>
      </c>
      <c r="B275" s="153">
        <f t="shared" si="32"/>
        <v>66873</v>
      </c>
      <c r="C275" s="151">
        <f t="shared" ref="C275:C338" si="38">IF(Pay_Num&lt;&gt;"",I274,"")</f>
        <v>0</v>
      </c>
      <c r="D275" s="151">
        <f t="shared" si="33"/>
        <v>1136407.7926360879</v>
      </c>
      <c r="E275" s="152">
        <f t="shared" si="34"/>
        <v>0</v>
      </c>
      <c r="F275" s="151">
        <f t="shared" si="35"/>
        <v>0</v>
      </c>
      <c r="G275" s="151">
        <f t="shared" si="36"/>
        <v>0</v>
      </c>
      <c r="H275" s="151">
        <f t="shared" ref="H275:H338" si="39">IF(Pay_Num&lt;&gt;"",Beg_Bal*Interest_Rate/Num_Pmt_Per_Year,"")</f>
        <v>0</v>
      </c>
      <c r="I275" s="151">
        <f t="shared" si="37"/>
        <v>0</v>
      </c>
      <c r="J275" s="151">
        <f>SUM($H$18:$H275)</f>
        <v>2728155.8527217521</v>
      </c>
    </row>
    <row r="276" spans="1:10" x14ac:dyDescent="0.2">
      <c r="A276" s="154">
        <f>IF(Values_Entered,A275+1,"")</f>
        <v>259</v>
      </c>
      <c r="B276" s="153">
        <f t="shared" si="32"/>
        <v>66962</v>
      </c>
      <c r="C276" s="151">
        <f t="shared" si="38"/>
        <v>0</v>
      </c>
      <c r="D276" s="151">
        <f t="shared" si="33"/>
        <v>1136407.7926360879</v>
      </c>
      <c r="E276" s="152">
        <f t="shared" si="34"/>
        <v>0</v>
      </c>
      <c r="F276" s="151">
        <f t="shared" si="35"/>
        <v>0</v>
      </c>
      <c r="G276" s="151">
        <f t="shared" si="36"/>
        <v>0</v>
      </c>
      <c r="H276" s="151">
        <f t="shared" si="39"/>
        <v>0</v>
      </c>
      <c r="I276" s="151">
        <f t="shared" si="37"/>
        <v>0</v>
      </c>
      <c r="J276" s="151">
        <f>SUM($H$18:$H276)</f>
        <v>2728155.8527217521</v>
      </c>
    </row>
    <row r="277" spans="1:10" x14ac:dyDescent="0.2">
      <c r="A277" s="154">
        <f>IF(Values_Entered,A276+1,"")</f>
        <v>260</v>
      </c>
      <c r="B277" s="153">
        <f t="shared" si="32"/>
        <v>67054</v>
      </c>
      <c r="C277" s="151">
        <f t="shared" si="38"/>
        <v>0</v>
      </c>
      <c r="D277" s="151">
        <f t="shared" si="33"/>
        <v>1136407.7926360879</v>
      </c>
      <c r="E277" s="152">
        <f t="shared" si="34"/>
        <v>0</v>
      </c>
      <c r="F277" s="151">
        <f t="shared" si="35"/>
        <v>0</v>
      </c>
      <c r="G277" s="151">
        <f t="shared" si="36"/>
        <v>0</v>
      </c>
      <c r="H277" s="151">
        <f t="shared" si="39"/>
        <v>0</v>
      </c>
      <c r="I277" s="151">
        <f t="shared" si="37"/>
        <v>0</v>
      </c>
      <c r="J277" s="151">
        <f>SUM($H$18:$H277)</f>
        <v>2728155.8527217521</v>
      </c>
    </row>
    <row r="278" spans="1:10" x14ac:dyDescent="0.2">
      <c r="A278" s="154">
        <f>IF(Values_Entered,A277+1,"")</f>
        <v>261</v>
      </c>
      <c r="B278" s="153">
        <f t="shared" si="32"/>
        <v>67146</v>
      </c>
      <c r="C278" s="151">
        <f t="shared" si="38"/>
        <v>0</v>
      </c>
      <c r="D278" s="151">
        <f t="shared" si="33"/>
        <v>1136407.7926360879</v>
      </c>
      <c r="E278" s="152">
        <f t="shared" si="34"/>
        <v>0</v>
      </c>
      <c r="F278" s="151">
        <f t="shared" si="35"/>
        <v>0</v>
      </c>
      <c r="G278" s="151">
        <f t="shared" si="36"/>
        <v>0</v>
      </c>
      <c r="H278" s="151">
        <f t="shared" si="39"/>
        <v>0</v>
      </c>
      <c r="I278" s="151">
        <f t="shared" si="37"/>
        <v>0</v>
      </c>
      <c r="J278" s="151">
        <f>SUM($H$18:$H278)</f>
        <v>2728155.8527217521</v>
      </c>
    </row>
    <row r="279" spans="1:10" x14ac:dyDescent="0.2">
      <c r="A279" s="154">
        <f>IF(Values_Entered,A278+1,"")</f>
        <v>262</v>
      </c>
      <c r="B279" s="153">
        <f t="shared" si="32"/>
        <v>67238</v>
      </c>
      <c r="C279" s="151">
        <f t="shared" si="38"/>
        <v>0</v>
      </c>
      <c r="D279" s="151">
        <f t="shared" si="33"/>
        <v>1136407.7926360879</v>
      </c>
      <c r="E279" s="152">
        <f t="shared" si="34"/>
        <v>0</v>
      </c>
      <c r="F279" s="151">
        <f t="shared" si="35"/>
        <v>0</v>
      </c>
      <c r="G279" s="151">
        <f t="shared" si="36"/>
        <v>0</v>
      </c>
      <c r="H279" s="151">
        <f t="shared" si="39"/>
        <v>0</v>
      </c>
      <c r="I279" s="151">
        <f t="shared" si="37"/>
        <v>0</v>
      </c>
      <c r="J279" s="151">
        <f>SUM($H$18:$H279)</f>
        <v>2728155.8527217521</v>
      </c>
    </row>
    <row r="280" spans="1:10" x14ac:dyDescent="0.2">
      <c r="A280" s="154">
        <f>IF(Values_Entered,A279+1,"")</f>
        <v>263</v>
      </c>
      <c r="B280" s="153">
        <f t="shared" si="32"/>
        <v>67328</v>
      </c>
      <c r="C280" s="151">
        <f t="shared" si="38"/>
        <v>0</v>
      </c>
      <c r="D280" s="151">
        <f t="shared" si="33"/>
        <v>1136407.7926360879</v>
      </c>
      <c r="E280" s="152">
        <f t="shared" si="34"/>
        <v>0</v>
      </c>
      <c r="F280" s="151">
        <f t="shared" si="35"/>
        <v>0</v>
      </c>
      <c r="G280" s="151">
        <f t="shared" si="36"/>
        <v>0</v>
      </c>
      <c r="H280" s="151">
        <f t="shared" si="39"/>
        <v>0</v>
      </c>
      <c r="I280" s="151">
        <f t="shared" si="37"/>
        <v>0</v>
      </c>
      <c r="J280" s="151">
        <f>SUM($H$18:$H280)</f>
        <v>2728155.8527217521</v>
      </c>
    </row>
    <row r="281" spans="1:10" x14ac:dyDescent="0.2">
      <c r="A281" s="154">
        <f>IF(Values_Entered,A280+1,"")</f>
        <v>264</v>
      </c>
      <c r="B281" s="153">
        <f t="shared" si="32"/>
        <v>67420</v>
      </c>
      <c r="C281" s="151">
        <f t="shared" si="38"/>
        <v>0</v>
      </c>
      <c r="D281" s="151">
        <f t="shared" si="33"/>
        <v>1136407.7926360879</v>
      </c>
      <c r="E281" s="152">
        <f t="shared" si="34"/>
        <v>0</v>
      </c>
      <c r="F281" s="151">
        <f t="shared" si="35"/>
        <v>0</v>
      </c>
      <c r="G281" s="151">
        <f t="shared" si="36"/>
        <v>0</v>
      </c>
      <c r="H281" s="151">
        <f t="shared" si="39"/>
        <v>0</v>
      </c>
      <c r="I281" s="151">
        <f t="shared" si="37"/>
        <v>0</v>
      </c>
      <c r="J281" s="151">
        <f>SUM($H$18:$H281)</f>
        <v>2728155.8527217521</v>
      </c>
    </row>
    <row r="282" spans="1:10" x14ac:dyDescent="0.2">
      <c r="A282" s="154">
        <f>IF(Values_Entered,A281+1,"")</f>
        <v>265</v>
      </c>
      <c r="B282" s="153">
        <f t="shared" si="32"/>
        <v>67512</v>
      </c>
      <c r="C282" s="151">
        <f t="shared" si="38"/>
        <v>0</v>
      </c>
      <c r="D282" s="151">
        <f t="shared" si="33"/>
        <v>1136407.7926360879</v>
      </c>
      <c r="E282" s="152">
        <f t="shared" si="34"/>
        <v>0</v>
      </c>
      <c r="F282" s="151">
        <f t="shared" si="35"/>
        <v>0</v>
      </c>
      <c r="G282" s="151">
        <f t="shared" si="36"/>
        <v>0</v>
      </c>
      <c r="H282" s="151">
        <f t="shared" si="39"/>
        <v>0</v>
      </c>
      <c r="I282" s="151">
        <f t="shared" si="37"/>
        <v>0</v>
      </c>
      <c r="J282" s="151">
        <f>SUM($H$18:$H282)</f>
        <v>2728155.8527217521</v>
      </c>
    </row>
    <row r="283" spans="1:10" x14ac:dyDescent="0.2">
      <c r="A283" s="154">
        <f>IF(Values_Entered,A282+1,"")</f>
        <v>266</v>
      </c>
      <c r="B283" s="153">
        <f t="shared" si="32"/>
        <v>67604</v>
      </c>
      <c r="C283" s="151">
        <f t="shared" si="38"/>
        <v>0</v>
      </c>
      <c r="D283" s="151">
        <f t="shared" si="33"/>
        <v>1136407.7926360879</v>
      </c>
      <c r="E283" s="152">
        <f t="shared" si="34"/>
        <v>0</v>
      </c>
      <c r="F283" s="151">
        <f t="shared" si="35"/>
        <v>0</v>
      </c>
      <c r="G283" s="151">
        <f t="shared" si="36"/>
        <v>0</v>
      </c>
      <c r="H283" s="151">
        <f t="shared" si="39"/>
        <v>0</v>
      </c>
      <c r="I283" s="151">
        <f t="shared" si="37"/>
        <v>0</v>
      </c>
      <c r="J283" s="151">
        <f>SUM($H$18:$H283)</f>
        <v>2728155.8527217521</v>
      </c>
    </row>
    <row r="284" spans="1:10" x14ac:dyDescent="0.2">
      <c r="A284" s="154">
        <f>IF(Values_Entered,A283+1,"")</f>
        <v>267</v>
      </c>
      <c r="B284" s="153">
        <f t="shared" si="32"/>
        <v>67693</v>
      </c>
      <c r="C284" s="151">
        <f t="shared" si="38"/>
        <v>0</v>
      </c>
      <c r="D284" s="151">
        <f t="shared" si="33"/>
        <v>1136407.7926360879</v>
      </c>
      <c r="E284" s="152">
        <f t="shared" si="34"/>
        <v>0</v>
      </c>
      <c r="F284" s="151">
        <f t="shared" si="35"/>
        <v>0</v>
      </c>
      <c r="G284" s="151">
        <f t="shared" si="36"/>
        <v>0</v>
      </c>
      <c r="H284" s="151">
        <f t="shared" si="39"/>
        <v>0</v>
      </c>
      <c r="I284" s="151">
        <f t="shared" si="37"/>
        <v>0</v>
      </c>
      <c r="J284" s="151">
        <f>SUM($H$18:$H284)</f>
        <v>2728155.8527217521</v>
      </c>
    </row>
    <row r="285" spans="1:10" x14ac:dyDescent="0.2">
      <c r="A285" s="154">
        <f>IF(Values_Entered,A284+1,"")</f>
        <v>268</v>
      </c>
      <c r="B285" s="153">
        <f t="shared" si="32"/>
        <v>67785</v>
      </c>
      <c r="C285" s="151">
        <f t="shared" si="38"/>
        <v>0</v>
      </c>
      <c r="D285" s="151">
        <f t="shared" si="33"/>
        <v>1136407.7926360879</v>
      </c>
      <c r="E285" s="152">
        <f t="shared" si="34"/>
        <v>0</v>
      </c>
      <c r="F285" s="151">
        <f t="shared" si="35"/>
        <v>0</v>
      </c>
      <c r="G285" s="151">
        <f t="shared" si="36"/>
        <v>0</v>
      </c>
      <c r="H285" s="151">
        <f t="shared" si="39"/>
        <v>0</v>
      </c>
      <c r="I285" s="151">
        <f t="shared" si="37"/>
        <v>0</v>
      </c>
      <c r="J285" s="151">
        <f>SUM($H$18:$H285)</f>
        <v>2728155.8527217521</v>
      </c>
    </row>
    <row r="286" spans="1:10" x14ac:dyDescent="0.2">
      <c r="A286" s="154">
        <f>IF(Values_Entered,A285+1,"")</f>
        <v>269</v>
      </c>
      <c r="B286" s="153">
        <f t="shared" si="32"/>
        <v>67877</v>
      </c>
      <c r="C286" s="151">
        <f t="shared" si="38"/>
        <v>0</v>
      </c>
      <c r="D286" s="151">
        <f t="shared" si="33"/>
        <v>1136407.7926360879</v>
      </c>
      <c r="E286" s="152">
        <f t="shared" si="34"/>
        <v>0</v>
      </c>
      <c r="F286" s="151">
        <f t="shared" si="35"/>
        <v>0</v>
      </c>
      <c r="G286" s="151">
        <f t="shared" si="36"/>
        <v>0</v>
      </c>
      <c r="H286" s="151">
        <f t="shared" si="39"/>
        <v>0</v>
      </c>
      <c r="I286" s="151">
        <f t="shared" si="37"/>
        <v>0</v>
      </c>
      <c r="J286" s="151">
        <f>SUM($H$18:$H286)</f>
        <v>2728155.8527217521</v>
      </c>
    </row>
    <row r="287" spans="1:10" x14ac:dyDescent="0.2">
      <c r="A287" s="154">
        <f>IF(Values_Entered,A286+1,"")</f>
        <v>270</v>
      </c>
      <c r="B287" s="153">
        <f t="shared" si="32"/>
        <v>67969</v>
      </c>
      <c r="C287" s="151">
        <f t="shared" si="38"/>
        <v>0</v>
      </c>
      <c r="D287" s="151">
        <f t="shared" si="33"/>
        <v>1136407.7926360879</v>
      </c>
      <c r="E287" s="152">
        <f t="shared" si="34"/>
        <v>0</v>
      </c>
      <c r="F287" s="151">
        <f t="shared" si="35"/>
        <v>0</v>
      </c>
      <c r="G287" s="151">
        <f t="shared" si="36"/>
        <v>0</v>
      </c>
      <c r="H287" s="151">
        <f t="shared" si="39"/>
        <v>0</v>
      </c>
      <c r="I287" s="151">
        <f t="shared" si="37"/>
        <v>0</v>
      </c>
      <c r="J287" s="151">
        <f>SUM($H$18:$H287)</f>
        <v>2728155.8527217521</v>
      </c>
    </row>
    <row r="288" spans="1:10" x14ac:dyDescent="0.2">
      <c r="A288" s="154">
        <f>IF(Values_Entered,A287+1,"")</f>
        <v>271</v>
      </c>
      <c r="B288" s="153">
        <f t="shared" si="32"/>
        <v>68058</v>
      </c>
      <c r="C288" s="151">
        <f t="shared" si="38"/>
        <v>0</v>
      </c>
      <c r="D288" s="151">
        <f t="shared" si="33"/>
        <v>1136407.7926360879</v>
      </c>
      <c r="E288" s="152">
        <f t="shared" si="34"/>
        <v>0</v>
      </c>
      <c r="F288" s="151">
        <f t="shared" si="35"/>
        <v>0</v>
      </c>
      <c r="G288" s="151">
        <f t="shared" si="36"/>
        <v>0</v>
      </c>
      <c r="H288" s="151">
        <f t="shared" si="39"/>
        <v>0</v>
      </c>
      <c r="I288" s="151">
        <f t="shared" si="37"/>
        <v>0</v>
      </c>
      <c r="J288" s="151">
        <f>SUM($H$18:$H288)</f>
        <v>2728155.8527217521</v>
      </c>
    </row>
    <row r="289" spans="1:10" x14ac:dyDescent="0.2">
      <c r="A289" s="154">
        <f>IF(Values_Entered,A288+1,"")</f>
        <v>272</v>
      </c>
      <c r="B289" s="153">
        <f t="shared" si="32"/>
        <v>68150</v>
      </c>
      <c r="C289" s="151">
        <f t="shared" si="38"/>
        <v>0</v>
      </c>
      <c r="D289" s="151">
        <f t="shared" si="33"/>
        <v>1136407.7926360879</v>
      </c>
      <c r="E289" s="152">
        <f t="shared" si="34"/>
        <v>0</v>
      </c>
      <c r="F289" s="151">
        <f t="shared" si="35"/>
        <v>0</v>
      </c>
      <c r="G289" s="151">
        <f t="shared" si="36"/>
        <v>0</v>
      </c>
      <c r="H289" s="151">
        <f t="shared" si="39"/>
        <v>0</v>
      </c>
      <c r="I289" s="151">
        <f t="shared" si="37"/>
        <v>0</v>
      </c>
      <c r="J289" s="151">
        <f>SUM($H$18:$H289)</f>
        <v>2728155.8527217521</v>
      </c>
    </row>
    <row r="290" spans="1:10" x14ac:dyDescent="0.2">
      <c r="A290" s="154">
        <f>IF(Values_Entered,A289+1,"")</f>
        <v>273</v>
      </c>
      <c r="B290" s="153">
        <f t="shared" si="32"/>
        <v>68242</v>
      </c>
      <c r="C290" s="151">
        <f t="shared" si="38"/>
        <v>0</v>
      </c>
      <c r="D290" s="151">
        <f t="shared" si="33"/>
        <v>1136407.7926360879</v>
      </c>
      <c r="E290" s="152">
        <f t="shared" si="34"/>
        <v>0</v>
      </c>
      <c r="F290" s="151">
        <f t="shared" si="35"/>
        <v>0</v>
      </c>
      <c r="G290" s="151">
        <f t="shared" si="36"/>
        <v>0</v>
      </c>
      <c r="H290" s="151">
        <f t="shared" si="39"/>
        <v>0</v>
      </c>
      <c r="I290" s="151">
        <f t="shared" si="37"/>
        <v>0</v>
      </c>
      <c r="J290" s="151">
        <f>SUM($H$18:$H290)</f>
        <v>2728155.8527217521</v>
      </c>
    </row>
    <row r="291" spans="1:10" x14ac:dyDescent="0.2">
      <c r="A291" s="154">
        <f>IF(Values_Entered,A290+1,"")</f>
        <v>274</v>
      </c>
      <c r="B291" s="153">
        <f t="shared" si="32"/>
        <v>68334</v>
      </c>
      <c r="C291" s="151">
        <f t="shared" si="38"/>
        <v>0</v>
      </c>
      <c r="D291" s="151">
        <f t="shared" si="33"/>
        <v>1136407.7926360879</v>
      </c>
      <c r="E291" s="152">
        <f t="shared" si="34"/>
        <v>0</v>
      </c>
      <c r="F291" s="151">
        <f t="shared" si="35"/>
        <v>0</v>
      </c>
      <c r="G291" s="151">
        <f t="shared" si="36"/>
        <v>0</v>
      </c>
      <c r="H291" s="151">
        <f t="shared" si="39"/>
        <v>0</v>
      </c>
      <c r="I291" s="151">
        <f t="shared" si="37"/>
        <v>0</v>
      </c>
      <c r="J291" s="151">
        <f>SUM($H$18:$H291)</f>
        <v>2728155.8527217521</v>
      </c>
    </row>
    <row r="292" spans="1:10" x14ac:dyDescent="0.2">
      <c r="A292" s="154">
        <f>IF(Values_Entered,A291+1,"")</f>
        <v>275</v>
      </c>
      <c r="B292" s="153">
        <f t="shared" si="32"/>
        <v>68423</v>
      </c>
      <c r="C292" s="151">
        <f t="shared" si="38"/>
        <v>0</v>
      </c>
      <c r="D292" s="151">
        <f t="shared" si="33"/>
        <v>1136407.7926360879</v>
      </c>
      <c r="E292" s="152">
        <f t="shared" si="34"/>
        <v>0</v>
      </c>
      <c r="F292" s="151">
        <f t="shared" si="35"/>
        <v>0</v>
      </c>
      <c r="G292" s="151">
        <f t="shared" si="36"/>
        <v>0</v>
      </c>
      <c r="H292" s="151">
        <f t="shared" si="39"/>
        <v>0</v>
      </c>
      <c r="I292" s="151">
        <f t="shared" si="37"/>
        <v>0</v>
      </c>
      <c r="J292" s="151">
        <f>SUM($H$18:$H292)</f>
        <v>2728155.8527217521</v>
      </c>
    </row>
    <row r="293" spans="1:10" x14ac:dyDescent="0.2">
      <c r="A293" s="154">
        <f>IF(Values_Entered,A292+1,"")</f>
        <v>276</v>
      </c>
      <c r="B293" s="153">
        <f t="shared" si="32"/>
        <v>68515</v>
      </c>
      <c r="C293" s="151">
        <f t="shared" si="38"/>
        <v>0</v>
      </c>
      <c r="D293" s="151">
        <f t="shared" si="33"/>
        <v>1136407.7926360879</v>
      </c>
      <c r="E293" s="152">
        <f t="shared" si="34"/>
        <v>0</v>
      </c>
      <c r="F293" s="151">
        <f t="shared" si="35"/>
        <v>0</v>
      </c>
      <c r="G293" s="151">
        <f t="shared" si="36"/>
        <v>0</v>
      </c>
      <c r="H293" s="151">
        <f t="shared" si="39"/>
        <v>0</v>
      </c>
      <c r="I293" s="151">
        <f t="shared" si="37"/>
        <v>0</v>
      </c>
      <c r="J293" s="151">
        <f>SUM($H$18:$H293)</f>
        <v>2728155.8527217521</v>
      </c>
    </row>
    <row r="294" spans="1:10" x14ac:dyDescent="0.2">
      <c r="A294" s="154">
        <f>IF(Values_Entered,A293+1,"")</f>
        <v>277</v>
      </c>
      <c r="B294" s="153">
        <f t="shared" si="32"/>
        <v>68607</v>
      </c>
      <c r="C294" s="151">
        <f t="shared" si="38"/>
        <v>0</v>
      </c>
      <c r="D294" s="151">
        <f t="shared" si="33"/>
        <v>1136407.7926360879</v>
      </c>
      <c r="E294" s="152">
        <f t="shared" si="34"/>
        <v>0</v>
      </c>
      <c r="F294" s="151">
        <f t="shared" si="35"/>
        <v>0</v>
      </c>
      <c r="G294" s="151">
        <f t="shared" si="36"/>
        <v>0</v>
      </c>
      <c r="H294" s="151">
        <f t="shared" si="39"/>
        <v>0</v>
      </c>
      <c r="I294" s="151">
        <f t="shared" si="37"/>
        <v>0</v>
      </c>
      <c r="J294" s="151">
        <f>SUM($H$18:$H294)</f>
        <v>2728155.8527217521</v>
      </c>
    </row>
    <row r="295" spans="1:10" x14ac:dyDescent="0.2">
      <c r="A295" s="154">
        <f>IF(Values_Entered,A294+1,"")</f>
        <v>278</v>
      </c>
      <c r="B295" s="153">
        <f t="shared" si="32"/>
        <v>68699</v>
      </c>
      <c r="C295" s="151">
        <f t="shared" si="38"/>
        <v>0</v>
      </c>
      <c r="D295" s="151">
        <f t="shared" si="33"/>
        <v>1136407.7926360879</v>
      </c>
      <c r="E295" s="152">
        <f t="shared" si="34"/>
        <v>0</v>
      </c>
      <c r="F295" s="151">
        <f t="shared" si="35"/>
        <v>0</v>
      </c>
      <c r="G295" s="151">
        <f t="shared" si="36"/>
        <v>0</v>
      </c>
      <c r="H295" s="151">
        <f t="shared" si="39"/>
        <v>0</v>
      </c>
      <c r="I295" s="151">
        <f t="shared" si="37"/>
        <v>0</v>
      </c>
      <c r="J295" s="151">
        <f>SUM($H$18:$H295)</f>
        <v>2728155.8527217521</v>
      </c>
    </row>
    <row r="296" spans="1:10" x14ac:dyDescent="0.2">
      <c r="A296" s="154">
        <f>IF(Values_Entered,A295+1,"")</f>
        <v>279</v>
      </c>
      <c r="B296" s="153">
        <f t="shared" si="32"/>
        <v>68789</v>
      </c>
      <c r="C296" s="151">
        <f t="shared" si="38"/>
        <v>0</v>
      </c>
      <c r="D296" s="151">
        <f t="shared" si="33"/>
        <v>1136407.7926360879</v>
      </c>
      <c r="E296" s="152">
        <f t="shared" si="34"/>
        <v>0</v>
      </c>
      <c r="F296" s="151">
        <f t="shared" si="35"/>
        <v>0</v>
      </c>
      <c r="G296" s="151">
        <f t="shared" si="36"/>
        <v>0</v>
      </c>
      <c r="H296" s="151">
        <f t="shared" si="39"/>
        <v>0</v>
      </c>
      <c r="I296" s="151">
        <f t="shared" si="37"/>
        <v>0</v>
      </c>
      <c r="J296" s="151">
        <f>SUM($H$18:$H296)</f>
        <v>2728155.8527217521</v>
      </c>
    </row>
    <row r="297" spans="1:10" x14ac:dyDescent="0.2">
      <c r="A297" s="154">
        <f>IF(Values_Entered,A296+1,"")</f>
        <v>280</v>
      </c>
      <c r="B297" s="153">
        <f t="shared" si="32"/>
        <v>68881</v>
      </c>
      <c r="C297" s="151">
        <f t="shared" si="38"/>
        <v>0</v>
      </c>
      <c r="D297" s="151">
        <f t="shared" si="33"/>
        <v>1136407.7926360879</v>
      </c>
      <c r="E297" s="152">
        <f t="shared" si="34"/>
        <v>0</v>
      </c>
      <c r="F297" s="151">
        <f t="shared" si="35"/>
        <v>0</v>
      </c>
      <c r="G297" s="151">
        <f t="shared" si="36"/>
        <v>0</v>
      </c>
      <c r="H297" s="151">
        <f t="shared" si="39"/>
        <v>0</v>
      </c>
      <c r="I297" s="151">
        <f t="shared" si="37"/>
        <v>0</v>
      </c>
      <c r="J297" s="151">
        <f>SUM($H$18:$H297)</f>
        <v>2728155.8527217521</v>
      </c>
    </row>
    <row r="298" spans="1:10" x14ac:dyDescent="0.2">
      <c r="A298" s="154">
        <f>IF(Values_Entered,A297+1,"")</f>
        <v>281</v>
      </c>
      <c r="B298" s="153">
        <f t="shared" si="32"/>
        <v>68973</v>
      </c>
      <c r="C298" s="151">
        <f t="shared" si="38"/>
        <v>0</v>
      </c>
      <c r="D298" s="151">
        <f t="shared" si="33"/>
        <v>1136407.7926360879</v>
      </c>
      <c r="E298" s="152">
        <f t="shared" si="34"/>
        <v>0</v>
      </c>
      <c r="F298" s="151">
        <f t="shared" si="35"/>
        <v>0</v>
      </c>
      <c r="G298" s="151">
        <f t="shared" si="36"/>
        <v>0</v>
      </c>
      <c r="H298" s="151">
        <f t="shared" si="39"/>
        <v>0</v>
      </c>
      <c r="I298" s="151">
        <f t="shared" si="37"/>
        <v>0</v>
      </c>
      <c r="J298" s="151">
        <f>SUM($H$18:$H298)</f>
        <v>2728155.8527217521</v>
      </c>
    </row>
    <row r="299" spans="1:10" x14ac:dyDescent="0.2">
      <c r="A299" s="154">
        <f>IF(Values_Entered,A298+1,"")</f>
        <v>282</v>
      </c>
      <c r="B299" s="153">
        <f t="shared" si="32"/>
        <v>69065</v>
      </c>
      <c r="C299" s="151">
        <f t="shared" si="38"/>
        <v>0</v>
      </c>
      <c r="D299" s="151">
        <f t="shared" si="33"/>
        <v>1136407.7926360879</v>
      </c>
      <c r="E299" s="152">
        <f t="shared" si="34"/>
        <v>0</v>
      </c>
      <c r="F299" s="151">
        <f t="shared" si="35"/>
        <v>0</v>
      </c>
      <c r="G299" s="151">
        <f t="shared" si="36"/>
        <v>0</v>
      </c>
      <c r="H299" s="151">
        <f t="shared" si="39"/>
        <v>0</v>
      </c>
      <c r="I299" s="151">
        <f t="shared" si="37"/>
        <v>0</v>
      </c>
      <c r="J299" s="151">
        <f>SUM($H$18:$H299)</f>
        <v>2728155.8527217521</v>
      </c>
    </row>
    <row r="300" spans="1:10" x14ac:dyDescent="0.2">
      <c r="A300" s="154">
        <f>IF(Values_Entered,A299+1,"")</f>
        <v>283</v>
      </c>
      <c r="B300" s="153">
        <f t="shared" si="32"/>
        <v>69154</v>
      </c>
      <c r="C300" s="151">
        <f t="shared" si="38"/>
        <v>0</v>
      </c>
      <c r="D300" s="151">
        <f t="shared" si="33"/>
        <v>1136407.7926360879</v>
      </c>
      <c r="E300" s="152">
        <f t="shared" si="34"/>
        <v>0</v>
      </c>
      <c r="F300" s="151">
        <f t="shared" si="35"/>
        <v>0</v>
      </c>
      <c r="G300" s="151">
        <f t="shared" si="36"/>
        <v>0</v>
      </c>
      <c r="H300" s="151">
        <f t="shared" si="39"/>
        <v>0</v>
      </c>
      <c r="I300" s="151">
        <f t="shared" si="37"/>
        <v>0</v>
      </c>
      <c r="J300" s="151">
        <f>SUM($H$18:$H300)</f>
        <v>2728155.8527217521</v>
      </c>
    </row>
    <row r="301" spans="1:10" x14ac:dyDescent="0.2">
      <c r="A301" s="154">
        <f>IF(Values_Entered,A300+1,"")</f>
        <v>284</v>
      </c>
      <c r="B301" s="153">
        <f t="shared" si="32"/>
        <v>69246</v>
      </c>
      <c r="C301" s="151">
        <f t="shared" si="38"/>
        <v>0</v>
      </c>
      <c r="D301" s="151">
        <f t="shared" si="33"/>
        <v>1136407.7926360879</v>
      </c>
      <c r="E301" s="152">
        <f t="shared" si="34"/>
        <v>0</v>
      </c>
      <c r="F301" s="151">
        <f t="shared" si="35"/>
        <v>0</v>
      </c>
      <c r="G301" s="151">
        <f t="shared" si="36"/>
        <v>0</v>
      </c>
      <c r="H301" s="151">
        <f t="shared" si="39"/>
        <v>0</v>
      </c>
      <c r="I301" s="151">
        <f t="shared" si="37"/>
        <v>0</v>
      </c>
      <c r="J301" s="151">
        <f>SUM($H$18:$H301)</f>
        <v>2728155.8527217521</v>
      </c>
    </row>
    <row r="302" spans="1:10" x14ac:dyDescent="0.2">
      <c r="A302" s="154">
        <f>IF(Values_Entered,A301+1,"")</f>
        <v>285</v>
      </c>
      <c r="B302" s="153">
        <f t="shared" si="32"/>
        <v>69338</v>
      </c>
      <c r="C302" s="151">
        <f t="shared" si="38"/>
        <v>0</v>
      </c>
      <c r="D302" s="151">
        <f t="shared" si="33"/>
        <v>1136407.7926360879</v>
      </c>
      <c r="E302" s="152">
        <f t="shared" si="34"/>
        <v>0</v>
      </c>
      <c r="F302" s="151">
        <f t="shared" si="35"/>
        <v>0</v>
      </c>
      <c r="G302" s="151">
        <f t="shared" si="36"/>
        <v>0</v>
      </c>
      <c r="H302" s="151">
        <f t="shared" si="39"/>
        <v>0</v>
      </c>
      <c r="I302" s="151">
        <f t="shared" si="37"/>
        <v>0</v>
      </c>
      <c r="J302" s="151">
        <f>SUM($H$18:$H302)</f>
        <v>2728155.8527217521</v>
      </c>
    </row>
    <row r="303" spans="1:10" x14ac:dyDescent="0.2">
      <c r="A303" s="154">
        <f>IF(Values_Entered,A302+1,"")</f>
        <v>286</v>
      </c>
      <c r="B303" s="153">
        <f t="shared" si="32"/>
        <v>69430</v>
      </c>
      <c r="C303" s="151">
        <f t="shared" si="38"/>
        <v>0</v>
      </c>
      <c r="D303" s="151">
        <f t="shared" si="33"/>
        <v>1136407.7926360879</v>
      </c>
      <c r="E303" s="152">
        <f t="shared" si="34"/>
        <v>0</v>
      </c>
      <c r="F303" s="151">
        <f t="shared" si="35"/>
        <v>0</v>
      </c>
      <c r="G303" s="151">
        <f t="shared" si="36"/>
        <v>0</v>
      </c>
      <c r="H303" s="151">
        <f t="shared" si="39"/>
        <v>0</v>
      </c>
      <c r="I303" s="151">
        <f t="shared" si="37"/>
        <v>0</v>
      </c>
      <c r="J303" s="151">
        <f>SUM($H$18:$H303)</f>
        <v>2728155.8527217521</v>
      </c>
    </row>
    <row r="304" spans="1:10" x14ac:dyDescent="0.2">
      <c r="A304" s="154">
        <f>IF(Values_Entered,A303+1,"")</f>
        <v>287</v>
      </c>
      <c r="B304" s="153">
        <f t="shared" si="32"/>
        <v>69519</v>
      </c>
      <c r="C304" s="151">
        <f t="shared" si="38"/>
        <v>0</v>
      </c>
      <c r="D304" s="151">
        <f t="shared" si="33"/>
        <v>1136407.7926360879</v>
      </c>
      <c r="E304" s="152">
        <f t="shared" si="34"/>
        <v>0</v>
      </c>
      <c r="F304" s="151">
        <f t="shared" si="35"/>
        <v>0</v>
      </c>
      <c r="G304" s="151">
        <f t="shared" si="36"/>
        <v>0</v>
      </c>
      <c r="H304" s="151">
        <f t="shared" si="39"/>
        <v>0</v>
      </c>
      <c r="I304" s="151">
        <f t="shared" si="37"/>
        <v>0</v>
      </c>
      <c r="J304" s="151">
        <f>SUM($H$18:$H304)</f>
        <v>2728155.8527217521</v>
      </c>
    </row>
    <row r="305" spans="1:10" x14ac:dyDescent="0.2">
      <c r="A305" s="154">
        <f>IF(Values_Entered,A304+1,"")</f>
        <v>288</v>
      </c>
      <c r="B305" s="153">
        <f t="shared" si="32"/>
        <v>69611</v>
      </c>
      <c r="C305" s="151">
        <f t="shared" si="38"/>
        <v>0</v>
      </c>
      <c r="D305" s="151">
        <f t="shared" si="33"/>
        <v>1136407.7926360879</v>
      </c>
      <c r="E305" s="152">
        <f t="shared" si="34"/>
        <v>0</v>
      </c>
      <c r="F305" s="151">
        <f t="shared" si="35"/>
        <v>0</v>
      </c>
      <c r="G305" s="151">
        <f t="shared" si="36"/>
        <v>0</v>
      </c>
      <c r="H305" s="151">
        <f t="shared" si="39"/>
        <v>0</v>
      </c>
      <c r="I305" s="151">
        <f t="shared" si="37"/>
        <v>0</v>
      </c>
      <c r="J305" s="151">
        <f>SUM($H$18:$H305)</f>
        <v>2728155.8527217521</v>
      </c>
    </row>
    <row r="306" spans="1:10" x14ac:dyDescent="0.2">
      <c r="A306" s="154">
        <f>IF(Values_Entered,A305+1,"")</f>
        <v>289</v>
      </c>
      <c r="B306" s="153">
        <f t="shared" si="32"/>
        <v>69703</v>
      </c>
      <c r="C306" s="151">
        <f t="shared" si="38"/>
        <v>0</v>
      </c>
      <c r="D306" s="151">
        <f t="shared" si="33"/>
        <v>1136407.7926360879</v>
      </c>
      <c r="E306" s="152">
        <f t="shared" si="34"/>
        <v>0</v>
      </c>
      <c r="F306" s="151">
        <f t="shared" si="35"/>
        <v>0</v>
      </c>
      <c r="G306" s="151">
        <f t="shared" si="36"/>
        <v>0</v>
      </c>
      <c r="H306" s="151">
        <f t="shared" si="39"/>
        <v>0</v>
      </c>
      <c r="I306" s="151">
        <f t="shared" si="37"/>
        <v>0</v>
      </c>
      <c r="J306" s="151">
        <f>SUM($H$18:$H306)</f>
        <v>2728155.8527217521</v>
      </c>
    </row>
    <row r="307" spans="1:10" x14ac:dyDescent="0.2">
      <c r="A307" s="154">
        <f>IF(Values_Entered,A306+1,"")</f>
        <v>290</v>
      </c>
      <c r="B307" s="153">
        <f t="shared" si="32"/>
        <v>69795</v>
      </c>
      <c r="C307" s="151">
        <f t="shared" si="38"/>
        <v>0</v>
      </c>
      <c r="D307" s="151">
        <f t="shared" si="33"/>
        <v>1136407.7926360879</v>
      </c>
      <c r="E307" s="152">
        <f t="shared" si="34"/>
        <v>0</v>
      </c>
      <c r="F307" s="151">
        <f t="shared" si="35"/>
        <v>0</v>
      </c>
      <c r="G307" s="151">
        <f t="shared" si="36"/>
        <v>0</v>
      </c>
      <c r="H307" s="151">
        <f t="shared" si="39"/>
        <v>0</v>
      </c>
      <c r="I307" s="151">
        <f t="shared" si="37"/>
        <v>0</v>
      </c>
      <c r="J307" s="151">
        <f>SUM($H$18:$H307)</f>
        <v>2728155.8527217521</v>
      </c>
    </row>
    <row r="308" spans="1:10" x14ac:dyDescent="0.2">
      <c r="A308" s="154">
        <f>IF(Values_Entered,A307+1,"")</f>
        <v>291</v>
      </c>
      <c r="B308" s="153">
        <f t="shared" si="32"/>
        <v>69884</v>
      </c>
      <c r="C308" s="151">
        <f t="shared" si="38"/>
        <v>0</v>
      </c>
      <c r="D308" s="151">
        <f t="shared" si="33"/>
        <v>1136407.7926360879</v>
      </c>
      <c r="E308" s="152">
        <f t="shared" si="34"/>
        <v>0</v>
      </c>
      <c r="F308" s="151">
        <f t="shared" si="35"/>
        <v>0</v>
      </c>
      <c r="G308" s="151">
        <f t="shared" si="36"/>
        <v>0</v>
      </c>
      <c r="H308" s="151">
        <f t="shared" si="39"/>
        <v>0</v>
      </c>
      <c r="I308" s="151">
        <f t="shared" si="37"/>
        <v>0</v>
      </c>
      <c r="J308" s="151">
        <f>SUM($H$18:$H308)</f>
        <v>2728155.8527217521</v>
      </c>
    </row>
    <row r="309" spans="1:10" x14ac:dyDescent="0.2">
      <c r="A309" s="154">
        <f>IF(Values_Entered,A308+1,"")</f>
        <v>292</v>
      </c>
      <c r="B309" s="153">
        <f t="shared" si="32"/>
        <v>69976</v>
      </c>
      <c r="C309" s="151">
        <f t="shared" si="38"/>
        <v>0</v>
      </c>
      <c r="D309" s="151">
        <f t="shared" si="33"/>
        <v>1136407.7926360879</v>
      </c>
      <c r="E309" s="152">
        <f t="shared" si="34"/>
        <v>0</v>
      </c>
      <c r="F309" s="151">
        <f t="shared" si="35"/>
        <v>0</v>
      </c>
      <c r="G309" s="151">
        <f t="shared" si="36"/>
        <v>0</v>
      </c>
      <c r="H309" s="151">
        <f t="shared" si="39"/>
        <v>0</v>
      </c>
      <c r="I309" s="151">
        <f t="shared" si="37"/>
        <v>0</v>
      </c>
      <c r="J309" s="151">
        <f>SUM($H$18:$H309)</f>
        <v>2728155.8527217521</v>
      </c>
    </row>
    <row r="310" spans="1:10" x14ac:dyDescent="0.2">
      <c r="A310" s="154">
        <f>IF(Values_Entered,A309+1,"")</f>
        <v>293</v>
      </c>
      <c r="B310" s="153">
        <f t="shared" si="32"/>
        <v>70068</v>
      </c>
      <c r="C310" s="151">
        <f t="shared" si="38"/>
        <v>0</v>
      </c>
      <c r="D310" s="151">
        <f t="shared" si="33"/>
        <v>1136407.7926360879</v>
      </c>
      <c r="E310" s="152">
        <f t="shared" si="34"/>
        <v>0</v>
      </c>
      <c r="F310" s="151">
        <f t="shared" si="35"/>
        <v>0</v>
      </c>
      <c r="G310" s="151">
        <f t="shared" si="36"/>
        <v>0</v>
      </c>
      <c r="H310" s="151">
        <f t="shared" si="39"/>
        <v>0</v>
      </c>
      <c r="I310" s="151">
        <f t="shared" si="37"/>
        <v>0</v>
      </c>
      <c r="J310" s="151">
        <f>SUM($H$18:$H310)</f>
        <v>2728155.8527217521</v>
      </c>
    </row>
    <row r="311" spans="1:10" x14ac:dyDescent="0.2">
      <c r="A311" s="154">
        <f>IF(Values_Entered,A310+1,"")</f>
        <v>294</v>
      </c>
      <c r="B311" s="153">
        <f t="shared" si="32"/>
        <v>70160</v>
      </c>
      <c r="C311" s="151">
        <f t="shared" si="38"/>
        <v>0</v>
      </c>
      <c r="D311" s="151">
        <f t="shared" si="33"/>
        <v>1136407.7926360879</v>
      </c>
      <c r="E311" s="152">
        <f t="shared" si="34"/>
        <v>0</v>
      </c>
      <c r="F311" s="151">
        <f t="shared" si="35"/>
        <v>0</v>
      </c>
      <c r="G311" s="151">
        <f t="shared" si="36"/>
        <v>0</v>
      </c>
      <c r="H311" s="151">
        <f t="shared" si="39"/>
        <v>0</v>
      </c>
      <c r="I311" s="151">
        <f t="shared" si="37"/>
        <v>0</v>
      </c>
      <c r="J311" s="151">
        <f>SUM($H$18:$H311)</f>
        <v>2728155.8527217521</v>
      </c>
    </row>
    <row r="312" spans="1:10" x14ac:dyDescent="0.2">
      <c r="A312" s="154">
        <f>IF(Values_Entered,A311+1,"")</f>
        <v>295</v>
      </c>
      <c r="B312" s="153">
        <f t="shared" si="32"/>
        <v>70250</v>
      </c>
      <c r="C312" s="151">
        <f t="shared" si="38"/>
        <v>0</v>
      </c>
      <c r="D312" s="151">
        <f t="shared" si="33"/>
        <v>1136407.7926360879</v>
      </c>
      <c r="E312" s="152">
        <f t="shared" si="34"/>
        <v>0</v>
      </c>
      <c r="F312" s="151">
        <f t="shared" si="35"/>
        <v>0</v>
      </c>
      <c r="G312" s="151">
        <f t="shared" si="36"/>
        <v>0</v>
      </c>
      <c r="H312" s="151">
        <f t="shared" si="39"/>
        <v>0</v>
      </c>
      <c r="I312" s="151">
        <f t="shared" si="37"/>
        <v>0</v>
      </c>
      <c r="J312" s="151">
        <f>SUM($H$18:$H312)</f>
        <v>2728155.8527217521</v>
      </c>
    </row>
    <row r="313" spans="1:10" x14ac:dyDescent="0.2">
      <c r="A313" s="154">
        <f>IF(Values_Entered,A312+1,"")</f>
        <v>296</v>
      </c>
      <c r="B313" s="153">
        <f t="shared" si="32"/>
        <v>70342</v>
      </c>
      <c r="C313" s="151">
        <f t="shared" si="38"/>
        <v>0</v>
      </c>
      <c r="D313" s="151">
        <f t="shared" si="33"/>
        <v>1136407.7926360879</v>
      </c>
      <c r="E313" s="152">
        <f t="shared" si="34"/>
        <v>0</v>
      </c>
      <c r="F313" s="151">
        <f t="shared" si="35"/>
        <v>0</v>
      </c>
      <c r="G313" s="151">
        <f t="shared" si="36"/>
        <v>0</v>
      </c>
      <c r="H313" s="151">
        <f t="shared" si="39"/>
        <v>0</v>
      </c>
      <c r="I313" s="151">
        <f t="shared" si="37"/>
        <v>0</v>
      </c>
      <c r="J313" s="151">
        <f>SUM($H$18:$H313)</f>
        <v>2728155.8527217521</v>
      </c>
    </row>
    <row r="314" spans="1:10" x14ac:dyDescent="0.2">
      <c r="A314" s="154">
        <f>IF(Values_Entered,A313+1,"")</f>
        <v>297</v>
      </c>
      <c r="B314" s="153">
        <f t="shared" si="32"/>
        <v>70434</v>
      </c>
      <c r="C314" s="151">
        <f t="shared" si="38"/>
        <v>0</v>
      </c>
      <c r="D314" s="151">
        <f t="shared" si="33"/>
        <v>1136407.7926360879</v>
      </c>
      <c r="E314" s="152">
        <f t="shared" si="34"/>
        <v>0</v>
      </c>
      <c r="F314" s="151">
        <f t="shared" si="35"/>
        <v>0</v>
      </c>
      <c r="G314" s="151">
        <f t="shared" si="36"/>
        <v>0</v>
      </c>
      <c r="H314" s="151">
        <f t="shared" si="39"/>
        <v>0</v>
      </c>
      <c r="I314" s="151">
        <f t="shared" si="37"/>
        <v>0</v>
      </c>
      <c r="J314" s="151">
        <f>SUM($H$18:$H314)</f>
        <v>2728155.8527217521</v>
      </c>
    </row>
    <row r="315" spans="1:10" x14ac:dyDescent="0.2">
      <c r="A315" s="154">
        <f>IF(Values_Entered,A314+1,"")</f>
        <v>298</v>
      </c>
      <c r="B315" s="153">
        <f t="shared" si="32"/>
        <v>70526</v>
      </c>
      <c r="C315" s="151">
        <f t="shared" si="38"/>
        <v>0</v>
      </c>
      <c r="D315" s="151">
        <f t="shared" si="33"/>
        <v>1136407.7926360879</v>
      </c>
      <c r="E315" s="152">
        <f t="shared" si="34"/>
        <v>0</v>
      </c>
      <c r="F315" s="151">
        <f t="shared" si="35"/>
        <v>0</v>
      </c>
      <c r="G315" s="151">
        <f t="shared" si="36"/>
        <v>0</v>
      </c>
      <c r="H315" s="151">
        <f t="shared" si="39"/>
        <v>0</v>
      </c>
      <c r="I315" s="151">
        <f t="shared" si="37"/>
        <v>0</v>
      </c>
      <c r="J315" s="151">
        <f>SUM($H$18:$H315)</f>
        <v>2728155.8527217521</v>
      </c>
    </row>
    <row r="316" spans="1:10" x14ac:dyDescent="0.2">
      <c r="A316" s="154">
        <f>IF(Values_Entered,A315+1,"")</f>
        <v>299</v>
      </c>
      <c r="B316" s="153">
        <f t="shared" si="32"/>
        <v>70615</v>
      </c>
      <c r="C316" s="151">
        <f t="shared" si="38"/>
        <v>0</v>
      </c>
      <c r="D316" s="151">
        <f t="shared" si="33"/>
        <v>1136407.7926360879</v>
      </c>
      <c r="E316" s="152">
        <f t="shared" si="34"/>
        <v>0</v>
      </c>
      <c r="F316" s="151">
        <f t="shared" si="35"/>
        <v>0</v>
      </c>
      <c r="G316" s="151">
        <f t="shared" si="36"/>
        <v>0</v>
      </c>
      <c r="H316" s="151">
        <f t="shared" si="39"/>
        <v>0</v>
      </c>
      <c r="I316" s="151">
        <f t="shared" si="37"/>
        <v>0</v>
      </c>
      <c r="J316" s="151">
        <f>SUM($H$18:$H316)</f>
        <v>2728155.8527217521</v>
      </c>
    </row>
    <row r="317" spans="1:10" x14ac:dyDescent="0.2">
      <c r="A317" s="154">
        <f>IF(Values_Entered,A316+1,"")</f>
        <v>300</v>
      </c>
      <c r="B317" s="153">
        <f t="shared" si="32"/>
        <v>70707</v>
      </c>
      <c r="C317" s="151">
        <f t="shared" si="38"/>
        <v>0</v>
      </c>
      <c r="D317" s="151">
        <f t="shared" si="33"/>
        <v>1136407.7926360879</v>
      </c>
      <c r="E317" s="152">
        <f t="shared" si="34"/>
        <v>0</v>
      </c>
      <c r="F317" s="151">
        <f t="shared" si="35"/>
        <v>0</v>
      </c>
      <c r="G317" s="151">
        <f t="shared" si="36"/>
        <v>0</v>
      </c>
      <c r="H317" s="151">
        <f t="shared" si="39"/>
        <v>0</v>
      </c>
      <c r="I317" s="151">
        <f t="shared" si="37"/>
        <v>0</v>
      </c>
      <c r="J317" s="151">
        <f>SUM($H$18:$H317)</f>
        <v>2728155.8527217521</v>
      </c>
    </row>
    <row r="318" spans="1:10" x14ac:dyDescent="0.2">
      <c r="A318" s="154">
        <f>IF(Values_Entered,A317+1,"")</f>
        <v>301</v>
      </c>
      <c r="B318" s="153">
        <f t="shared" si="32"/>
        <v>70799</v>
      </c>
      <c r="C318" s="151">
        <f t="shared" si="38"/>
        <v>0</v>
      </c>
      <c r="D318" s="151">
        <f t="shared" si="33"/>
        <v>1136407.7926360879</v>
      </c>
      <c r="E318" s="152">
        <f t="shared" si="34"/>
        <v>0</v>
      </c>
      <c r="F318" s="151">
        <f t="shared" si="35"/>
        <v>0</v>
      </c>
      <c r="G318" s="151">
        <f t="shared" si="36"/>
        <v>0</v>
      </c>
      <c r="H318" s="151">
        <f t="shared" si="39"/>
        <v>0</v>
      </c>
      <c r="I318" s="151">
        <f t="shared" si="37"/>
        <v>0</v>
      </c>
      <c r="J318" s="151">
        <f>SUM($H$18:$H318)</f>
        <v>2728155.8527217521</v>
      </c>
    </row>
    <row r="319" spans="1:10" x14ac:dyDescent="0.2">
      <c r="A319" s="154">
        <f>IF(Values_Entered,A318+1,"")</f>
        <v>302</v>
      </c>
      <c r="B319" s="153">
        <f t="shared" si="32"/>
        <v>70891</v>
      </c>
      <c r="C319" s="151">
        <f t="shared" si="38"/>
        <v>0</v>
      </c>
      <c r="D319" s="151">
        <f t="shared" si="33"/>
        <v>1136407.7926360879</v>
      </c>
      <c r="E319" s="152">
        <f t="shared" si="34"/>
        <v>0</v>
      </c>
      <c r="F319" s="151">
        <f t="shared" si="35"/>
        <v>0</v>
      </c>
      <c r="G319" s="151">
        <f t="shared" si="36"/>
        <v>0</v>
      </c>
      <c r="H319" s="151">
        <f t="shared" si="39"/>
        <v>0</v>
      </c>
      <c r="I319" s="151">
        <f t="shared" si="37"/>
        <v>0</v>
      </c>
      <c r="J319" s="151">
        <f>SUM($H$18:$H319)</f>
        <v>2728155.8527217521</v>
      </c>
    </row>
    <row r="320" spans="1:10" x14ac:dyDescent="0.2">
      <c r="A320" s="154">
        <f>IF(Values_Entered,A319+1,"")</f>
        <v>303</v>
      </c>
      <c r="B320" s="153">
        <f t="shared" si="32"/>
        <v>70980</v>
      </c>
      <c r="C320" s="151">
        <f t="shared" si="38"/>
        <v>0</v>
      </c>
      <c r="D320" s="151">
        <f t="shared" si="33"/>
        <v>1136407.7926360879</v>
      </c>
      <c r="E320" s="152">
        <f t="shared" si="34"/>
        <v>0</v>
      </c>
      <c r="F320" s="151">
        <f t="shared" si="35"/>
        <v>0</v>
      </c>
      <c r="G320" s="151">
        <f t="shared" si="36"/>
        <v>0</v>
      </c>
      <c r="H320" s="151">
        <f t="shared" si="39"/>
        <v>0</v>
      </c>
      <c r="I320" s="151">
        <f t="shared" si="37"/>
        <v>0</v>
      </c>
      <c r="J320" s="151">
        <f>SUM($H$18:$H320)</f>
        <v>2728155.8527217521</v>
      </c>
    </row>
    <row r="321" spans="1:10" x14ac:dyDescent="0.2">
      <c r="A321" s="154">
        <f>IF(Values_Entered,A320+1,"")</f>
        <v>304</v>
      </c>
      <c r="B321" s="153">
        <f t="shared" si="32"/>
        <v>71072</v>
      </c>
      <c r="C321" s="151">
        <f t="shared" si="38"/>
        <v>0</v>
      </c>
      <c r="D321" s="151">
        <f t="shared" si="33"/>
        <v>1136407.7926360879</v>
      </c>
      <c r="E321" s="152">
        <f t="shared" si="34"/>
        <v>0</v>
      </c>
      <c r="F321" s="151">
        <f t="shared" si="35"/>
        <v>0</v>
      </c>
      <c r="G321" s="151">
        <f t="shared" si="36"/>
        <v>0</v>
      </c>
      <c r="H321" s="151">
        <f t="shared" si="39"/>
        <v>0</v>
      </c>
      <c r="I321" s="151">
        <f t="shared" si="37"/>
        <v>0</v>
      </c>
      <c r="J321" s="151">
        <f>SUM($H$18:$H321)</f>
        <v>2728155.8527217521</v>
      </c>
    </row>
    <row r="322" spans="1:10" x14ac:dyDescent="0.2">
      <c r="A322" s="154">
        <f>IF(Values_Entered,A321+1,"")</f>
        <v>305</v>
      </c>
      <c r="B322" s="153">
        <f t="shared" si="32"/>
        <v>71164</v>
      </c>
      <c r="C322" s="151">
        <f t="shared" si="38"/>
        <v>0</v>
      </c>
      <c r="D322" s="151">
        <f t="shared" si="33"/>
        <v>1136407.7926360879</v>
      </c>
      <c r="E322" s="152">
        <f t="shared" si="34"/>
        <v>0</v>
      </c>
      <c r="F322" s="151">
        <f t="shared" si="35"/>
        <v>0</v>
      </c>
      <c r="G322" s="151">
        <f t="shared" si="36"/>
        <v>0</v>
      </c>
      <c r="H322" s="151">
        <f t="shared" si="39"/>
        <v>0</v>
      </c>
      <c r="I322" s="151">
        <f t="shared" si="37"/>
        <v>0</v>
      </c>
      <c r="J322" s="151">
        <f>SUM($H$18:$H322)</f>
        <v>2728155.8527217521</v>
      </c>
    </row>
    <row r="323" spans="1:10" x14ac:dyDescent="0.2">
      <c r="A323" s="154">
        <f>IF(Values_Entered,A322+1,"")</f>
        <v>306</v>
      </c>
      <c r="B323" s="153">
        <f t="shared" si="32"/>
        <v>71256</v>
      </c>
      <c r="C323" s="151">
        <f t="shared" si="38"/>
        <v>0</v>
      </c>
      <c r="D323" s="151">
        <f t="shared" si="33"/>
        <v>1136407.7926360879</v>
      </c>
      <c r="E323" s="152">
        <f t="shared" si="34"/>
        <v>0</v>
      </c>
      <c r="F323" s="151">
        <f t="shared" si="35"/>
        <v>0</v>
      </c>
      <c r="G323" s="151">
        <f t="shared" si="36"/>
        <v>0</v>
      </c>
      <c r="H323" s="151">
        <f t="shared" si="39"/>
        <v>0</v>
      </c>
      <c r="I323" s="151">
        <f t="shared" si="37"/>
        <v>0</v>
      </c>
      <c r="J323" s="151">
        <f>SUM($H$18:$H323)</f>
        <v>2728155.8527217521</v>
      </c>
    </row>
    <row r="324" spans="1:10" x14ac:dyDescent="0.2">
      <c r="A324" s="154">
        <f>IF(Values_Entered,A323+1,"")</f>
        <v>307</v>
      </c>
      <c r="B324" s="153">
        <f t="shared" si="32"/>
        <v>71345</v>
      </c>
      <c r="C324" s="151">
        <f t="shared" si="38"/>
        <v>0</v>
      </c>
      <c r="D324" s="151">
        <f t="shared" si="33"/>
        <v>1136407.7926360879</v>
      </c>
      <c r="E324" s="152">
        <f t="shared" si="34"/>
        <v>0</v>
      </c>
      <c r="F324" s="151">
        <f t="shared" si="35"/>
        <v>0</v>
      </c>
      <c r="G324" s="151">
        <f t="shared" si="36"/>
        <v>0</v>
      </c>
      <c r="H324" s="151">
        <f t="shared" si="39"/>
        <v>0</v>
      </c>
      <c r="I324" s="151">
        <f t="shared" si="37"/>
        <v>0</v>
      </c>
      <c r="J324" s="151">
        <f>SUM($H$18:$H324)</f>
        <v>2728155.8527217521</v>
      </c>
    </row>
    <row r="325" spans="1:10" x14ac:dyDescent="0.2">
      <c r="A325" s="154">
        <f>IF(Values_Entered,A324+1,"")</f>
        <v>308</v>
      </c>
      <c r="B325" s="153">
        <f t="shared" si="32"/>
        <v>71437</v>
      </c>
      <c r="C325" s="151">
        <f t="shared" si="38"/>
        <v>0</v>
      </c>
      <c r="D325" s="151">
        <f t="shared" si="33"/>
        <v>1136407.7926360879</v>
      </c>
      <c r="E325" s="152">
        <f t="shared" si="34"/>
        <v>0</v>
      </c>
      <c r="F325" s="151">
        <f t="shared" si="35"/>
        <v>0</v>
      </c>
      <c r="G325" s="151">
        <f t="shared" si="36"/>
        <v>0</v>
      </c>
      <c r="H325" s="151">
        <f t="shared" si="39"/>
        <v>0</v>
      </c>
      <c r="I325" s="151">
        <f t="shared" si="37"/>
        <v>0</v>
      </c>
      <c r="J325" s="151">
        <f>SUM($H$18:$H325)</f>
        <v>2728155.8527217521</v>
      </c>
    </row>
    <row r="326" spans="1:10" x14ac:dyDescent="0.2">
      <c r="A326" s="154">
        <f>IF(Values_Entered,A325+1,"")</f>
        <v>309</v>
      </c>
      <c r="B326" s="153">
        <f t="shared" si="32"/>
        <v>71529</v>
      </c>
      <c r="C326" s="151">
        <f t="shared" si="38"/>
        <v>0</v>
      </c>
      <c r="D326" s="151">
        <f t="shared" si="33"/>
        <v>1136407.7926360879</v>
      </c>
      <c r="E326" s="152">
        <f t="shared" si="34"/>
        <v>0</v>
      </c>
      <c r="F326" s="151">
        <f t="shared" si="35"/>
        <v>0</v>
      </c>
      <c r="G326" s="151">
        <f t="shared" si="36"/>
        <v>0</v>
      </c>
      <c r="H326" s="151">
        <f t="shared" si="39"/>
        <v>0</v>
      </c>
      <c r="I326" s="151">
        <f t="shared" si="37"/>
        <v>0</v>
      </c>
      <c r="J326" s="151">
        <f>SUM($H$18:$H326)</f>
        <v>2728155.8527217521</v>
      </c>
    </row>
    <row r="327" spans="1:10" x14ac:dyDescent="0.2">
      <c r="A327" s="154">
        <f>IF(Values_Entered,A326+1,"")</f>
        <v>310</v>
      </c>
      <c r="B327" s="153">
        <f t="shared" si="32"/>
        <v>71621</v>
      </c>
      <c r="C327" s="151">
        <f t="shared" si="38"/>
        <v>0</v>
      </c>
      <c r="D327" s="151">
        <f t="shared" si="33"/>
        <v>1136407.7926360879</v>
      </c>
      <c r="E327" s="152">
        <f t="shared" si="34"/>
        <v>0</v>
      </c>
      <c r="F327" s="151">
        <f t="shared" si="35"/>
        <v>0</v>
      </c>
      <c r="G327" s="151">
        <f t="shared" si="36"/>
        <v>0</v>
      </c>
      <c r="H327" s="151">
        <f t="shared" si="39"/>
        <v>0</v>
      </c>
      <c r="I327" s="151">
        <f t="shared" si="37"/>
        <v>0</v>
      </c>
      <c r="J327" s="151">
        <f>SUM($H$18:$H327)</f>
        <v>2728155.8527217521</v>
      </c>
    </row>
    <row r="328" spans="1:10" x14ac:dyDescent="0.2">
      <c r="A328" s="154">
        <f>IF(Values_Entered,A327+1,"")</f>
        <v>311</v>
      </c>
      <c r="B328" s="153">
        <f t="shared" si="32"/>
        <v>71711</v>
      </c>
      <c r="C328" s="151">
        <f t="shared" si="38"/>
        <v>0</v>
      </c>
      <c r="D328" s="151">
        <f t="shared" si="33"/>
        <v>1136407.7926360879</v>
      </c>
      <c r="E328" s="152">
        <f t="shared" si="34"/>
        <v>0</v>
      </c>
      <c r="F328" s="151">
        <f t="shared" si="35"/>
        <v>0</v>
      </c>
      <c r="G328" s="151">
        <f t="shared" si="36"/>
        <v>0</v>
      </c>
      <c r="H328" s="151">
        <f t="shared" si="39"/>
        <v>0</v>
      </c>
      <c r="I328" s="151">
        <f t="shared" si="37"/>
        <v>0</v>
      </c>
      <c r="J328" s="151">
        <f>SUM($H$18:$H328)</f>
        <v>2728155.8527217521</v>
      </c>
    </row>
    <row r="329" spans="1:10" x14ac:dyDescent="0.2">
      <c r="A329" s="154">
        <f>IF(Values_Entered,A328+1,"")</f>
        <v>312</v>
      </c>
      <c r="B329" s="153">
        <f t="shared" si="32"/>
        <v>71803</v>
      </c>
      <c r="C329" s="151">
        <f t="shared" si="38"/>
        <v>0</v>
      </c>
      <c r="D329" s="151">
        <f t="shared" si="33"/>
        <v>1136407.7926360879</v>
      </c>
      <c r="E329" s="152">
        <f t="shared" si="34"/>
        <v>0</v>
      </c>
      <c r="F329" s="151">
        <f t="shared" si="35"/>
        <v>0</v>
      </c>
      <c r="G329" s="151">
        <f t="shared" si="36"/>
        <v>0</v>
      </c>
      <c r="H329" s="151">
        <f t="shared" si="39"/>
        <v>0</v>
      </c>
      <c r="I329" s="151">
        <f t="shared" si="37"/>
        <v>0</v>
      </c>
      <c r="J329" s="151">
        <f>SUM($H$18:$H329)</f>
        <v>2728155.8527217521</v>
      </c>
    </row>
    <row r="330" spans="1:10" x14ac:dyDescent="0.2">
      <c r="A330" s="154">
        <f>IF(Values_Entered,A329+1,"")</f>
        <v>313</v>
      </c>
      <c r="B330" s="153">
        <f t="shared" si="32"/>
        <v>71895</v>
      </c>
      <c r="C330" s="151">
        <f t="shared" si="38"/>
        <v>0</v>
      </c>
      <c r="D330" s="151">
        <f t="shared" si="33"/>
        <v>1136407.7926360879</v>
      </c>
      <c r="E330" s="152">
        <f t="shared" si="34"/>
        <v>0</v>
      </c>
      <c r="F330" s="151">
        <f t="shared" si="35"/>
        <v>0</v>
      </c>
      <c r="G330" s="151">
        <f t="shared" si="36"/>
        <v>0</v>
      </c>
      <c r="H330" s="151">
        <f t="shared" si="39"/>
        <v>0</v>
      </c>
      <c r="I330" s="151">
        <f t="shared" si="37"/>
        <v>0</v>
      </c>
      <c r="J330" s="151">
        <f>SUM($H$18:$H330)</f>
        <v>2728155.8527217521</v>
      </c>
    </row>
    <row r="331" spans="1:10" x14ac:dyDescent="0.2">
      <c r="A331" s="154">
        <f>IF(Values_Entered,A330+1,"")</f>
        <v>314</v>
      </c>
      <c r="B331" s="153">
        <f t="shared" si="32"/>
        <v>71987</v>
      </c>
      <c r="C331" s="151">
        <f t="shared" si="38"/>
        <v>0</v>
      </c>
      <c r="D331" s="151">
        <f t="shared" si="33"/>
        <v>1136407.7926360879</v>
      </c>
      <c r="E331" s="152">
        <f t="shared" si="34"/>
        <v>0</v>
      </c>
      <c r="F331" s="151">
        <f t="shared" si="35"/>
        <v>0</v>
      </c>
      <c r="G331" s="151">
        <f t="shared" si="36"/>
        <v>0</v>
      </c>
      <c r="H331" s="151">
        <f t="shared" si="39"/>
        <v>0</v>
      </c>
      <c r="I331" s="151">
        <f t="shared" si="37"/>
        <v>0</v>
      </c>
      <c r="J331" s="151">
        <f>SUM($H$18:$H331)</f>
        <v>2728155.8527217521</v>
      </c>
    </row>
    <row r="332" spans="1:10" x14ac:dyDescent="0.2">
      <c r="A332" s="154">
        <f>IF(Values_Entered,A331+1,"")</f>
        <v>315</v>
      </c>
      <c r="B332" s="153">
        <f t="shared" si="32"/>
        <v>72076</v>
      </c>
      <c r="C332" s="151">
        <f t="shared" si="38"/>
        <v>0</v>
      </c>
      <c r="D332" s="151">
        <f t="shared" si="33"/>
        <v>1136407.7926360879</v>
      </c>
      <c r="E332" s="152">
        <f t="shared" si="34"/>
        <v>0</v>
      </c>
      <c r="F332" s="151">
        <f t="shared" si="35"/>
        <v>0</v>
      </c>
      <c r="G332" s="151">
        <f t="shared" si="36"/>
        <v>0</v>
      </c>
      <c r="H332" s="151">
        <f t="shared" si="39"/>
        <v>0</v>
      </c>
      <c r="I332" s="151">
        <f t="shared" si="37"/>
        <v>0</v>
      </c>
      <c r="J332" s="151">
        <f>SUM($H$18:$H332)</f>
        <v>2728155.8527217521</v>
      </c>
    </row>
    <row r="333" spans="1:10" x14ac:dyDescent="0.2">
      <c r="A333" s="154">
        <f>IF(Values_Entered,A332+1,"")</f>
        <v>316</v>
      </c>
      <c r="B333" s="153">
        <f t="shared" si="32"/>
        <v>72168</v>
      </c>
      <c r="C333" s="151">
        <f t="shared" si="38"/>
        <v>0</v>
      </c>
      <c r="D333" s="151">
        <f t="shared" si="33"/>
        <v>1136407.7926360879</v>
      </c>
      <c r="E333" s="152">
        <f t="shared" si="34"/>
        <v>0</v>
      </c>
      <c r="F333" s="151">
        <f t="shared" si="35"/>
        <v>0</v>
      </c>
      <c r="G333" s="151">
        <f t="shared" si="36"/>
        <v>0</v>
      </c>
      <c r="H333" s="151">
        <f t="shared" si="39"/>
        <v>0</v>
      </c>
      <c r="I333" s="151">
        <f t="shared" si="37"/>
        <v>0</v>
      </c>
      <c r="J333" s="151">
        <f>SUM($H$18:$H333)</f>
        <v>2728155.8527217521</v>
      </c>
    </row>
    <row r="334" spans="1:10" x14ac:dyDescent="0.2">
      <c r="A334" s="154">
        <f>IF(Values_Entered,A333+1,"")</f>
        <v>317</v>
      </c>
      <c r="B334" s="153">
        <f t="shared" si="32"/>
        <v>72260</v>
      </c>
      <c r="C334" s="151">
        <f t="shared" si="38"/>
        <v>0</v>
      </c>
      <c r="D334" s="151">
        <f t="shared" si="33"/>
        <v>1136407.7926360879</v>
      </c>
      <c r="E334" s="152">
        <f t="shared" si="34"/>
        <v>0</v>
      </c>
      <c r="F334" s="151">
        <f t="shared" si="35"/>
        <v>0</v>
      </c>
      <c r="G334" s="151">
        <f t="shared" si="36"/>
        <v>0</v>
      </c>
      <c r="H334" s="151">
        <f t="shared" si="39"/>
        <v>0</v>
      </c>
      <c r="I334" s="151">
        <f t="shared" si="37"/>
        <v>0</v>
      </c>
      <c r="J334" s="151">
        <f>SUM($H$18:$H334)</f>
        <v>2728155.8527217521</v>
      </c>
    </row>
    <row r="335" spans="1:10" x14ac:dyDescent="0.2">
      <c r="A335" s="154">
        <f>IF(Values_Entered,A334+1,"")</f>
        <v>318</v>
      </c>
      <c r="B335" s="153">
        <f t="shared" si="32"/>
        <v>72352</v>
      </c>
      <c r="C335" s="151">
        <f t="shared" si="38"/>
        <v>0</v>
      </c>
      <c r="D335" s="151">
        <f t="shared" si="33"/>
        <v>1136407.7926360879</v>
      </c>
      <c r="E335" s="152">
        <f t="shared" si="34"/>
        <v>0</v>
      </c>
      <c r="F335" s="151">
        <f t="shared" si="35"/>
        <v>0</v>
      </c>
      <c r="G335" s="151">
        <f t="shared" si="36"/>
        <v>0</v>
      </c>
      <c r="H335" s="151">
        <f t="shared" si="39"/>
        <v>0</v>
      </c>
      <c r="I335" s="151">
        <f t="shared" si="37"/>
        <v>0</v>
      </c>
      <c r="J335" s="151">
        <f>SUM($H$18:$H335)</f>
        <v>2728155.8527217521</v>
      </c>
    </row>
    <row r="336" spans="1:10" x14ac:dyDescent="0.2">
      <c r="A336" s="154">
        <f>IF(Values_Entered,A335+1,"")</f>
        <v>319</v>
      </c>
      <c r="B336" s="153">
        <f t="shared" si="32"/>
        <v>72441</v>
      </c>
      <c r="C336" s="151">
        <f t="shared" si="38"/>
        <v>0</v>
      </c>
      <c r="D336" s="151">
        <f t="shared" si="33"/>
        <v>1136407.7926360879</v>
      </c>
      <c r="E336" s="152">
        <f t="shared" si="34"/>
        <v>0</v>
      </c>
      <c r="F336" s="151">
        <f t="shared" si="35"/>
        <v>0</v>
      </c>
      <c r="G336" s="151">
        <f t="shared" si="36"/>
        <v>0</v>
      </c>
      <c r="H336" s="151">
        <f t="shared" si="39"/>
        <v>0</v>
      </c>
      <c r="I336" s="151">
        <f t="shared" si="37"/>
        <v>0</v>
      </c>
      <c r="J336" s="151">
        <f>SUM($H$18:$H336)</f>
        <v>2728155.8527217521</v>
      </c>
    </row>
    <row r="337" spans="1:10" x14ac:dyDescent="0.2">
      <c r="A337" s="154">
        <f>IF(Values_Entered,A336+1,"")</f>
        <v>320</v>
      </c>
      <c r="B337" s="153">
        <f t="shared" si="32"/>
        <v>72533</v>
      </c>
      <c r="C337" s="151">
        <f t="shared" si="38"/>
        <v>0</v>
      </c>
      <c r="D337" s="151">
        <f t="shared" si="33"/>
        <v>1136407.7926360879</v>
      </c>
      <c r="E337" s="152">
        <f t="shared" si="34"/>
        <v>0</v>
      </c>
      <c r="F337" s="151">
        <f t="shared" si="35"/>
        <v>0</v>
      </c>
      <c r="G337" s="151">
        <f t="shared" si="36"/>
        <v>0</v>
      </c>
      <c r="H337" s="151">
        <f t="shared" si="39"/>
        <v>0</v>
      </c>
      <c r="I337" s="151">
        <f t="shared" si="37"/>
        <v>0</v>
      </c>
      <c r="J337" s="151">
        <f>SUM($H$18:$H337)</f>
        <v>2728155.8527217521</v>
      </c>
    </row>
    <row r="338" spans="1:10" x14ac:dyDescent="0.2">
      <c r="A338" s="154">
        <f>IF(Values_Entered,A337+1,"")</f>
        <v>321</v>
      </c>
      <c r="B338" s="153">
        <f t="shared" ref="B338:B401" si="40">IF(Pay_Num&lt;&gt;"",DATE(YEAR(Loan_Start),MONTH(Loan_Start)+(Pay_Num)*12/Num_Pmt_Per_Year,DAY(Loan_Start)),"")</f>
        <v>72625</v>
      </c>
      <c r="C338" s="151">
        <f t="shared" si="38"/>
        <v>0</v>
      </c>
      <c r="D338" s="151">
        <f t="shared" ref="D338:D401" si="41">IF(Pay_Num&lt;&gt;"",Scheduled_Monthly_Payment,"")</f>
        <v>1136407.7926360879</v>
      </c>
      <c r="E338" s="152">
        <f t="shared" ref="E338:E401" si="42">IF(AND(Pay_Num&lt;&gt;"",Sched_Pay+Scheduled_Extra_Payments&lt;Beg_Bal),Scheduled_Extra_Payments,IF(AND(Pay_Num&lt;&gt;"",Beg_Bal-Sched_Pay&gt;0),Beg_Bal-Sched_Pay,IF(Pay_Num&lt;&gt;"",0,"")))</f>
        <v>0</v>
      </c>
      <c r="F338" s="151">
        <f t="shared" ref="F338:F401" si="43">IF(AND(Pay_Num&lt;&gt;"",Sched_Pay+Extra_Pay&lt;Beg_Bal),Sched_Pay+Extra_Pay,IF(Pay_Num&lt;&gt;"",Beg_Bal,""))</f>
        <v>0</v>
      </c>
      <c r="G338" s="151">
        <f t="shared" ref="G338:G401" si="44">IF(Pay_Num&lt;&gt;"",Total_Pay-Int,"")</f>
        <v>0</v>
      </c>
      <c r="H338" s="151">
        <f t="shared" si="39"/>
        <v>0</v>
      </c>
      <c r="I338" s="151">
        <f t="shared" ref="I338:I401" si="45">IF(AND(Pay_Num&lt;&gt;"",Sched_Pay+Extra_Pay&lt;Beg_Bal),Beg_Bal-Princ,IF(Pay_Num&lt;&gt;"",0,""))</f>
        <v>0</v>
      </c>
      <c r="J338" s="151">
        <f>SUM($H$18:$H338)</f>
        <v>2728155.8527217521</v>
      </c>
    </row>
    <row r="339" spans="1:10" x14ac:dyDescent="0.2">
      <c r="A339" s="154">
        <f>IF(Values_Entered,A338+1,"")</f>
        <v>322</v>
      </c>
      <c r="B339" s="153">
        <f t="shared" si="40"/>
        <v>72717</v>
      </c>
      <c r="C339" s="151">
        <f t="shared" ref="C339:C402" si="46">IF(Pay_Num&lt;&gt;"",I338,"")</f>
        <v>0</v>
      </c>
      <c r="D339" s="151">
        <f t="shared" si="41"/>
        <v>1136407.7926360879</v>
      </c>
      <c r="E339" s="152">
        <f t="shared" si="42"/>
        <v>0</v>
      </c>
      <c r="F339" s="151">
        <f t="shared" si="43"/>
        <v>0</v>
      </c>
      <c r="G339" s="151">
        <f t="shared" si="44"/>
        <v>0</v>
      </c>
      <c r="H339" s="151">
        <f t="shared" ref="H339:H402" si="47">IF(Pay_Num&lt;&gt;"",Beg_Bal*Interest_Rate/Num_Pmt_Per_Year,"")</f>
        <v>0</v>
      </c>
      <c r="I339" s="151">
        <f t="shared" si="45"/>
        <v>0</v>
      </c>
      <c r="J339" s="151">
        <f>SUM($H$18:$H339)</f>
        <v>2728155.8527217521</v>
      </c>
    </row>
    <row r="340" spans="1:10" x14ac:dyDescent="0.2">
      <c r="A340" s="154">
        <f>IF(Values_Entered,A339+1,"")</f>
        <v>323</v>
      </c>
      <c r="B340" s="153">
        <f t="shared" si="40"/>
        <v>72806</v>
      </c>
      <c r="C340" s="151">
        <f t="shared" si="46"/>
        <v>0</v>
      </c>
      <c r="D340" s="151">
        <f t="shared" si="41"/>
        <v>1136407.7926360879</v>
      </c>
      <c r="E340" s="152">
        <f t="shared" si="42"/>
        <v>0</v>
      </c>
      <c r="F340" s="151">
        <f t="shared" si="43"/>
        <v>0</v>
      </c>
      <c r="G340" s="151">
        <f t="shared" si="44"/>
        <v>0</v>
      </c>
      <c r="H340" s="151">
        <f t="shared" si="47"/>
        <v>0</v>
      </c>
      <c r="I340" s="151">
        <f t="shared" si="45"/>
        <v>0</v>
      </c>
      <c r="J340" s="151">
        <f>SUM($H$18:$H340)</f>
        <v>2728155.8527217521</v>
      </c>
    </row>
    <row r="341" spans="1:10" x14ac:dyDescent="0.2">
      <c r="A341" s="154">
        <f>IF(Values_Entered,A340+1,"")</f>
        <v>324</v>
      </c>
      <c r="B341" s="153">
        <f t="shared" si="40"/>
        <v>72898</v>
      </c>
      <c r="C341" s="151">
        <f t="shared" si="46"/>
        <v>0</v>
      </c>
      <c r="D341" s="151">
        <f t="shared" si="41"/>
        <v>1136407.7926360879</v>
      </c>
      <c r="E341" s="152">
        <f t="shared" si="42"/>
        <v>0</v>
      </c>
      <c r="F341" s="151">
        <f t="shared" si="43"/>
        <v>0</v>
      </c>
      <c r="G341" s="151">
        <f t="shared" si="44"/>
        <v>0</v>
      </c>
      <c r="H341" s="151">
        <f t="shared" si="47"/>
        <v>0</v>
      </c>
      <c r="I341" s="151">
        <f t="shared" si="45"/>
        <v>0</v>
      </c>
      <c r="J341" s="151">
        <f>SUM($H$18:$H341)</f>
        <v>2728155.8527217521</v>
      </c>
    </row>
    <row r="342" spans="1:10" x14ac:dyDescent="0.2">
      <c r="A342" s="154">
        <f>IF(Values_Entered,A341+1,"")</f>
        <v>325</v>
      </c>
      <c r="B342" s="153">
        <f t="shared" si="40"/>
        <v>72990</v>
      </c>
      <c r="C342" s="151">
        <f t="shared" si="46"/>
        <v>0</v>
      </c>
      <c r="D342" s="151">
        <f t="shared" si="41"/>
        <v>1136407.7926360879</v>
      </c>
      <c r="E342" s="152">
        <f t="shared" si="42"/>
        <v>0</v>
      </c>
      <c r="F342" s="151">
        <f t="shared" si="43"/>
        <v>0</v>
      </c>
      <c r="G342" s="151">
        <f t="shared" si="44"/>
        <v>0</v>
      </c>
      <c r="H342" s="151">
        <f t="shared" si="47"/>
        <v>0</v>
      </c>
      <c r="I342" s="151">
        <f t="shared" si="45"/>
        <v>0</v>
      </c>
      <c r="J342" s="151">
        <f>SUM($H$18:$H342)</f>
        <v>2728155.8527217521</v>
      </c>
    </row>
    <row r="343" spans="1:10" x14ac:dyDescent="0.2">
      <c r="A343" s="154">
        <f>IF(Values_Entered,A342+1,"")</f>
        <v>326</v>
      </c>
      <c r="B343" s="153">
        <f t="shared" si="40"/>
        <v>73082</v>
      </c>
      <c r="C343" s="151">
        <f t="shared" si="46"/>
        <v>0</v>
      </c>
      <c r="D343" s="151">
        <f t="shared" si="41"/>
        <v>1136407.7926360879</v>
      </c>
      <c r="E343" s="152">
        <f t="shared" si="42"/>
        <v>0</v>
      </c>
      <c r="F343" s="151">
        <f t="shared" si="43"/>
        <v>0</v>
      </c>
      <c r="G343" s="151">
        <f t="shared" si="44"/>
        <v>0</v>
      </c>
      <c r="H343" s="151">
        <f t="shared" si="47"/>
        <v>0</v>
      </c>
      <c r="I343" s="151">
        <f t="shared" si="45"/>
        <v>0</v>
      </c>
      <c r="J343" s="151">
        <f>SUM($H$18:$H343)</f>
        <v>2728155.8527217521</v>
      </c>
    </row>
    <row r="344" spans="1:10" x14ac:dyDescent="0.2">
      <c r="A344" s="154">
        <f>IF(Values_Entered,A343+1,"")</f>
        <v>327</v>
      </c>
      <c r="B344" s="153">
        <f t="shared" si="40"/>
        <v>73171</v>
      </c>
      <c r="C344" s="151">
        <f t="shared" si="46"/>
        <v>0</v>
      </c>
      <c r="D344" s="151">
        <f t="shared" si="41"/>
        <v>1136407.7926360879</v>
      </c>
      <c r="E344" s="152">
        <f t="shared" si="42"/>
        <v>0</v>
      </c>
      <c r="F344" s="151">
        <f t="shared" si="43"/>
        <v>0</v>
      </c>
      <c r="G344" s="151">
        <f t="shared" si="44"/>
        <v>0</v>
      </c>
      <c r="H344" s="151">
        <f t="shared" si="47"/>
        <v>0</v>
      </c>
      <c r="I344" s="151">
        <f t="shared" si="45"/>
        <v>0</v>
      </c>
      <c r="J344" s="151">
        <f>SUM($H$18:$H344)</f>
        <v>2728155.8527217521</v>
      </c>
    </row>
    <row r="345" spans="1:10" x14ac:dyDescent="0.2">
      <c r="A345" s="154">
        <f>IF(Values_Entered,A344+1,"")</f>
        <v>328</v>
      </c>
      <c r="B345" s="153">
        <f t="shared" si="40"/>
        <v>73263</v>
      </c>
      <c r="C345" s="151">
        <f t="shared" si="46"/>
        <v>0</v>
      </c>
      <c r="D345" s="151">
        <f t="shared" si="41"/>
        <v>1136407.7926360879</v>
      </c>
      <c r="E345" s="152">
        <f t="shared" si="42"/>
        <v>0</v>
      </c>
      <c r="F345" s="151">
        <f t="shared" si="43"/>
        <v>0</v>
      </c>
      <c r="G345" s="151">
        <f t="shared" si="44"/>
        <v>0</v>
      </c>
      <c r="H345" s="151">
        <f t="shared" si="47"/>
        <v>0</v>
      </c>
      <c r="I345" s="151">
        <f t="shared" si="45"/>
        <v>0</v>
      </c>
      <c r="J345" s="151">
        <f>SUM($H$18:$H345)</f>
        <v>2728155.8527217521</v>
      </c>
    </row>
    <row r="346" spans="1:10" x14ac:dyDescent="0.2">
      <c r="A346" s="154">
        <f>IF(Values_Entered,A345+1,"")</f>
        <v>329</v>
      </c>
      <c r="B346" s="153">
        <f t="shared" si="40"/>
        <v>73355</v>
      </c>
      <c r="C346" s="151">
        <f t="shared" si="46"/>
        <v>0</v>
      </c>
      <c r="D346" s="151">
        <f t="shared" si="41"/>
        <v>1136407.7926360879</v>
      </c>
      <c r="E346" s="152">
        <f t="shared" si="42"/>
        <v>0</v>
      </c>
      <c r="F346" s="151">
        <f t="shared" si="43"/>
        <v>0</v>
      </c>
      <c r="G346" s="151">
        <f t="shared" si="44"/>
        <v>0</v>
      </c>
      <c r="H346" s="151">
        <f t="shared" si="47"/>
        <v>0</v>
      </c>
      <c r="I346" s="151">
        <f t="shared" si="45"/>
        <v>0</v>
      </c>
      <c r="J346" s="151">
        <f>SUM($H$18:$H346)</f>
        <v>2728155.8527217521</v>
      </c>
    </row>
    <row r="347" spans="1:10" x14ac:dyDescent="0.2">
      <c r="A347" s="154">
        <f>IF(Values_Entered,A346+1,"")</f>
        <v>330</v>
      </c>
      <c r="B347" s="153">
        <f t="shared" si="40"/>
        <v>73447</v>
      </c>
      <c r="C347" s="151">
        <f t="shared" si="46"/>
        <v>0</v>
      </c>
      <c r="D347" s="151">
        <f t="shared" si="41"/>
        <v>1136407.7926360879</v>
      </c>
      <c r="E347" s="152">
        <f t="shared" si="42"/>
        <v>0</v>
      </c>
      <c r="F347" s="151">
        <f t="shared" si="43"/>
        <v>0</v>
      </c>
      <c r="G347" s="151">
        <f t="shared" si="44"/>
        <v>0</v>
      </c>
      <c r="H347" s="151">
        <f t="shared" si="47"/>
        <v>0</v>
      </c>
      <c r="I347" s="151">
        <f t="shared" si="45"/>
        <v>0</v>
      </c>
      <c r="J347" s="151">
        <f>SUM($H$18:$H347)</f>
        <v>2728155.8527217521</v>
      </c>
    </row>
    <row r="348" spans="1:10" x14ac:dyDescent="0.2">
      <c r="A348" s="154">
        <f>IF(Values_Entered,A347+1,"")</f>
        <v>331</v>
      </c>
      <c r="B348" s="153">
        <f t="shared" si="40"/>
        <v>73536</v>
      </c>
      <c r="C348" s="151">
        <f t="shared" si="46"/>
        <v>0</v>
      </c>
      <c r="D348" s="151">
        <f t="shared" si="41"/>
        <v>1136407.7926360879</v>
      </c>
      <c r="E348" s="152">
        <f t="shared" si="42"/>
        <v>0</v>
      </c>
      <c r="F348" s="151">
        <f t="shared" si="43"/>
        <v>0</v>
      </c>
      <c r="G348" s="151">
        <f t="shared" si="44"/>
        <v>0</v>
      </c>
      <c r="H348" s="151">
        <f t="shared" si="47"/>
        <v>0</v>
      </c>
      <c r="I348" s="151">
        <f t="shared" si="45"/>
        <v>0</v>
      </c>
      <c r="J348" s="151">
        <f>SUM($H$18:$H348)</f>
        <v>2728155.8527217521</v>
      </c>
    </row>
    <row r="349" spans="1:10" x14ac:dyDescent="0.2">
      <c r="A349" s="154">
        <f>IF(Values_Entered,A348+1,"")</f>
        <v>332</v>
      </c>
      <c r="B349" s="153">
        <f t="shared" si="40"/>
        <v>73628</v>
      </c>
      <c r="C349" s="151">
        <f t="shared" si="46"/>
        <v>0</v>
      </c>
      <c r="D349" s="151">
        <f t="shared" si="41"/>
        <v>1136407.7926360879</v>
      </c>
      <c r="E349" s="152">
        <f t="shared" si="42"/>
        <v>0</v>
      </c>
      <c r="F349" s="151">
        <f t="shared" si="43"/>
        <v>0</v>
      </c>
      <c r="G349" s="151">
        <f t="shared" si="44"/>
        <v>0</v>
      </c>
      <c r="H349" s="151">
        <f t="shared" si="47"/>
        <v>0</v>
      </c>
      <c r="I349" s="151">
        <f t="shared" si="45"/>
        <v>0</v>
      </c>
      <c r="J349" s="151">
        <f>SUM($H$18:$H349)</f>
        <v>2728155.8527217521</v>
      </c>
    </row>
    <row r="350" spans="1:10" x14ac:dyDescent="0.2">
      <c r="A350" s="154">
        <f>IF(Values_Entered,A349+1,"")</f>
        <v>333</v>
      </c>
      <c r="B350" s="153">
        <f t="shared" si="40"/>
        <v>73720</v>
      </c>
      <c r="C350" s="151">
        <f t="shared" si="46"/>
        <v>0</v>
      </c>
      <c r="D350" s="151">
        <f t="shared" si="41"/>
        <v>1136407.7926360879</v>
      </c>
      <c r="E350" s="152">
        <f t="shared" si="42"/>
        <v>0</v>
      </c>
      <c r="F350" s="151">
        <f t="shared" si="43"/>
        <v>0</v>
      </c>
      <c r="G350" s="151">
        <f t="shared" si="44"/>
        <v>0</v>
      </c>
      <c r="H350" s="151">
        <f t="shared" si="47"/>
        <v>0</v>
      </c>
      <c r="I350" s="151">
        <f t="shared" si="45"/>
        <v>0</v>
      </c>
      <c r="J350" s="151">
        <f>SUM($H$18:$H350)</f>
        <v>2728155.8527217521</v>
      </c>
    </row>
    <row r="351" spans="1:10" x14ac:dyDescent="0.2">
      <c r="A351" s="154">
        <f>IF(Values_Entered,A350+1,"")</f>
        <v>334</v>
      </c>
      <c r="B351" s="153">
        <f t="shared" si="40"/>
        <v>73812</v>
      </c>
      <c r="C351" s="151">
        <f t="shared" si="46"/>
        <v>0</v>
      </c>
      <c r="D351" s="151">
        <f t="shared" si="41"/>
        <v>1136407.7926360879</v>
      </c>
      <c r="E351" s="152">
        <f t="shared" si="42"/>
        <v>0</v>
      </c>
      <c r="F351" s="151">
        <f t="shared" si="43"/>
        <v>0</v>
      </c>
      <c r="G351" s="151">
        <f t="shared" si="44"/>
        <v>0</v>
      </c>
      <c r="H351" s="151">
        <f t="shared" si="47"/>
        <v>0</v>
      </c>
      <c r="I351" s="151">
        <f t="shared" si="45"/>
        <v>0</v>
      </c>
      <c r="J351" s="151">
        <f>SUM($H$18:$H351)</f>
        <v>2728155.8527217521</v>
      </c>
    </row>
    <row r="352" spans="1:10" x14ac:dyDescent="0.2">
      <c r="A352" s="154">
        <f>IF(Values_Entered,A351+1,"")</f>
        <v>335</v>
      </c>
      <c r="B352" s="153">
        <f t="shared" si="40"/>
        <v>73901</v>
      </c>
      <c r="C352" s="151">
        <f t="shared" si="46"/>
        <v>0</v>
      </c>
      <c r="D352" s="151">
        <f t="shared" si="41"/>
        <v>1136407.7926360879</v>
      </c>
      <c r="E352" s="152">
        <f t="shared" si="42"/>
        <v>0</v>
      </c>
      <c r="F352" s="151">
        <f t="shared" si="43"/>
        <v>0</v>
      </c>
      <c r="G352" s="151">
        <f t="shared" si="44"/>
        <v>0</v>
      </c>
      <c r="H352" s="151">
        <f t="shared" si="47"/>
        <v>0</v>
      </c>
      <c r="I352" s="151">
        <f t="shared" si="45"/>
        <v>0</v>
      </c>
      <c r="J352" s="151">
        <f>SUM($H$18:$H352)</f>
        <v>2728155.8527217521</v>
      </c>
    </row>
    <row r="353" spans="1:10" x14ac:dyDescent="0.2">
      <c r="A353" s="154">
        <f>IF(Values_Entered,A352+1,"")</f>
        <v>336</v>
      </c>
      <c r="B353" s="153">
        <f t="shared" si="40"/>
        <v>73993</v>
      </c>
      <c r="C353" s="151">
        <f t="shared" si="46"/>
        <v>0</v>
      </c>
      <c r="D353" s="151">
        <f t="shared" si="41"/>
        <v>1136407.7926360879</v>
      </c>
      <c r="E353" s="152">
        <f t="shared" si="42"/>
        <v>0</v>
      </c>
      <c r="F353" s="151">
        <f t="shared" si="43"/>
        <v>0</v>
      </c>
      <c r="G353" s="151">
        <f t="shared" si="44"/>
        <v>0</v>
      </c>
      <c r="H353" s="151">
        <f t="shared" si="47"/>
        <v>0</v>
      </c>
      <c r="I353" s="151">
        <f t="shared" si="45"/>
        <v>0</v>
      </c>
      <c r="J353" s="151">
        <f>SUM($H$18:$H353)</f>
        <v>2728155.8527217521</v>
      </c>
    </row>
    <row r="354" spans="1:10" x14ac:dyDescent="0.2">
      <c r="A354" s="154">
        <f>IF(Values_Entered,A353+1,"")</f>
        <v>337</v>
      </c>
      <c r="B354" s="153">
        <f t="shared" si="40"/>
        <v>74085</v>
      </c>
      <c r="C354" s="151">
        <f t="shared" si="46"/>
        <v>0</v>
      </c>
      <c r="D354" s="151">
        <f t="shared" si="41"/>
        <v>1136407.7926360879</v>
      </c>
      <c r="E354" s="152">
        <f t="shared" si="42"/>
        <v>0</v>
      </c>
      <c r="F354" s="151">
        <f t="shared" si="43"/>
        <v>0</v>
      </c>
      <c r="G354" s="151">
        <f t="shared" si="44"/>
        <v>0</v>
      </c>
      <c r="H354" s="151">
        <f t="shared" si="47"/>
        <v>0</v>
      </c>
      <c r="I354" s="151">
        <f t="shared" si="45"/>
        <v>0</v>
      </c>
      <c r="J354" s="151">
        <f>SUM($H$18:$H354)</f>
        <v>2728155.8527217521</v>
      </c>
    </row>
    <row r="355" spans="1:10" x14ac:dyDescent="0.2">
      <c r="A355" s="154">
        <f>IF(Values_Entered,A354+1,"")</f>
        <v>338</v>
      </c>
      <c r="B355" s="153">
        <f t="shared" si="40"/>
        <v>74177</v>
      </c>
      <c r="C355" s="151">
        <f t="shared" si="46"/>
        <v>0</v>
      </c>
      <c r="D355" s="151">
        <f t="shared" si="41"/>
        <v>1136407.7926360879</v>
      </c>
      <c r="E355" s="152">
        <f t="shared" si="42"/>
        <v>0</v>
      </c>
      <c r="F355" s="151">
        <f t="shared" si="43"/>
        <v>0</v>
      </c>
      <c r="G355" s="151">
        <f t="shared" si="44"/>
        <v>0</v>
      </c>
      <c r="H355" s="151">
        <f t="shared" si="47"/>
        <v>0</v>
      </c>
      <c r="I355" s="151">
        <f t="shared" si="45"/>
        <v>0</v>
      </c>
      <c r="J355" s="151">
        <f>SUM($H$18:$H355)</f>
        <v>2728155.8527217521</v>
      </c>
    </row>
    <row r="356" spans="1:10" x14ac:dyDescent="0.2">
      <c r="A356" s="154">
        <f>IF(Values_Entered,A355+1,"")</f>
        <v>339</v>
      </c>
      <c r="B356" s="153">
        <f t="shared" si="40"/>
        <v>74266</v>
      </c>
      <c r="C356" s="151">
        <f t="shared" si="46"/>
        <v>0</v>
      </c>
      <c r="D356" s="151">
        <f t="shared" si="41"/>
        <v>1136407.7926360879</v>
      </c>
      <c r="E356" s="152">
        <f t="shared" si="42"/>
        <v>0</v>
      </c>
      <c r="F356" s="151">
        <f t="shared" si="43"/>
        <v>0</v>
      </c>
      <c r="G356" s="151">
        <f t="shared" si="44"/>
        <v>0</v>
      </c>
      <c r="H356" s="151">
        <f t="shared" si="47"/>
        <v>0</v>
      </c>
      <c r="I356" s="151">
        <f t="shared" si="45"/>
        <v>0</v>
      </c>
      <c r="J356" s="151">
        <f>SUM($H$18:$H356)</f>
        <v>2728155.8527217521</v>
      </c>
    </row>
    <row r="357" spans="1:10" x14ac:dyDescent="0.2">
      <c r="A357" s="154">
        <f>IF(Values_Entered,A356+1,"")</f>
        <v>340</v>
      </c>
      <c r="B357" s="153">
        <f t="shared" si="40"/>
        <v>74358</v>
      </c>
      <c r="C357" s="151">
        <f t="shared" si="46"/>
        <v>0</v>
      </c>
      <c r="D357" s="151">
        <f t="shared" si="41"/>
        <v>1136407.7926360879</v>
      </c>
      <c r="E357" s="152">
        <f t="shared" si="42"/>
        <v>0</v>
      </c>
      <c r="F357" s="151">
        <f t="shared" si="43"/>
        <v>0</v>
      </c>
      <c r="G357" s="151">
        <f t="shared" si="44"/>
        <v>0</v>
      </c>
      <c r="H357" s="151">
        <f t="shared" si="47"/>
        <v>0</v>
      </c>
      <c r="I357" s="151">
        <f t="shared" si="45"/>
        <v>0</v>
      </c>
      <c r="J357" s="151">
        <f>SUM($H$18:$H357)</f>
        <v>2728155.8527217521</v>
      </c>
    </row>
    <row r="358" spans="1:10" x14ac:dyDescent="0.2">
      <c r="A358" s="154">
        <f>IF(Values_Entered,A357+1,"")</f>
        <v>341</v>
      </c>
      <c r="B358" s="153">
        <f t="shared" si="40"/>
        <v>74450</v>
      </c>
      <c r="C358" s="151">
        <f t="shared" si="46"/>
        <v>0</v>
      </c>
      <c r="D358" s="151">
        <f t="shared" si="41"/>
        <v>1136407.7926360879</v>
      </c>
      <c r="E358" s="152">
        <f t="shared" si="42"/>
        <v>0</v>
      </c>
      <c r="F358" s="151">
        <f t="shared" si="43"/>
        <v>0</v>
      </c>
      <c r="G358" s="151">
        <f t="shared" si="44"/>
        <v>0</v>
      </c>
      <c r="H358" s="151">
        <f t="shared" si="47"/>
        <v>0</v>
      </c>
      <c r="I358" s="151">
        <f t="shared" si="45"/>
        <v>0</v>
      </c>
      <c r="J358" s="151">
        <f>SUM($H$18:$H358)</f>
        <v>2728155.8527217521</v>
      </c>
    </row>
    <row r="359" spans="1:10" x14ac:dyDescent="0.2">
      <c r="A359" s="154">
        <f>IF(Values_Entered,A358+1,"")</f>
        <v>342</v>
      </c>
      <c r="B359" s="153">
        <f t="shared" si="40"/>
        <v>74542</v>
      </c>
      <c r="C359" s="151">
        <f t="shared" si="46"/>
        <v>0</v>
      </c>
      <c r="D359" s="151">
        <f t="shared" si="41"/>
        <v>1136407.7926360879</v>
      </c>
      <c r="E359" s="152">
        <f t="shared" si="42"/>
        <v>0</v>
      </c>
      <c r="F359" s="151">
        <f t="shared" si="43"/>
        <v>0</v>
      </c>
      <c r="G359" s="151">
        <f t="shared" si="44"/>
        <v>0</v>
      </c>
      <c r="H359" s="151">
        <f t="shared" si="47"/>
        <v>0</v>
      </c>
      <c r="I359" s="151">
        <f t="shared" si="45"/>
        <v>0</v>
      </c>
      <c r="J359" s="151">
        <f>SUM($H$18:$H359)</f>
        <v>2728155.8527217521</v>
      </c>
    </row>
    <row r="360" spans="1:10" x14ac:dyDescent="0.2">
      <c r="A360" s="154">
        <f>IF(Values_Entered,A359+1,"")</f>
        <v>343</v>
      </c>
      <c r="B360" s="153">
        <f t="shared" si="40"/>
        <v>74632</v>
      </c>
      <c r="C360" s="151">
        <f t="shared" si="46"/>
        <v>0</v>
      </c>
      <c r="D360" s="151">
        <f t="shared" si="41"/>
        <v>1136407.7926360879</v>
      </c>
      <c r="E360" s="152">
        <f t="shared" si="42"/>
        <v>0</v>
      </c>
      <c r="F360" s="151">
        <f t="shared" si="43"/>
        <v>0</v>
      </c>
      <c r="G360" s="151">
        <f t="shared" si="44"/>
        <v>0</v>
      </c>
      <c r="H360" s="151">
        <f t="shared" si="47"/>
        <v>0</v>
      </c>
      <c r="I360" s="151">
        <f t="shared" si="45"/>
        <v>0</v>
      </c>
      <c r="J360" s="151">
        <f>SUM($H$18:$H360)</f>
        <v>2728155.8527217521</v>
      </c>
    </row>
    <row r="361" spans="1:10" x14ac:dyDescent="0.2">
      <c r="A361" s="154">
        <f>IF(Values_Entered,A360+1,"")</f>
        <v>344</v>
      </c>
      <c r="B361" s="153">
        <f t="shared" si="40"/>
        <v>74724</v>
      </c>
      <c r="C361" s="151">
        <f t="shared" si="46"/>
        <v>0</v>
      </c>
      <c r="D361" s="151">
        <f t="shared" si="41"/>
        <v>1136407.7926360879</v>
      </c>
      <c r="E361" s="152">
        <f t="shared" si="42"/>
        <v>0</v>
      </c>
      <c r="F361" s="151">
        <f t="shared" si="43"/>
        <v>0</v>
      </c>
      <c r="G361" s="151">
        <f t="shared" si="44"/>
        <v>0</v>
      </c>
      <c r="H361" s="151">
        <f t="shared" si="47"/>
        <v>0</v>
      </c>
      <c r="I361" s="151">
        <f t="shared" si="45"/>
        <v>0</v>
      </c>
      <c r="J361" s="151">
        <f>SUM($H$18:$H361)</f>
        <v>2728155.8527217521</v>
      </c>
    </row>
    <row r="362" spans="1:10" x14ac:dyDescent="0.2">
      <c r="A362" s="154">
        <f>IF(Values_Entered,A361+1,"")</f>
        <v>345</v>
      </c>
      <c r="B362" s="153">
        <f t="shared" si="40"/>
        <v>74816</v>
      </c>
      <c r="C362" s="151">
        <f t="shared" si="46"/>
        <v>0</v>
      </c>
      <c r="D362" s="151">
        <f t="shared" si="41"/>
        <v>1136407.7926360879</v>
      </c>
      <c r="E362" s="152">
        <f t="shared" si="42"/>
        <v>0</v>
      </c>
      <c r="F362" s="151">
        <f t="shared" si="43"/>
        <v>0</v>
      </c>
      <c r="G362" s="151">
        <f t="shared" si="44"/>
        <v>0</v>
      </c>
      <c r="H362" s="151">
        <f t="shared" si="47"/>
        <v>0</v>
      </c>
      <c r="I362" s="151">
        <f t="shared" si="45"/>
        <v>0</v>
      </c>
      <c r="J362" s="151">
        <f>SUM($H$18:$H362)</f>
        <v>2728155.8527217521</v>
      </c>
    </row>
    <row r="363" spans="1:10" x14ac:dyDescent="0.2">
      <c r="A363" s="154">
        <f>IF(Values_Entered,A362+1,"")</f>
        <v>346</v>
      </c>
      <c r="B363" s="153">
        <f t="shared" si="40"/>
        <v>74908</v>
      </c>
      <c r="C363" s="151">
        <f t="shared" si="46"/>
        <v>0</v>
      </c>
      <c r="D363" s="151">
        <f t="shared" si="41"/>
        <v>1136407.7926360879</v>
      </c>
      <c r="E363" s="152">
        <f t="shared" si="42"/>
        <v>0</v>
      </c>
      <c r="F363" s="151">
        <f t="shared" si="43"/>
        <v>0</v>
      </c>
      <c r="G363" s="151">
        <f t="shared" si="44"/>
        <v>0</v>
      </c>
      <c r="H363" s="151">
        <f t="shared" si="47"/>
        <v>0</v>
      </c>
      <c r="I363" s="151">
        <f t="shared" si="45"/>
        <v>0</v>
      </c>
      <c r="J363" s="151">
        <f>SUM($H$18:$H363)</f>
        <v>2728155.8527217521</v>
      </c>
    </row>
    <row r="364" spans="1:10" x14ac:dyDescent="0.2">
      <c r="A364" s="154">
        <f>IF(Values_Entered,A363+1,"")</f>
        <v>347</v>
      </c>
      <c r="B364" s="153">
        <f t="shared" si="40"/>
        <v>74997</v>
      </c>
      <c r="C364" s="151">
        <f t="shared" si="46"/>
        <v>0</v>
      </c>
      <c r="D364" s="151">
        <f t="shared" si="41"/>
        <v>1136407.7926360879</v>
      </c>
      <c r="E364" s="152">
        <f t="shared" si="42"/>
        <v>0</v>
      </c>
      <c r="F364" s="151">
        <f t="shared" si="43"/>
        <v>0</v>
      </c>
      <c r="G364" s="151">
        <f t="shared" si="44"/>
        <v>0</v>
      </c>
      <c r="H364" s="151">
        <f t="shared" si="47"/>
        <v>0</v>
      </c>
      <c r="I364" s="151">
        <f t="shared" si="45"/>
        <v>0</v>
      </c>
      <c r="J364" s="151">
        <f>SUM($H$18:$H364)</f>
        <v>2728155.8527217521</v>
      </c>
    </row>
    <row r="365" spans="1:10" x14ac:dyDescent="0.2">
      <c r="A365" s="154">
        <f>IF(Values_Entered,A364+1,"")</f>
        <v>348</v>
      </c>
      <c r="B365" s="153">
        <f t="shared" si="40"/>
        <v>75089</v>
      </c>
      <c r="C365" s="151">
        <f t="shared" si="46"/>
        <v>0</v>
      </c>
      <c r="D365" s="151">
        <f t="shared" si="41"/>
        <v>1136407.7926360879</v>
      </c>
      <c r="E365" s="152">
        <f t="shared" si="42"/>
        <v>0</v>
      </c>
      <c r="F365" s="151">
        <f t="shared" si="43"/>
        <v>0</v>
      </c>
      <c r="G365" s="151">
        <f t="shared" si="44"/>
        <v>0</v>
      </c>
      <c r="H365" s="151">
        <f t="shared" si="47"/>
        <v>0</v>
      </c>
      <c r="I365" s="151">
        <f t="shared" si="45"/>
        <v>0</v>
      </c>
      <c r="J365" s="151">
        <f>SUM($H$18:$H365)</f>
        <v>2728155.8527217521</v>
      </c>
    </row>
    <row r="366" spans="1:10" x14ac:dyDescent="0.2">
      <c r="A366" s="154">
        <f>IF(Values_Entered,A365+1,"")</f>
        <v>349</v>
      </c>
      <c r="B366" s="153">
        <f t="shared" si="40"/>
        <v>75181</v>
      </c>
      <c r="C366" s="151">
        <f t="shared" si="46"/>
        <v>0</v>
      </c>
      <c r="D366" s="151">
        <f t="shared" si="41"/>
        <v>1136407.7926360879</v>
      </c>
      <c r="E366" s="152">
        <f t="shared" si="42"/>
        <v>0</v>
      </c>
      <c r="F366" s="151">
        <f t="shared" si="43"/>
        <v>0</v>
      </c>
      <c r="G366" s="151">
        <f t="shared" si="44"/>
        <v>0</v>
      </c>
      <c r="H366" s="151">
        <f t="shared" si="47"/>
        <v>0</v>
      </c>
      <c r="I366" s="151">
        <f t="shared" si="45"/>
        <v>0</v>
      </c>
      <c r="J366" s="151">
        <f>SUM($H$18:$H366)</f>
        <v>2728155.8527217521</v>
      </c>
    </row>
    <row r="367" spans="1:10" x14ac:dyDescent="0.2">
      <c r="A367" s="154">
        <f>IF(Values_Entered,A366+1,"")</f>
        <v>350</v>
      </c>
      <c r="B367" s="153">
        <f t="shared" si="40"/>
        <v>75273</v>
      </c>
      <c r="C367" s="151">
        <f t="shared" si="46"/>
        <v>0</v>
      </c>
      <c r="D367" s="151">
        <f t="shared" si="41"/>
        <v>1136407.7926360879</v>
      </c>
      <c r="E367" s="152">
        <f t="shared" si="42"/>
        <v>0</v>
      </c>
      <c r="F367" s="151">
        <f t="shared" si="43"/>
        <v>0</v>
      </c>
      <c r="G367" s="151">
        <f t="shared" si="44"/>
        <v>0</v>
      </c>
      <c r="H367" s="151">
        <f t="shared" si="47"/>
        <v>0</v>
      </c>
      <c r="I367" s="151">
        <f t="shared" si="45"/>
        <v>0</v>
      </c>
      <c r="J367" s="151">
        <f>SUM($H$18:$H367)</f>
        <v>2728155.8527217521</v>
      </c>
    </row>
    <row r="368" spans="1:10" x14ac:dyDescent="0.2">
      <c r="A368" s="154">
        <f>IF(Values_Entered,A367+1,"")</f>
        <v>351</v>
      </c>
      <c r="B368" s="153">
        <f t="shared" si="40"/>
        <v>75362</v>
      </c>
      <c r="C368" s="151">
        <f t="shared" si="46"/>
        <v>0</v>
      </c>
      <c r="D368" s="151">
        <f t="shared" si="41"/>
        <v>1136407.7926360879</v>
      </c>
      <c r="E368" s="152">
        <f t="shared" si="42"/>
        <v>0</v>
      </c>
      <c r="F368" s="151">
        <f t="shared" si="43"/>
        <v>0</v>
      </c>
      <c r="G368" s="151">
        <f t="shared" si="44"/>
        <v>0</v>
      </c>
      <c r="H368" s="151">
        <f t="shared" si="47"/>
        <v>0</v>
      </c>
      <c r="I368" s="151">
        <f t="shared" si="45"/>
        <v>0</v>
      </c>
      <c r="J368" s="151">
        <f>SUM($H$18:$H368)</f>
        <v>2728155.8527217521</v>
      </c>
    </row>
    <row r="369" spans="1:10" x14ac:dyDescent="0.2">
      <c r="A369" s="154">
        <f>IF(Values_Entered,A368+1,"")</f>
        <v>352</v>
      </c>
      <c r="B369" s="153">
        <f t="shared" si="40"/>
        <v>75454</v>
      </c>
      <c r="C369" s="151">
        <f t="shared" si="46"/>
        <v>0</v>
      </c>
      <c r="D369" s="151">
        <f t="shared" si="41"/>
        <v>1136407.7926360879</v>
      </c>
      <c r="E369" s="152">
        <f t="shared" si="42"/>
        <v>0</v>
      </c>
      <c r="F369" s="151">
        <f t="shared" si="43"/>
        <v>0</v>
      </c>
      <c r="G369" s="151">
        <f t="shared" si="44"/>
        <v>0</v>
      </c>
      <c r="H369" s="151">
        <f t="shared" si="47"/>
        <v>0</v>
      </c>
      <c r="I369" s="151">
        <f t="shared" si="45"/>
        <v>0</v>
      </c>
      <c r="J369" s="151">
        <f>SUM($H$18:$H369)</f>
        <v>2728155.8527217521</v>
      </c>
    </row>
    <row r="370" spans="1:10" x14ac:dyDescent="0.2">
      <c r="A370" s="154">
        <f>IF(Values_Entered,A369+1,"")</f>
        <v>353</v>
      </c>
      <c r="B370" s="153">
        <f t="shared" si="40"/>
        <v>75546</v>
      </c>
      <c r="C370" s="151">
        <f t="shared" si="46"/>
        <v>0</v>
      </c>
      <c r="D370" s="151">
        <f t="shared" si="41"/>
        <v>1136407.7926360879</v>
      </c>
      <c r="E370" s="152">
        <f t="shared" si="42"/>
        <v>0</v>
      </c>
      <c r="F370" s="151">
        <f t="shared" si="43"/>
        <v>0</v>
      </c>
      <c r="G370" s="151">
        <f t="shared" si="44"/>
        <v>0</v>
      </c>
      <c r="H370" s="151">
        <f t="shared" si="47"/>
        <v>0</v>
      </c>
      <c r="I370" s="151">
        <f t="shared" si="45"/>
        <v>0</v>
      </c>
      <c r="J370" s="151">
        <f>SUM($H$18:$H370)</f>
        <v>2728155.8527217521</v>
      </c>
    </row>
    <row r="371" spans="1:10" x14ac:dyDescent="0.2">
      <c r="A371" s="154">
        <f>IF(Values_Entered,A370+1,"")</f>
        <v>354</v>
      </c>
      <c r="B371" s="153">
        <f t="shared" si="40"/>
        <v>75638</v>
      </c>
      <c r="C371" s="151">
        <f t="shared" si="46"/>
        <v>0</v>
      </c>
      <c r="D371" s="151">
        <f t="shared" si="41"/>
        <v>1136407.7926360879</v>
      </c>
      <c r="E371" s="152">
        <f t="shared" si="42"/>
        <v>0</v>
      </c>
      <c r="F371" s="151">
        <f t="shared" si="43"/>
        <v>0</v>
      </c>
      <c r="G371" s="151">
        <f t="shared" si="44"/>
        <v>0</v>
      </c>
      <c r="H371" s="151">
        <f t="shared" si="47"/>
        <v>0</v>
      </c>
      <c r="I371" s="151">
        <f t="shared" si="45"/>
        <v>0</v>
      </c>
      <c r="J371" s="151">
        <f>SUM($H$18:$H371)</f>
        <v>2728155.8527217521</v>
      </c>
    </row>
    <row r="372" spans="1:10" x14ac:dyDescent="0.2">
      <c r="A372" s="154">
        <f>IF(Values_Entered,A371+1,"")</f>
        <v>355</v>
      </c>
      <c r="B372" s="153">
        <f t="shared" si="40"/>
        <v>75727</v>
      </c>
      <c r="C372" s="151">
        <f t="shared" si="46"/>
        <v>0</v>
      </c>
      <c r="D372" s="151">
        <f t="shared" si="41"/>
        <v>1136407.7926360879</v>
      </c>
      <c r="E372" s="152">
        <f t="shared" si="42"/>
        <v>0</v>
      </c>
      <c r="F372" s="151">
        <f t="shared" si="43"/>
        <v>0</v>
      </c>
      <c r="G372" s="151">
        <f t="shared" si="44"/>
        <v>0</v>
      </c>
      <c r="H372" s="151">
        <f t="shared" si="47"/>
        <v>0</v>
      </c>
      <c r="I372" s="151">
        <f t="shared" si="45"/>
        <v>0</v>
      </c>
      <c r="J372" s="151">
        <f>SUM($H$18:$H372)</f>
        <v>2728155.8527217521</v>
      </c>
    </row>
    <row r="373" spans="1:10" x14ac:dyDescent="0.2">
      <c r="A373" s="154">
        <f>IF(Values_Entered,A372+1,"")</f>
        <v>356</v>
      </c>
      <c r="B373" s="153">
        <f t="shared" si="40"/>
        <v>75819</v>
      </c>
      <c r="C373" s="151">
        <f t="shared" si="46"/>
        <v>0</v>
      </c>
      <c r="D373" s="151">
        <f t="shared" si="41"/>
        <v>1136407.7926360879</v>
      </c>
      <c r="E373" s="152">
        <f t="shared" si="42"/>
        <v>0</v>
      </c>
      <c r="F373" s="151">
        <f t="shared" si="43"/>
        <v>0</v>
      </c>
      <c r="G373" s="151">
        <f t="shared" si="44"/>
        <v>0</v>
      </c>
      <c r="H373" s="151">
        <f t="shared" si="47"/>
        <v>0</v>
      </c>
      <c r="I373" s="151">
        <f t="shared" si="45"/>
        <v>0</v>
      </c>
      <c r="J373" s="151">
        <f>SUM($H$18:$H373)</f>
        <v>2728155.8527217521</v>
      </c>
    </row>
    <row r="374" spans="1:10" x14ac:dyDescent="0.2">
      <c r="A374" s="154">
        <f>IF(Values_Entered,A373+1,"")</f>
        <v>357</v>
      </c>
      <c r="B374" s="153">
        <f t="shared" si="40"/>
        <v>75911</v>
      </c>
      <c r="C374" s="151">
        <f t="shared" si="46"/>
        <v>0</v>
      </c>
      <c r="D374" s="151">
        <f t="shared" si="41"/>
        <v>1136407.7926360879</v>
      </c>
      <c r="E374" s="152">
        <f t="shared" si="42"/>
        <v>0</v>
      </c>
      <c r="F374" s="151">
        <f t="shared" si="43"/>
        <v>0</v>
      </c>
      <c r="G374" s="151">
        <f t="shared" si="44"/>
        <v>0</v>
      </c>
      <c r="H374" s="151">
        <f t="shared" si="47"/>
        <v>0</v>
      </c>
      <c r="I374" s="151">
        <f t="shared" si="45"/>
        <v>0</v>
      </c>
      <c r="J374" s="151">
        <f>SUM($H$18:$H374)</f>
        <v>2728155.8527217521</v>
      </c>
    </row>
    <row r="375" spans="1:10" x14ac:dyDescent="0.2">
      <c r="A375" s="154">
        <f>IF(Values_Entered,A374+1,"")</f>
        <v>358</v>
      </c>
      <c r="B375" s="153">
        <f t="shared" si="40"/>
        <v>76003</v>
      </c>
      <c r="C375" s="151">
        <f t="shared" si="46"/>
        <v>0</v>
      </c>
      <c r="D375" s="151">
        <f t="shared" si="41"/>
        <v>1136407.7926360879</v>
      </c>
      <c r="E375" s="152">
        <f t="shared" si="42"/>
        <v>0</v>
      </c>
      <c r="F375" s="151">
        <f t="shared" si="43"/>
        <v>0</v>
      </c>
      <c r="G375" s="151">
        <f t="shared" si="44"/>
        <v>0</v>
      </c>
      <c r="H375" s="151">
        <f t="shared" si="47"/>
        <v>0</v>
      </c>
      <c r="I375" s="151">
        <f t="shared" si="45"/>
        <v>0</v>
      </c>
      <c r="J375" s="151">
        <f>SUM($H$18:$H375)</f>
        <v>2728155.8527217521</v>
      </c>
    </row>
    <row r="376" spans="1:10" x14ac:dyDescent="0.2">
      <c r="A376" s="154">
        <f>IF(Values_Entered,A375+1,"")</f>
        <v>359</v>
      </c>
      <c r="B376" s="153">
        <f t="shared" si="40"/>
        <v>76093</v>
      </c>
      <c r="C376" s="151">
        <f t="shared" si="46"/>
        <v>0</v>
      </c>
      <c r="D376" s="151">
        <f t="shared" si="41"/>
        <v>1136407.7926360879</v>
      </c>
      <c r="E376" s="152">
        <f t="shared" si="42"/>
        <v>0</v>
      </c>
      <c r="F376" s="151">
        <f t="shared" si="43"/>
        <v>0</v>
      </c>
      <c r="G376" s="151">
        <f t="shared" si="44"/>
        <v>0</v>
      </c>
      <c r="H376" s="151">
        <f t="shared" si="47"/>
        <v>0</v>
      </c>
      <c r="I376" s="151">
        <f t="shared" si="45"/>
        <v>0</v>
      </c>
      <c r="J376" s="151">
        <f>SUM($H$18:$H376)</f>
        <v>2728155.8527217521</v>
      </c>
    </row>
    <row r="377" spans="1:10" x14ac:dyDescent="0.2">
      <c r="A377" s="154">
        <f>IF(Values_Entered,A376+1,"")</f>
        <v>360</v>
      </c>
      <c r="B377" s="153">
        <f t="shared" si="40"/>
        <v>76185</v>
      </c>
      <c r="C377" s="151">
        <f t="shared" si="46"/>
        <v>0</v>
      </c>
      <c r="D377" s="151">
        <f t="shared" si="41"/>
        <v>1136407.7926360879</v>
      </c>
      <c r="E377" s="152">
        <f t="shared" si="42"/>
        <v>0</v>
      </c>
      <c r="F377" s="151">
        <f t="shared" si="43"/>
        <v>0</v>
      </c>
      <c r="G377" s="151">
        <f t="shared" si="44"/>
        <v>0</v>
      </c>
      <c r="H377" s="151">
        <f t="shared" si="47"/>
        <v>0</v>
      </c>
      <c r="I377" s="151">
        <f t="shared" si="45"/>
        <v>0</v>
      </c>
      <c r="J377" s="151">
        <f>SUM($H$18:$H377)</f>
        <v>2728155.8527217521</v>
      </c>
    </row>
    <row r="378" spans="1:10" x14ac:dyDescent="0.2">
      <c r="A378" s="154">
        <f>IF(Values_Entered,A377+1,"")</f>
        <v>361</v>
      </c>
      <c r="B378" s="153">
        <f t="shared" si="40"/>
        <v>76277</v>
      </c>
      <c r="C378" s="151">
        <f t="shared" si="46"/>
        <v>0</v>
      </c>
      <c r="D378" s="151">
        <f t="shared" si="41"/>
        <v>1136407.7926360879</v>
      </c>
      <c r="E378" s="152">
        <f t="shared" si="42"/>
        <v>0</v>
      </c>
      <c r="F378" s="151">
        <f t="shared" si="43"/>
        <v>0</v>
      </c>
      <c r="G378" s="151">
        <f t="shared" si="44"/>
        <v>0</v>
      </c>
      <c r="H378" s="151">
        <f t="shared" si="47"/>
        <v>0</v>
      </c>
      <c r="I378" s="151">
        <f t="shared" si="45"/>
        <v>0</v>
      </c>
      <c r="J378" s="151">
        <f>SUM($H$18:$H378)</f>
        <v>2728155.8527217521</v>
      </c>
    </row>
    <row r="379" spans="1:10" x14ac:dyDescent="0.2">
      <c r="A379" s="154">
        <f>IF(Values_Entered,A378+1,"")</f>
        <v>362</v>
      </c>
      <c r="B379" s="153">
        <f t="shared" si="40"/>
        <v>76369</v>
      </c>
      <c r="C379" s="151">
        <f t="shared" si="46"/>
        <v>0</v>
      </c>
      <c r="D379" s="151">
        <f t="shared" si="41"/>
        <v>1136407.7926360879</v>
      </c>
      <c r="E379" s="152">
        <f t="shared" si="42"/>
        <v>0</v>
      </c>
      <c r="F379" s="151">
        <f t="shared" si="43"/>
        <v>0</v>
      </c>
      <c r="G379" s="151">
        <f t="shared" si="44"/>
        <v>0</v>
      </c>
      <c r="H379" s="151">
        <f t="shared" si="47"/>
        <v>0</v>
      </c>
      <c r="I379" s="151">
        <f t="shared" si="45"/>
        <v>0</v>
      </c>
      <c r="J379" s="151">
        <f>SUM($H$18:$H379)</f>
        <v>2728155.8527217521</v>
      </c>
    </row>
    <row r="380" spans="1:10" x14ac:dyDescent="0.2">
      <c r="A380" s="154">
        <f>IF(Values_Entered,A379+1,"")</f>
        <v>363</v>
      </c>
      <c r="B380" s="153">
        <f t="shared" si="40"/>
        <v>76458</v>
      </c>
      <c r="C380" s="151">
        <f t="shared" si="46"/>
        <v>0</v>
      </c>
      <c r="D380" s="151">
        <f t="shared" si="41"/>
        <v>1136407.7926360879</v>
      </c>
      <c r="E380" s="152">
        <f t="shared" si="42"/>
        <v>0</v>
      </c>
      <c r="F380" s="151">
        <f t="shared" si="43"/>
        <v>0</v>
      </c>
      <c r="G380" s="151">
        <f t="shared" si="44"/>
        <v>0</v>
      </c>
      <c r="H380" s="151">
        <f t="shared" si="47"/>
        <v>0</v>
      </c>
      <c r="I380" s="151">
        <f t="shared" si="45"/>
        <v>0</v>
      </c>
      <c r="J380" s="151">
        <f>SUM($H$18:$H380)</f>
        <v>2728155.8527217521</v>
      </c>
    </row>
    <row r="381" spans="1:10" x14ac:dyDescent="0.2">
      <c r="A381" s="154">
        <f>IF(Values_Entered,A380+1,"")</f>
        <v>364</v>
      </c>
      <c r="B381" s="153">
        <f t="shared" si="40"/>
        <v>76550</v>
      </c>
      <c r="C381" s="151">
        <f t="shared" si="46"/>
        <v>0</v>
      </c>
      <c r="D381" s="151">
        <f t="shared" si="41"/>
        <v>1136407.7926360879</v>
      </c>
      <c r="E381" s="152">
        <f t="shared" si="42"/>
        <v>0</v>
      </c>
      <c r="F381" s="151">
        <f t="shared" si="43"/>
        <v>0</v>
      </c>
      <c r="G381" s="151">
        <f t="shared" si="44"/>
        <v>0</v>
      </c>
      <c r="H381" s="151">
        <f t="shared" si="47"/>
        <v>0</v>
      </c>
      <c r="I381" s="151">
        <f t="shared" si="45"/>
        <v>0</v>
      </c>
      <c r="J381" s="151">
        <f>SUM($H$18:$H381)</f>
        <v>2728155.8527217521</v>
      </c>
    </row>
    <row r="382" spans="1:10" x14ac:dyDescent="0.2">
      <c r="A382" s="154">
        <f>IF(Values_Entered,A381+1,"")</f>
        <v>365</v>
      </c>
      <c r="B382" s="153">
        <f t="shared" si="40"/>
        <v>76642</v>
      </c>
      <c r="C382" s="151">
        <f t="shared" si="46"/>
        <v>0</v>
      </c>
      <c r="D382" s="151">
        <f t="shared" si="41"/>
        <v>1136407.7926360879</v>
      </c>
      <c r="E382" s="152">
        <f t="shared" si="42"/>
        <v>0</v>
      </c>
      <c r="F382" s="151">
        <f t="shared" si="43"/>
        <v>0</v>
      </c>
      <c r="G382" s="151">
        <f t="shared" si="44"/>
        <v>0</v>
      </c>
      <c r="H382" s="151">
        <f t="shared" si="47"/>
        <v>0</v>
      </c>
      <c r="I382" s="151">
        <f t="shared" si="45"/>
        <v>0</v>
      </c>
      <c r="J382" s="151">
        <f>SUM($H$18:$H382)</f>
        <v>2728155.8527217521</v>
      </c>
    </row>
    <row r="383" spans="1:10" x14ac:dyDescent="0.2">
      <c r="A383" s="154">
        <f>IF(Values_Entered,A382+1,"")</f>
        <v>366</v>
      </c>
      <c r="B383" s="153">
        <f t="shared" si="40"/>
        <v>76734</v>
      </c>
      <c r="C383" s="151">
        <f t="shared" si="46"/>
        <v>0</v>
      </c>
      <c r="D383" s="151">
        <f t="shared" si="41"/>
        <v>1136407.7926360879</v>
      </c>
      <c r="E383" s="152">
        <f t="shared" si="42"/>
        <v>0</v>
      </c>
      <c r="F383" s="151">
        <f t="shared" si="43"/>
        <v>0</v>
      </c>
      <c r="G383" s="151">
        <f t="shared" si="44"/>
        <v>0</v>
      </c>
      <c r="H383" s="151">
        <f t="shared" si="47"/>
        <v>0</v>
      </c>
      <c r="I383" s="151">
        <f t="shared" si="45"/>
        <v>0</v>
      </c>
      <c r="J383" s="151">
        <f>SUM($H$18:$H383)</f>
        <v>2728155.8527217521</v>
      </c>
    </row>
    <row r="384" spans="1:10" x14ac:dyDescent="0.2">
      <c r="A384" s="154">
        <f>IF(Values_Entered,A383+1,"")</f>
        <v>367</v>
      </c>
      <c r="B384" s="153">
        <f t="shared" si="40"/>
        <v>76823</v>
      </c>
      <c r="C384" s="151">
        <f t="shared" si="46"/>
        <v>0</v>
      </c>
      <c r="D384" s="151">
        <f t="shared" si="41"/>
        <v>1136407.7926360879</v>
      </c>
      <c r="E384" s="152">
        <f t="shared" si="42"/>
        <v>0</v>
      </c>
      <c r="F384" s="151">
        <f t="shared" si="43"/>
        <v>0</v>
      </c>
      <c r="G384" s="151">
        <f t="shared" si="44"/>
        <v>0</v>
      </c>
      <c r="H384" s="151">
        <f t="shared" si="47"/>
        <v>0</v>
      </c>
      <c r="I384" s="151">
        <f t="shared" si="45"/>
        <v>0</v>
      </c>
      <c r="J384" s="151">
        <f>SUM($H$18:$H384)</f>
        <v>2728155.8527217521</v>
      </c>
    </row>
    <row r="385" spans="1:10" x14ac:dyDescent="0.2">
      <c r="A385" s="154">
        <f>IF(Values_Entered,A384+1,"")</f>
        <v>368</v>
      </c>
      <c r="B385" s="153">
        <f t="shared" si="40"/>
        <v>76915</v>
      </c>
      <c r="C385" s="151">
        <f t="shared" si="46"/>
        <v>0</v>
      </c>
      <c r="D385" s="151">
        <f t="shared" si="41"/>
        <v>1136407.7926360879</v>
      </c>
      <c r="E385" s="152">
        <f t="shared" si="42"/>
        <v>0</v>
      </c>
      <c r="F385" s="151">
        <f t="shared" si="43"/>
        <v>0</v>
      </c>
      <c r="G385" s="151">
        <f t="shared" si="44"/>
        <v>0</v>
      </c>
      <c r="H385" s="151">
        <f t="shared" si="47"/>
        <v>0</v>
      </c>
      <c r="I385" s="151">
        <f t="shared" si="45"/>
        <v>0</v>
      </c>
      <c r="J385" s="151">
        <f>SUM($H$18:$H385)</f>
        <v>2728155.8527217521</v>
      </c>
    </row>
    <row r="386" spans="1:10" x14ac:dyDescent="0.2">
      <c r="A386" s="154">
        <f>IF(Values_Entered,A385+1,"")</f>
        <v>369</v>
      </c>
      <c r="B386" s="153">
        <f t="shared" si="40"/>
        <v>77007</v>
      </c>
      <c r="C386" s="151">
        <f t="shared" si="46"/>
        <v>0</v>
      </c>
      <c r="D386" s="151">
        <f t="shared" si="41"/>
        <v>1136407.7926360879</v>
      </c>
      <c r="E386" s="152">
        <f t="shared" si="42"/>
        <v>0</v>
      </c>
      <c r="F386" s="151">
        <f t="shared" si="43"/>
        <v>0</v>
      </c>
      <c r="G386" s="151">
        <f t="shared" si="44"/>
        <v>0</v>
      </c>
      <c r="H386" s="151">
        <f t="shared" si="47"/>
        <v>0</v>
      </c>
      <c r="I386" s="151">
        <f t="shared" si="45"/>
        <v>0</v>
      </c>
      <c r="J386" s="151">
        <f>SUM($H$18:$H386)</f>
        <v>2728155.8527217521</v>
      </c>
    </row>
    <row r="387" spans="1:10" x14ac:dyDescent="0.2">
      <c r="A387" s="154">
        <f>IF(Values_Entered,A386+1,"")</f>
        <v>370</v>
      </c>
      <c r="B387" s="153">
        <f t="shared" si="40"/>
        <v>77099</v>
      </c>
      <c r="C387" s="151">
        <f t="shared" si="46"/>
        <v>0</v>
      </c>
      <c r="D387" s="151">
        <f t="shared" si="41"/>
        <v>1136407.7926360879</v>
      </c>
      <c r="E387" s="152">
        <f t="shared" si="42"/>
        <v>0</v>
      </c>
      <c r="F387" s="151">
        <f t="shared" si="43"/>
        <v>0</v>
      </c>
      <c r="G387" s="151">
        <f t="shared" si="44"/>
        <v>0</v>
      </c>
      <c r="H387" s="151">
        <f t="shared" si="47"/>
        <v>0</v>
      </c>
      <c r="I387" s="151">
        <f t="shared" si="45"/>
        <v>0</v>
      </c>
      <c r="J387" s="151">
        <f>SUM($H$18:$H387)</f>
        <v>2728155.8527217521</v>
      </c>
    </row>
    <row r="388" spans="1:10" x14ac:dyDescent="0.2">
      <c r="A388" s="154">
        <f>IF(Values_Entered,A387+1,"")</f>
        <v>371</v>
      </c>
      <c r="B388" s="153">
        <f t="shared" si="40"/>
        <v>77188</v>
      </c>
      <c r="C388" s="151">
        <f t="shared" si="46"/>
        <v>0</v>
      </c>
      <c r="D388" s="151">
        <f t="shared" si="41"/>
        <v>1136407.7926360879</v>
      </c>
      <c r="E388" s="152">
        <f t="shared" si="42"/>
        <v>0</v>
      </c>
      <c r="F388" s="151">
        <f t="shared" si="43"/>
        <v>0</v>
      </c>
      <c r="G388" s="151">
        <f t="shared" si="44"/>
        <v>0</v>
      </c>
      <c r="H388" s="151">
        <f t="shared" si="47"/>
        <v>0</v>
      </c>
      <c r="I388" s="151">
        <f t="shared" si="45"/>
        <v>0</v>
      </c>
      <c r="J388" s="151">
        <f>SUM($H$18:$H388)</f>
        <v>2728155.8527217521</v>
      </c>
    </row>
    <row r="389" spans="1:10" x14ac:dyDescent="0.2">
      <c r="A389" s="154">
        <f>IF(Values_Entered,A388+1,"")</f>
        <v>372</v>
      </c>
      <c r="B389" s="153">
        <f t="shared" si="40"/>
        <v>77280</v>
      </c>
      <c r="C389" s="151">
        <f t="shared" si="46"/>
        <v>0</v>
      </c>
      <c r="D389" s="151">
        <f t="shared" si="41"/>
        <v>1136407.7926360879</v>
      </c>
      <c r="E389" s="152">
        <f t="shared" si="42"/>
        <v>0</v>
      </c>
      <c r="F389" s="151">
        <f t="shared" si="43"/>
        <v>0</v>
      </c>
      <c r="G389" s="151">
        <f t="shared" si="44"/>
        <v>0</v>
      </c>
      <c r="H389" s="151">
        <f t="shared" si="47"/>
        <v>0</v>
      </c>
      <c r="I389" s="151">
        <f t="shared" si="45"/>
        <v>0</v>
      </c>
      <c r="J389" s="151">
        <f>SUM($H$18:$H389)</f>
        <v>2728155.8527217521</v>
      </c>
    </row>
    <row r="390" spans="1:10" x14ac:dyDescent="0.2">
      <c r="A390" s="154">
        <f>IF(Values_Entered,A389+1,"")</f>
        <v>373</v>
      </c>
      <c r="B390" s="153">
        <f t="shared" si="40"/>
        <v>77372</v>
      </c>
      <c r="C390" s="151">
        <f t="shared" si="46"/>
        <v>0</v>
      </c>
      <c r="D390" s="151">
        <f t="shared" si="41"/>
        <v>1136407.7926360879</v>
      </c>
      <c r="E390" s="152">
        <f t="shared" si="42"/>
        <v>0</v>
      </c>
      <c r="F390" s="151">
        <f t="shared" si="43"/>
        <v>0</v>
      </c>
      <c r="G390" s="151">
        <f t="shared" si="44"/>
        <v>0</v>
      </c>
      <c r="H390" s="151">
        <f t="shared" si="47"/>
        <v>0</v>
      </c>
      <c r="I390" s="151">
        <f t="shared" si="45"/>
        <v>0</v>
      </c>
      <c r="J390" s="151">
        <f>SUM($H$18:$H390)</f>
        <v>2728155.8527217521</v>
      </c>
    </row>
    <row r="391" spans="1:10" x14ac:dyDescent="0.2">
      <c r="A391" s="154">
        <f>IF(Values_Entered,A390+1,"")</f>
        <v>374</v>
      </c>
      <c r="B391" s="153">
        <f t="shared" si="40"/>
        <v>77464</v>
      </c>
      <c r="C391" s="151">
        <f t="shared" si="46"/>
        <v>0</v>
      </c>
      <c r="D391" s="151">
        <f t="shared" si="41"/>
        <v>1136407.7926360879</v>
      </c>
      <c r="E391" s="152">
        <f t="shared" si="42"/>
        <v>0</v>
      </c>
      <c r="F391" s="151">
        <f t="shared" si="43"/>
        <v>0</v>
      </c>
      <c r="G391" s="151">
        <f t="shared" si="44"/>
        <v>0</v>
      </c>
      <c r="H391" s="151">
        <f t="shared" si="47"/>
        <v>0</v>
      </c>
      <c r="I391" s="151">
        <f t="shared" si="45"/>
        <v>0</v>
      </c>
      <c r="J391" s="151">
        <f>SUM($H$18:$H391)</f>
        <v>2728155.8527217521</v>
      </c>
    </row>
    <row r="392" spans="1:10" x14ac:dyDescent="0.2">
      <c r="A392" s="154">
        <f>IF(Values_Entered,A391+1,"")</f>
        <v>375</v>
      </c>
      <c r="B392" s="153">
        <f t="shared" si="40"/>
        <v>77554</v>
      </c>
      <c r="C392" s="151">
        <f t="shared" si="46"/>
        <v>0</v>
      </c>
      <c r="D392" s="151">
        <f t="shared" si="41"/>
        <v>1136407.7926360879</v>
      </c>
      <c r="E392" s="152">
        <f t="shared" si="42"/>
        <v>0</v>
      </c>
      <c r="F392" s="151">
        <f t="shared" si="43"/>
        <v>0</v>
      </c>
      <c r="G392" s="151">
        <f t="shared" si="44"/>
        <v>0</v>
      </c>
      <c r="H392" s="151">
        <f t="shared" si="47"/>
        <v>0</v>
      </c>
      <c r="I392" s="151">
        <f t="shared" si="45"/>
        <v>0</v>
      </c>
      <c r="J392" s="151">
        <f>SUM($H$18:$H392)</f>
        <v>2728155.8527217521</v>
      </c>
    </row>
    <row r="393" spans="1:10" x14ac:dyDescent="0.2">
      <c r="A393" s="154">
        <f>IF(Values_Entered,A392+1,"")</f>
        <v>376</v>
      </c>
      <c r="B393" s="153">
        <f t="shared" si="40"/>
        <v>77646</v>
      </c>
      <c r="C393" s="151">
        <f t="shared" si="46"/>
        <v>0</v>
      </c>
      <c r="D393" s="151">
        <f t="shared" si="41"/>
        <v>1136407.7926360879</v>
      </c>
      <c r="E393" s="152">
        <f t="shared" si="42"/>
        <v>0</v>
      </c>
      <c r="F393" s="151">
        <f t="shared" si="43"/>
        <v>0</v>
      </c>
      <c r="G393" s="151">
        <f t="shared" si="44"/>
        <v>0</v>
      </c>
      <c r="H393" s="151">
        <f t="shared" si="47"/>
        <v>0</v>
      </c>
      <c r="I393" s="151">
        <f t="shared" si="45"/>
        <v>0</v>
      </c>
      <c r="J393" s="151">
        <f>SUM($H$18:$H393)</f>
        <v>2728155.8527217521</v>
      </c>
    </row>
    <row r="394" spans="1:10" x14ac:dyDescent="0.2">
      <c r="A394" s="154">
        <f>IF(Values_Entered,A393+1,"")</f>
        <v>377</v>
      </c>
      <c r="B394" s="153">
        <f t="shared" si="40"/>
        <v>77738</v>
      </c>
      <c r="C394" s="151">
        <f t="shared" si="46"/>
        <v>0</v>
      </c>
      <c r="D394" s="151">
        <f t="shared" si="41"/>
        <v>1136407.7926360879</v>
      </c>
      <c r="E394" s="152">
        <f t="shared" si="42"/>
        <v>0</v>
      </c>
      <c r="F394" s="151">
        <f t="shared" si="43"/>
        <v>0</v>
      </c>
      <c r="G394" s="151">
        <f t="shared" si="44"/>
        <v>0</v>
      </c>
      <c r="H394" s="151">
        <f t="shared" si="47"/>
        <v>0</v>
      </c>
      <c r="I394" s="151">
        <f t="shared" si="45"/>
        <v>0</v>
      </c>
      <c r="J394" s="151">
        <f>SUM($H$18:$H394)</f>
        <v>2728155.8527217521</v>
      </c>
    </row>
    <row r="395" spans="1:10" x14ac:dyDescent="0.2">
      <c r="A395" s="154">
        <f>IF(Values_Entered,A394+1,"")</f>
        <v>378</v>
      </c>
      <c r="B395" s="153">
        <f t="shared" si="40"/>
        <v>77830</v>
      </c>
      <c r="C395" s="151">
        <f t="shared" si="46"/>
        <v>0</v>
      </c>
      <c r="D395" s="151">
        <f t="shared" si="41"/>
        <v>1136407.7926360879</v>
      </c>
      <c r="E395" s="152">
        <f t="shared" si="42"/>
        <v>0</v>
      </c>
      <c r="F395" s="151">
        <f t="shared" si="43"/>
        <v>0</v>
      </c>
      <c r="G395" s="151">
        <f t="shared" si="44"/>
        <v>0</v>
      </c>
      <c r="H395" s="151">
        <f t="shared" si="47"/>
        <v>0</v>
      </c>
      <c r="I395" s="151">
        <f t="shared" si="45"/>
        <v>0</v>
      </c>
      <c r="J395" s="151">
        <f>SUM($H$18:$H395)</f>
        <v>2728155.8527217521</v>
      </c>
    </row>
    <row r="396" spans="1:10" x14ac:dyDescent="0.2">
      <c r="A396" s="154">
        <f>IF(Values_Entered,A395+1,"")</f>
        <v>379</v>
      </c>
      <c r="B396" s="153">
        <f t="shared" si="40"/>
        <v>77919</v>
      </c>
      <c r="C396" s="151">
        <f t="shared" si="46"/>
        <v>0</v>
      </c>
      <c r="D396" s="151">
        <f t="shared" si="41"/>
        <v>1136407.7926360879</v>
      </c>
      <c r="E396" s="152">
        <f t="shared" si="42"/>
        <v>0</v>
      </c>
      <c r="F396" s="151">
        <f t="shared" si="43"/>
        <v>0</v>
      </c>
      <c r="G396" s="151">
        <f t="shared" si="44"/>
        <v>0</v>
      </c>
      <c r="H396" s="151">
        <f t="shared" si="47"/>
        <v>0</v>
      </c>
      <c r="I396" s="151">
        <f t="shared" si="45"/>
        <v>0</v>
      </c>
      <c r="J396" s="151">
        <f>SUM($H$18:$H396)</f>
        <v>2728155.8527217521</v>
      </c>
    </row>
    <row r="397" spans="1:10" x14ac:dyDescent="0.2">
      <c r="A397" s="154">
        <f>IF(Values_Entered,A396+1,"")</f>
        <v>380</v>
      </c>
      <c r="B397" s="153">
        <f t="shared" si="40"/>
        <v>78011</v>
      </c>
      <c r="C397" s="151">
        <f t="shared" si="46"/>
        <v>0</v>
      </c>
      <c r="D397" s="151">
        <f t="shared" si="41"/>
        <v>1136407.7926360879</v>
      </c>
      <c r="E397" s="152">
        <f t="shared" si="42"/>
        <v>0</v>
      </c>
      <c r="F397" s="151">
        <f t="shared" si="43"/>
        <v>0</v>
      </c>
      <c r="G397" s="151">
        <f t="shared" si="44"/>
        <v>0</v>
      </c>
      <c r="H397" s="151">
        <f t="shared" si="47"/>
        <v>0</v>
      </c>
      <c r="I397" s="151">
        <f t="shared" si="45"/>
        <v>0</v>
      </c>
      <c r="J397" s="151">
        <f>SUM($H$18:$H397)</f>
        <v>2728155.8527217521</v>
      </c>
    </row>
    <row r="398" spans="1:10" x14ac:dyDescent="0.2">
      <c r="A398" s="154">
        <f>IF(Values_Entered,A397+1,"")</f>
        <v>381</v>
      </c>
      <c r="B398" s="153">
        <f t="shared" si="40"/>
        <v>78103</v>
      </c>
      <c r="C398" s="151">
        <f t="shared" si="46"/>
        <v>0</v>
      </c>
      <c r="D398" s="151">
        <f t="shared" si="41"/>
        <v>1136407.7926360879</v>
      </c>
      <c r="E398" s="152">
        <f t="shared" si="42"/>
        <v>0</v>
      </c>
      <c r="F398" s="151">
        <f t="shared" si="43"/>
        <v>0</v>
      </c>
      <c r="G398" s="151">
        <f t="shared" si="44"/>
        <v>0</v>
      </c>
      <c r="H398" s="151">
        <f t="shared" si="47"/>
        <v>0</v>
      </c>
      <c r="I398" s="151">
        <f t="shared" si="45"/>
        <v>0</v>
      </c>
      <c r="J398" s="151">
        <f>SUM($H$18:$H398)</f>
        <v>2728155.8527217521</v>
      </c>
    </row>
    <row r="399" spans="1:10" x14ac:dyDescent="0.2">
      <c r="A399" s="154">
        <f>IF(Values_Entered,A398+1,"")</f>
        <v>382</v>
      </c>
      <c r="B399" s="153">
        <f t="shared" si="40"/>
        <v>78195</v>
      </c>
      <c r="C399" s="151">
        <f t="shared" si="46"/>
        <v>0</v>
      </c>
      <c r="D399" s="151">
        <f t="shared" si="41"/>
        <v>1136407.7926360879</v>
      </c>
      <c r="E399" s="152">
        <f t="shared" si="42"/>
        <v>0</v>
      </c>
      <c r="F399" s="151">
        <f t="shared" si="43"/>
        <v>0</v>
      </c>
      <c r="G399" s="151">
        <f t="shared" si="44"/>
        <v>0</v>
      </c>
      <c r="H399" s="151">
        <f t="shared" si="47"/>
        <v>0</v>
      </c>
      <c r="I399" s="151">
        <f t="shared" si="45"/>
        <v>0</v>
      </c>
      <c r="J399" s="151">
        <f>SUM($H$18:$H399)</f>
        <v>2728155.8527217521</v>
      </c>
    </row>
    <row r="400" spans="1:10" x14ac:dyDescent="0.2">
      <c r="A400" s="154">
        <f>IF(Values_Entered,A399+1,"")</f>
        <v>383</v>
      </c>
      <c r="B400" s="153">
        <f t="shared" si="40"/>
        <v>78284</v>
      </c>
      <c r="C400" s="151">
        <f t="shared" si="46"/>
        <v>0</v>
      </c>
      <c r="D400" s="151">
        <f t="shared" si="41"/>
        <v>1136407.7926360879</v>
      </c>
      <c r="E400" s="152">
        <f t="shared" si="42"/>
        <v>0</v>
      </c>
      <c r="F400" s="151">
        <f t="shared" si="43"/>
        <v>0</v>
      </c>
      <c r="G400" s="151">
        <f t="shared" si="44"/>
        <v>0</v>
      </c>
      <c r="H400" s="151">
        <f t="shared" si="47"/>
        <v>0</v>
      </c>
      <c r="I400" s="151">
        <f t="shared" si="45"/>
        <v>0</v>
      </c>
      <c r="J400" s="151">
        <f>SUM($H$18:$H400)</f>
        <v>2728155.8527217521</v>
      </c>
    </row>
    <row r="401" spans="1:10" x14ac:dyDescent="0.2">
      <c r="A401" s="154">
        <f>IF(Values_Entered,A400+1,"")</f>
        <v>384</v>
      </c>
      <c r="B401" s="153">
        <f t="shared" si="40"/>
        <v>78376</v>
      </c>
      <c r="C401" s="151">
        <f t="shared" si="46"/>
        <v>0</v>
      </c>
      <c r="D401" s="151">
        <f t="shared" si="41"/>
        <v>1136407.7926360879</v>
      </c>
      <c r="E401" s="152">
        <f t="shared" si="42"/>
        <v>0</v>
      </c>
      <c r="F401" s="151">
        <f t="shared" si="43"/>
        <v>0</v>
      </c>
      <c r="G401" s="151">
        <f t="shared" si="44"/>
        <v>0</v>
      </c>
      <c r="H401" s="151">
        <f t="shared" si="47"/>
        <v>0</v>
      </c>
      <c r="I401" s="151">
        <f t="shared" si="45"/>
        <v>0</v>
      </c>
      <c r="J401" s="151">
        <f>SUM($H$18:$H401)</f>
        <v>2728155.8527217521</v>
      </c>
    </row>
    <row r="402" spans="1:10" x14ac:dyDescent="0.2">
      <c r="A402" s="154">
        <f>IF(Values_Entered,A401+1,"")</f>
        <v>385</v>
      </c>
      <c r="B402" s="153">
        <f t="shared" ref="B402:B465" si="48">IF(Pay_Num&lt;&gt;"",DATE(YEAR(Loan_Start),MONTH(Loan_Start)+(Pay_Num)*12/Num_Pmt_Per_Year,DAY(Loan_Start)),"")</f>
        <v>78468</v>
      </c>
      <c r="C402" s="151">
        <f t="shared" si="46"/>
        <v>0</v>
      </c>
      <c r="D402" s="151">
        <f t="shared" ref="D402:D465" si="49">IF(Pay_Num&lt;&gt;"",Scheduled_Monthly_Payment,"")</f>
        <v>1136407.7926360879</v>
      </c>
      <c r="E402" s="152">
        <f t="shared" ref="E402:E465" si="50">IF(AND(Pay_Num&lt;&gt;"",Sched_Pay+Scheduled_Extra_Payments&lt;Beg_Bal),Scheduled_Extra_Payments,IF(AND(Pay_Num&lt;&gt;"",Beg_Bal-Sched_Pay&gt;0),Beg_Bal-Sched_Pay,IF(Pay_Num&lt;&gt;"",0,"")))</f>
        <v>0</v>
      </c>
      <c r="F402" s="151">
        <f t="shared" ref="F402:F465" si="51">IF(AND(Pay_Num&lt;&gt;"",Sched_Pay+Extra_Pay&lt;Beg_Bal),Sched_Pay+Extra_Pay,IF(Pay_Num&lt;&gt;"",Beg_Bal,""))</f>
        <v>0</v>
      </c>
      <c r="G402" s="151">
        <f t="shared" ref="G402:G465" si="52">IF(Pay_Num&lt;&gt;"",Total_Pay-Int,"")</f>
        <v>0</v>
      </c>
      <c r="H402" s="151">
        <f t="shared" si="47"/>
        <v>0</v>
      </c>
      <c r="I402" s="151">
        <f t="shared" ref="I402:I465" si="53">IF(AND(Pay_Num&lt;&gt;"",Sched_Pay+Extra_Pay&lt;Beg_Bal),Beg_Bal-Princ,IF(Pay_Num&lt;&gt;"",0,""))</f>
        <v>0</v>
      </c>
      <c r="J402" s="151">
        <f>SUM($H$18:$H402)</f>
        <v>2728155.8527217521</v>
      </c>
    </row>
    <row r="403" spans="1:10" x14ac:dyDescent="0.2">
      <c r="A403" s="154">
        <f>IF(Values_Entered,A402+1,"")</f>
        <v>386</v>
      </c>
      <c r="B403" s="153">
        <f t="shared" si="48"/>
        <v>78560</v>
      </c>
      <c r="C403" s="151">
        <f t="shared" ref="C403:C466" si="54">IF(Pay_Num&lt;&gt;"",I402,"")</f>
        <v>0</v>
      </c>
      <c r="D403" s="151">
        <f t="shared" si="49"/>
        <v>1136407.7926360879</v>
      </c>
      <c r="E403" s="152">
        <f t="shared" si="50"/>
        <v>0</v>
      </c>
      <c r="F403" s="151">
        <f t="shared" si="51"/>
        <v>0</v>
      </c>
      <c r="G403" s="151">
        <f t="shared" si="52"/>
        <v>0</v>
      </c>
      <c r="H403" s="151">
        <f t="shared" ref="H403:H466" si="55">IF(Pay_Num&lt;&gt;"",Beg_Bal*Interest_Rate/Num_Pmt_Per_Year,"")</f>
        <v>0</v>
      </c>
      <c r="I403" s="151">
        <f t="shared" si="53"/>
        <v>0</v>
      </c>
      <c r="J403" s="151">
        <f>SUM($H$18:$H403)</f>
        <v>2728155.8527217521</v>
      </c>
    </row>
    <row r="404" spans="1:10" x14ac:dyDescent="0.2">
      <c r="A404" s="154">
        <f>IF(Values_Entered,A403+1,"")</f>
        <v>387</v>
      </c>
      <c r="B404" s="153">
        <f t="shared" si="48"/>
        <v>78649</v>
      </c>
      <c r="C404" s="151">
        <f t="shared" si="54"/>
        <v>0</v>
      </c>
      <c r="D404" s="151">
        <f t="shared" si="49"/>
        <v>1136407.7926360879</v>
      </c>
      <c r="E404" s="152">
        <f t="shared" si="50"/>
        <v>0</v>
      </c>
      <c r="F404" s="151">
        <f t="shared" si="51"/>
        <v>0</v>
      </c>
      <c r="G404" s="151">
        <f t="shared" si="52"/>
        <v>0</v>
      </c>
      <c r="H404" s="151">
        <f t="shared" si="55"/>
        <v>0</v>
      </c>
      <c r="I404" s="151">
        <f t="shared" si="53"/>
        <v>0</v>
      </c>
      <c r="J404" s="151">
        <f>SUM($H$18:$H404)</f>
        <v>2728155.8527217521</v>
      </c>
    </row>
    <row r="405" spans="1:10" x14ac:dyDescent="0.2">
      <c r="A405" s="154">
        <f>IF(Values_Entered,A404+1,"")</f>
        <v>388</v>
      </c>
      <c r="B405" s="153">
        <f t="shared" si="48"/>
        <v>78741</v>
      </c>
      <c r="C405" s="151">
        <f t="shared" si="54"/>
        <v>0</v>
      </c>
      <c r="D405" s="151">
        <f t="shared" si="49"/>
        <v>1136407.7926360879</v>
      </c>
      <c r="E405" s="152">
        <f t="shared" si="50"/>
        <v>0</v>
      </c>
      <c r="F405" s="151">
        <f t="shared" si="51"/>
        <v>0</v>
      </c>
      <c r="G405" s="151">
        <f t="shared" si="52"/>
        <v>0</v>
      </c>
      <c r="H405" s="151">
        <f t="shared" si="55"/>
        <v>0</v>
      </c>
      <c r="I405" s="151">
        <f t="shared" si="53"/>
        <v>0</v>
      </c>
      <c r="J405" s="151">
        <f>SUM($H$18:$H405)</f>
        <v>2728155.8527217521</v>
      </c>
    </row>
    <row r="406" spans="1:10" x14ac:dyDescent="0.2">
      <c r="A406" s="154">
        <f>IF(Values_Entered,A405+1,"")</f>
        <v>389</v>
      </c>
      <c r="B406" s="153">
        <f t="shared" si="48"/>
        <v>78833</v>
      </c>
      <c r="C406" s="151">
        <f t="shared" si="54"/>
        <v>0</v>
      </c>
      <c r="D406" s="151">
        <f t="shared" si="49"/>
        <v>1136407.7926360879</v>
      </c>
      <c r="E406" s="152">
        <f t="shared" si="50"/>
        <v>0</v>
      </c>
      <c r="F406" s="151">
        <f t="shared" si="51"/>
        <v>0</v>
      </c>
      <c r="G406" s="151">
        <f t="shared" si="52"/>
        <v>0</v>
      </c>
      <c r="H406" s="151">
        <f t="shared" si="55"/>
        <v>0</v>
      </c>
      <c r="I406" s="151">
        <f t="shared" si="53"/>
        <v>0</v>
      </c>
      <c r="J406" s="151">
        <f>SUM($H$18:$H406)</f>
        <v>2728155.8527217521</v>
      </c>
    </row>
    <row r="407" spans="1:10" x14ac:dyDescent="0.2">
      <c r="A407" s="154">
        <f>IF(Values_Entered,A406+1,"")</f>
        <v>390</v>
      </c>
      <c r="B407" s="153">
        <f t="shared" si="48"/>
        <v>78925</v>
      </c>
      <c r="C407" s="151">
        <f t="shared" si="54"/>
        <v>0</v>
      </c>
      <c r="D407" s="151">
        <f t="shared" si="49"/>
        <v>1136407.7926360879</v>
      </c>
      <c r="E407" s="152">
        <f t="shared" si="50"/>
        <v>0</v>
      </c>
      <c r="F407" s="151">
        <f t="shared" si="51"/>
        <v>0</v>
      </c>
      <c r="G407" s="151">
        <f t="shared" si="52"/>
        <v>0</v>
      </c>
      <c r="H407" s="151">
        <f t="shared" si="55"/>
        <v>0</v>
      </c>
      <c r="I407" s="151">
        <f t="shared" si="53"/>
        <v>0</v>
      </c>
      <c r="J407" s="151">
        <f>SUM($H$18:$H407)</f>
        <v>2728155.8527217521</v>
      </c>
    </row>
    <row r="408" spans="1:10" x14ac:dyDescent="0.2">
      <c r="A408" s="154">
        <f>IF(Values_Entered,A407+1,"")</f>
        <v>391</v>
      </c>
      <c r="B408" s="153">
        <f t="shared" si="48"/>
        <v>79015</v>
      </c>
      <c r="C408" s="151">
        <f t="shared" si="54"/>
        <v>0</v>
      </c>
      <c r="D408" s="151">
        <f t="shared" si="49"/>
        <v>1136407.7926360879</v>
      </c>
      <c r="E408" s="152">
        <f t="shared" si="50"/>
        <v>0</v>
      </c>
      <c r="F408" s="151">
        <f t="shared" si="51"/>
        <v>0</v>
      </c>
      <c r="G408" s="151">
        <f t="shared" si="52"/>
        <v>0</v>
      </c>
      <c r="H408" s="151">
        <f t="shared" si="55"/>
        <v>0</v>
      </c>
      <c r="I408" s="151">
        <f t="shared" si="53"/>
        <v>0</v>
      </c>
      <c r="J408" s="151">
        <f>SUM($H$18:$H408)</f>
        <v>2728155.8527217521</v>
      </c>
    </row>
    <row r="409" spans="1:10" x14ac:dyDescent="0.2">
      <c r="A409" s="154">
        <f>IF(Values_Entered,A408+1,"")</f>
        <v>392</v>
      </c>
      <c r="B409" s="153">
        <f t="shared" si="48"/>
        <v>79107</v>
      </c>
      <c r="C409" s="151">
        <f t="shared" si="54"/>
        <v>0</v>
      </c>
      <c r="D409" s="151">
        <f t="shared" si="49"/>
        <v>1136407.7926360879</v>
      </c>
      <c r="E409" s="152">
        <f t="shared" si="50"/>
        <v>0</v>
      </c>
      <c r="F409" s="151">
        <f t="shared" si="51"/>
        <v>0</v>
      </c>
      <c r="G409" s="151">
        <f t="shared" si="52"/>
        <v>0</v>
      </c>
      <c r="H409" s="151">
        <f t="shared" si="55"/>
        <v>0</v>
      </c>
      <c r="I409" s="151">
        <f t="shared" si="53"/>
        <v>0</v>
      </c>
      <c r="J409" s="151">
        <f>SUM($H$18:$H409)</f>
        <v>2728155.8527217521</v>
      </c>
    </row>
    <row r="410" spans="1:10" x14ac:dyDescent="0.2">
      <c r="A410" s="154">
        <f>IF(Values_Entered,A409+1,"")</f>
        <v>393</v>
      </c>
      <c r="B410" s="153">
        <f t="shared" si="48"/>
        <v>79199</v>
      </c>
      <c r="C410" s="151">
        <f t="shared" si="54"/>
        <v>0</v>
      </c>
      <c r="D410" s="151">
        <f t="shared" si="49"/>
        <v>1136407.7926360879</v>
      </c>
      <c r="E410" s="152">
        <f t="shared" si="50"/>
        <v>0</v>
      </c>
      <c r="F410" s="151">
        <f t="shared" si="51"/>
        <v>0</v>
      </c>
      <c r="G410" s="151">
        <f t="shared" si="52"/>
        <v>0</v>
      </c>
      <c r="H410" s="151">
        <f t="shared" si="55"/>
        <v>0</v>
      </c>
      <c r="I410" s="151">
        <f t="shared" si="53"/>
        <v>0</v>
      </c>
      <c r="J410" s="151">
        <f>SUM($H$18:$H410)</f>
        <v>2728155.8527217521</v>
      </c>
    </row>
    <row r="411" spans="1:10" x14ac:dyDescent="0.2">
      <c r="A411" s="154">
        <f>IF(Values_Entered,A410+1,"")</f>
        <v>394</v>
      </c>
      <c r="B411" s="153">
        <f t="shared" si="48"/>
        <v>79291</v>
      </c>
      <c r="C411" s="151">
        <f t="shared" si="54"/>
        <v>0</v>
      </c>
      <c r="D411" s="151">
        <f t="shared" si="49"/>
        <v>1136407.7926360879</v>
      </c>
      <c r="E411" s="152">
        <f t="shared" si="50"/>
        <v>0</v>
      </c>
      <c r="F411" s="151">
        <f t="shared" si="51"/>
        <v>0</v>
      </c>
      <c r="G411" s="151">
        <f t="shared" si="52"/>
        <v>0</v>
      </c>
      <c r="H411" s="151">
        <f t="shared" si="55"/>
        <v>0</v>
      </c>
      <c r="I411" s="151">
        <f t="shared" si="53"/>
        <v>0</v>
      </c>
      <c r="J411" s="151">
        <f>SUM($H$18:$H411)</f>
        <v>2728155.8527217521</v>
      </c>
    </row>
    <row r="412" spans="1:10" x14ac:dyDescent="0.2">
      <c r="A412" s="154">
        <f>IF(Values_Entered,A411+1,"")</f>
        <v>395</v>
      </c>
      <c r="B412" s="153">
        <f t="shared" si="48"/>
        <v>79380</v>
      </c>
      <c r="C412" s="151">
        <f t="shared" si="54"/>
        <v>0</v>
      </c>
      <c r="D412" s="151">
        <f t="shared" si="49"/>
        <v>1136407.7926360879</v>
      </c>
      <c r="E412" s="152">
        <f t="shared" si="50"/>
        <v>0</v>
      </c>
      <c r="F412" s="151">
        <f t="shared" si="51"/>
        <v>0</v>
      </c>
      <c r="G412" s="151">
        <f t="shared" si="52"/>
        <v>0</v>
      </c>
      <c r="H412" s="151">
        <f t="shared" si="55"/>
        <v>0</v>
      </c>
      <c r="I412" s="151">
        <f t="shared" si="53"/>
        <v>0</v>
      </c>
      <c r="J412" s="151">
        <f>SUM($H$18:$H412)</f>
        <v>2728155.8527217521</v>
      </c>
    </row>
    <row r="413" spans="1:10" x14ac:dyDescent="0.2">
      <c r="A413" s="154">
        <f>IF(Values_Entered,A412+1,"")</f>
        <v>396</v>
      </c>
      <c r="B413" s="153">
        <f t="shared" si="48"/>
        <v>79472</v>
      </c>
      <c r="C413" s="151">
        <f t="shared" si="54"/>
        <v>0</v>
      </c>
      <c r="D413" s="151">
        <f t="shared" si="49"/>
        <v>1136407.7926360879</v>
      </c>
      <c r="E413" s="152">
        <f t="shared" si="50"/>
        <v>0</v>
      </c>
      <c r="F413" s="151">
        <f t="shared" si="51"/>
        <v>0</v>
      </c>
      <c r="G413" s="151">
        <f t="shared" si="52"/>
        <v>0</v>
      </c>
      <c r="H413" s="151">
        <f t="shared" si="55"/>
        <v>0</v>
      </c>
      <c r="I413" s="151">
        <f t="shared" si="53"/>
        <v>0</v>
      </c>
      <c r="J413" s="151">
        <f>SUM($H$18:$H413)</f>
        <v>2728155.8527217521</v>
      </c>
    </row>
    <row r="414" spans="1:10" x14ac:dyDescent="0.2">
      <c r="A414" s="154">
        <f>IF(Values_Entered,A413+1,"")</f>
        <v>397</v>
      </c>
      <c r="B414" s="153">
        <f t="shared" si="48"/>
        <v>79564</v>
      </c>
      <c r="C414" s="151">
        <f t="shared" si="54"/>
        <v>0</v>
      </c>
      <c r="D414" s="151">
        <f t="shared" si="49"/>
        <v>1136407.7926360879</v>
      </c>
      <c r="E414" s="152">
        <f t="shared" si="50"/>
        <v>0</v>
      </c>
      <c r="F414" s="151">
        <f t="shared" si="51"/>
        <v>0</v>
      </c>
      <c r="G414" s="151">
        <f t="shared" si="52"/>
        <v>0</v>
      </c>
      <c r="H414" s="151">
        <f t="shared" si="55"/>
        <v>0</v>
      </c>
      <c r="I414" s="151">
        <f t="shared" si="53"/>
        <v>0</v>
      </c>
      <c r="J414" s="151">
        <f>SUM($H$18:$H414)</f>
        <v>2728155.8527217521</v>
      </c>
    </row>
    <row r="415" spans="1:10" x14ac:dyDescent="0.2">
      <c r="A415" s="154">
        <f>IF(Values_Entered,A414+1,"")</f>
        <v>398</v>
      </c>
      <c r="B415" s="153">
        <f t="shared" si="48"/>
        <v>79656</v>
      </c>
      <c r="C415" s="151">
        <f t="shared" si="54"/>
        <v>0</v>
      </c>
      <c r="D415" s="151">
        <f t="shared" si="49"/>
        <v>1136407.7926360879</v>
      </c>
      <c r="E415" s="152">
        <f t="shared" si="50"/>
        <v>0</v>
      </c>
      <c r="F415" s="151">
        <f t="shared" si="51"/>
        <v>0</v>
      </c>
      <c r="G415" s="151">
        <f t="shared" si="52"/>
        <v>0</v>
      </c>
      <c r="H415" s="151">
        <f t="shared" si="55"/>
        <v>0</v>
      </c>
      <c r="I415" s="151">
        <f t="shared" si="53"/>
        <v>0</v>
      </c>
      <c r="J415" s="151">
        <f>SUM($H$18:$H415)</f>
        <v>2728155.8527217521</v>
      </c>
    </row>
    <row r="416" spans="1:10" x14ac:dyDescent="0.2">
      <c r="A416" s="154">
        <f>IF(Values_Entered,A415+1,"")</f>
        <v>399</v>
      </c>
      <c r="B416" s="153">
        <f t="shared" si="48"/>
        <v>79745</v>
      </c>
      <c r="C416" s="151">
        <f t="shared" si="54"/>
        <v>0</v>
      </c>
      <c r="D416" s="151">
        <f t="shared" si="49"/>
        <v>1136407.7926360879</v>
      </c>
      <c r="E416" s="152">
        <f t="shared" si="50"/>
        <v>0</v>
      </c>
      <c r="F416" s="151">
        <f t="shared" si="51"/>
        <v>0</v>
      </c>
      <c r="G416" s="151">
        <f t="shared" si="52"/>
        <v>0</v>
      </c>
      <c r="H416" s="151">
        <f t="shared" si="55"/>
        <v>0</v>
      </c>
      <c r="I416" s="151">
        <f t="shared" si="53"/>
        <v>0</v>
      </c>
      <c r="J416" s="151">
        <f>SUM($H$18:$H416)</f>
        <v>2728155.8527217521</v>
      </c>
    </row>
    <row r="417" spans="1:10" x14ac:dyDescent="0.2">
      <c r="A417" s="154">
        <f>IF(Values_Entered,A416+1,"")</f>
        <v>400</v>
      </c>
      <c r="B417" s="153">
        <f t="shared" si="48"/>
        <v>79837</v>
      </c>
      <c r="C417" s="151">
        <f t="shared" si="54"/>
        <v>0</v>
      </c>
      <c r="D417" s="151">
        <f t="shared" si="49"/>
        <v>1136407.7926360879</v>
      </c>
      <c r="E417" s="152">
        <f t="shared" si="50"/>
        <v>0</v>
      </c>
      <c r="F417" s="151">
        <f t="shared" si="51"/>
        <v>0</v>
      </c>
      <c r="G417" s="151">
        <f t="shared" si="52"/>
        <v>0</v>
      </c>
      <c r="H417" s="151">
        <f t="shared" si="55"/>
        <v>0</v>
      </c>
      <c r="I417" s="151">
        <f t="shared" si="53"/>
        <v>0</v>
      </c>
      <c r="J417" s="151">
        <f>SUM($H$18:$H417)</f>
        <v>2728155.8527217521</v>
      </c>
    </row>
    <row r="418" spans="1:10" x14ac:dyDescent="0.2">
      <c r="A418" s="154">
        <f>IF(Values_Entered,A417+1,"")</f>
        <v>401</v>
      </c>
      <c r="B418" s="153">
        <f t="shared" si="48"/>
        <v>79929</v>
      </c>
      <c r="C418" s="151">
        <f t="shared" si="54"/>
        <v>0</v>
      </c>
      <c r="D418" s="151">
        <f t="shared" si="49"/>
        <v>1136407.7926360879</v>
      </c>
      <c r="E418" s="152">
        <f t="shared" si="50"/>
        <v>0</v>
      </c>
      <c r="F418" s="151">
        <f t="shared" si="51"/>
        <v>0</v>
      </c>
      <c r="G418" s="151">
        <f t="shared" si="52"/>
        <v>0</v>
      </c>
      <c r="H418" s="151">
        <f t="shared" si="55"/>
        <v>0</v>
      </c>
      <c r="I418" s="151">
        <f t="shared" si="53"/>
        <v>0</v>
      </c>
      <c r="J418" s="151">
        <f>SUM($H$18:$H418)</f>
        <v>2728155.8527217521</v>
      </c>
    </row>
    <row r="419" spans="1:10" x14ac:dyDescent="0.2">
      <c r="A419" s="154">
        <f>IF(Values_Entered,A418+1,"")</f>
        <v>402</v>
      </c>
      <c r="B419" s="153">
        <f t="shared" si="48"/>
        <v>80021</v>
      </c>
      <c r="C419" s="151">
        <f t="shared" si="54"/>
        <v>0</v>
      </c>
      <c r="D419" s="151">
        <f t="shared" si="49"/>
        <v>1136407.7926360879</v>
      </c>
      <c r="E419" s="152">
        <f t="shared" si="50"/>
        <v>0</v>
      </c>
      <c r="F419" s="151">
        <f t="shared" si="51"/>
        <v>0</v>
      </c>
      <c r="G419" s="151">
        <f t="shared" si="52"/>
        <v>0</v>
      </c>
      <c r="H419" s="151">
        <f t="shared" si="55"/>
        <v>0</v>
      </c>
      <c r="I419" s="151">
        <f t="shared" si="53"/>
        <v>0</v>
      </c>
      <c r="J419" s="151">
        <f>SUM($H$18:$H419)</f>
        <v>2728155.8527217521</v>
      </c>
    </row>
    <row r="420" spans="1:10" x14ac:dyDescent="0.2">
      <c r="A420" s="154">
        <f>IF(Values_Entered,A419+1,"")</f>
        <v>403</v>
      </c>
      <c r="B420" s="153">
        <f t="shared" si="48"/>
        <v>80110</v>
      </c>
      <c r="C420" s="151">
        <f t="shared" si="54"/>
        <v>0</v>
      </c>
      <c r="D420" s="151">
        <f t="shared" si="49"/>
        <v>1136407.7926360879</v>
      </c>
      <c r="E420" s="152">
        <f t="shared" si="50"/>
        <v>0</v>
      </c>
      <c r="F420" s="151">
        <f t="shared" si="51"/>
        <v>0</v>
      </c>
      <c r="G420" s="151">
        <f t="shared" si="52"/>
        <v>0</v>
      </c>
      <c r="H420" s="151">
        <f t="shared" si="55"/>
        <v>0</v>
      </c>
      <c r="I420" s="151">
        <f t="shared" si="53"/>
        <v>0</v>
      </c>
      <c r="J420" s="151">
        <f>SUM($H$18:$H420)</f>
        <v>2728155.8527217521</v>
      </c>
    </row>
    <row r="421" spans="1:10" x14ac:dyDescent="0.2">
      <c r="A421" s="154">
        <f>IF(Values_Entered,A420+1,"")</f>
        <v>404</v>
      </c>
      <c r="B421" s="153">
        <f t="shared" si="48"/>
        <v>80202</v>
      </c>
      <c r="C421" s="151">
        <f t="shared" si="54"/>
        <v>0</v>
      </c>
      <c r="D421" s="151">
        <f t="shared" si="49"/>
        <v>1136407.7926360879</v>
      </c>
      <c r="E421" s="152">
        <f t="shared" si="50"/>
        <v>0</v>
      </c>
      <c r="F421" s="151">
        <f t="shared" si="51"/>
        <v>0</v>
      </c>
      <c r="G421" s="151">
        <f t="shared" si="52"/>
        <v>0</v>
      </c>
      <c r="H421" s="151">
        <f t="shared" si="55"/>
        <v>0</v>
      </c>
      <c r="I421" s="151">
        <f t="shared" si="53"/>
        <v>0</v>
      </c>
      <c r="J421" s="151">
        <f>SUM($H$18:$H421)</f>
        <v>2728155.8527217521</v>
      </c>
    </row>
    <row r="422" spans="1:10" x14ac:dyDescent="0.2">
      <c r="A422" s="154">
        <f>IF(Values_Entered,A421+1,"")</f>
        <v>405</v>
      </c>
      <c r="B422" s="153">
        <f t="shared" si="48"/>
        <v>80294</v>
      </c>
      <c r="C422" s="151">
        <f t="shared" si="54"/>
        <v>0</v>
      </c>
      <c r="D422" s="151">
        <f t="shared" si="49"/>
        <v>1136407.7926360879</v>
      </c>
      <c r="E422" s="152">
        <f t="shared" si="50"/>
        <v>0</v>
      </c>
      <c r="F422" s="151">
        <f t="shared" si="51"/>
        <v>0</v>
      </c>
      <c r="G422" s="151">
        <f t="shared" si="52"/>
        <v>0</v>
      </c>
      <c r="H422" s="151">
        <f t="shared" si="55"/>
        <v>0</v>
      </c>
      <c r="I422" s="151">
        <f t="shared" si="53"/>
        <v>0</v>
      </c>
      <c r="J422" s="151">
        <f>SUM($H$18:$H422)</f>
        <v>2728155.8527217521</v>
      </c>
    </row>
    <row r="423" spans="1:10" x14ac:dyDescent="0.2">
      <c r="A423" s="154">
        <f>IF(Values_Entered,A422+1,"")</f>
        <v>406</v>
      </c>
      <c r="B423" s="153">
        <f t="shared" si="48"/>
        <v>80386</v>
      </c>
      <c r="C423" s="151">
        <f t="shared" si="54"/>
        <v>0</v>
      </c>
      <c r="D423" s="151">
        <f t="shared" si="49"/>
        <v>1136407.7926360879</v>
      </c>
      <c r="E423" s="152">
        <f t="shared" si="50"/>
        <v>0</v>
      </c>
      <c r="F423" s="151">
        <f t="shared" si="51"/>
        <v>0</v>
      </c>
      <c r="G423" s="151">
        <f t="shared" si="52"/>
        <v>0</v>
      </c>
      <c r="H423" s="151">
        <f t="shared" si="55"/>
        <v>0</v>
      </c>
      <c r="I423" s="151">
        <f t="shared" si="53"/>
        <v>0</v>
      </c>
      <c r="J423" s="151">
        <f>SUM($H$18:$H423)</f>
        <v>2728155.8527217521</v>
      </c>
    </row>
    <row r="424" spans="1:10" x14ac:dyDescent="0.2">
      <c r="A424" s="154">
        <f>IF(Values_Entered,A423+1,"")</f>
        <v>407</v>
      </c>
      <c r="B424" s="153">
        <f t="shared" si="48"/>
        <v>80476</v>
      </c>
      <c r="C424" s="151">
        <f t="shared" si="54"/>
        <v>0</v>
      </c>
      <c r="D424" s="151">
        <f t="shared" si="49"/>
        <v>1136407.7926360879</v>
      </c>
      <c r="E424" s="152">
        <f t="shared" si="50"/>
        <v>0</v>
      </c>
      <c r="F424" s="151">
        <f t="shared" si="51"/>
        <v>0</v>
      </c>
      <c r="G424" s="151">
        <f t="shared" si="52"/>
        <v>0</v>
      </c>
      <c r="H424" s="151">
        <f t="shared" si="55"/>
        <v>0</v>
      </c>
      <c r="I424" s="151">
        <f t="shared" si="53"/>
        <v>0</v>
      </c>
      <c r="J424" s="151">
        <f>SUM($H$18:$H424)</f>
        <v>2728155.8527217521</v>
      </c>
    </row>
    <row r="425" spans="1:10" x14ac:dyDescent="0.2">
      <c r="A425" s="154">
        <f>IF(Values_Entered,A424+1,"")</f>
        <v>408</v>
      </c>
      <c r="B425" s="153">
        <f t="shared" si="48"/>
        <v>80568</v>
      </c>
      <c r="C425" s="151">
        <f t="shared" si="54"/>
        <v>0</v>
      </c>
      <c r="D425" s="151">
        <f t="shared" si="49"/>
        <v>1136407.7926360879</v>
      </c>
      <c r="E425" s="152">
        <f t="shared" si="50"/>
        <v>0</v>
      </c>
      <c r="F425" s="151">
        <f t="shared" si="51"/>
        <v>0</v>
      </c>
      <c r="G425" s="151">
        <f t="shared" si="52"/>
        <v>0</v>
      </c>
      <c r="H425" s="151">
        <f t="shared" si="55"/>
        <v>0</v>
      </c>
      <c r="I425" s="151">
        <f t="shared" si="53"/>
        <v>0</v>
      </c>
      <c r="J425" s="151">
        <f>SUM($H$18:$H425)</f>
        <v>2728155.8527217521</v>
      </c>
    </row>
    <row r="426" spans="1:10" x14ac:dyDescent="0.2">
      <c r="A426" s="154">
        <f>IF(Values_Entered,A425+1,"")</f>
        <v>409</v>
      </c>
      <c r="B426" s="153">
        <f t="shared" si="48"/>
        <v>80660</v>
      </c>
      <c r="C426" s="151">
        <f t="shared" si="54"/>
        <v>0</v>
      </c>
      <c r="D426" s="151">
        <f t="shared" si="49"/>
        <v>1136407.7926360879</v>
      </c>
      <c r="E426" s="152">
        <f t="shared" si="50"/>
        <v>0</v>
      </c>
      <c r="F426" s="151">
        <f t="shared" si="51"/>
        <v>0</v>
      </c>
      <c r="G426" s="151">
        <f t="shared" si="52"/>
        <v>0</v>
      </c>
      <c r="H426" s="151">
        <f t="shared" si="55"/>
        <v>0</v>
      </c>
      <c r="I426" s="151">
        <f t="shared" si="53"/>
        <v>0</v>
      </c>
      <c r="J426" s="151">
        <f>SUM($H$18:$H426)</f>
        <v>2728155.8527217521</v>
      </c>
    </row>
    <row r="427" spans="1:10" x14ac:dyDescent="0.2">
      <c r="A427" s="154">
        <f>IF(Values_Entered,A426+1,"")</f>
        <v>410</v>
      </c>
      <c r="B427" s="153">
        <f t="shared" si="48"/>
        <v>80752</v>
      </c>
      <c r="C427" s="151">
        <f t="shared" si="54"/>
        <v>0</v>
      </c>
      <c r="D427" s="151">
        <f t="shared" si="49"/>
        <v>1136407.7926360879</v>
      </c>
      <c r="E427" s="152">
        <f t="shared" si="50"/>
        <v>0</v>
      </c>
      <c r="F427" s="151">
        <f t="shared" si="51"/>
        <v>0</v>
      </c>
      <c r="G427" s="151">
        <f t="shared" si="52"/>
        <v>0</v>
      </c>
      <c r="H427" s="151">
        <f t="shared" si="55"/>
        <v>0</v>
      </c>
      <c r="I427" s="151">
        <f t="shared" si="53"/>
        <v>0</v>
      </c>
      <c r="J427" s="151">
        <f>SUM($H$18:$H427)</f>
        <v>2728155.8527217521</v>
      </c>
    </row>
    <row r="428" spans="1:10" x14ac:dyDescent="0.2">
      <c r="A428" s="154">
        <f>IF(Values_Entered,A427+1,"")</f>
        <v>411</v>
      </c>
      <c r="B428" s="153">
        <f t="shared" si="48"/>
        <v>80841</v>
      </c>
      <c r="C428" s="151">
        <f t="shared" si="54"/>
        <v>0</v>
      </c>
      <c r="D428" s="151">
        <f t="shared" si="49"/>
        <v>1136407.7926360879</v>
      </c>
      <c r="E428" s="152">
        <f t="shared" si="50"/>
        <v>0</v>
      </c>
      <c r="F428" s="151">
        <f t="shared" si="51"/>
        <v>0</v>
      </c>
      <c r="G428" s="151">
        <f t="shared" si="52"/>
        <v>0</v>
      </c>
      <c r="H428" s="151">
        <f t="shared" si="55"/>
        <v>0</v>
      </c>
      <c r="I428" s="151">
        <f t="shared" si="53"/>
        <v>0</v>
      </c>
      <c r="J428" s="151">
        <f>SUM($H$18:$H428)</f>
        <v>2728155.8527217521</v>
      </c>
    </row>
    <row r="429" spans="1:10" x14ac:dyDescent="0.2">
      <c r="A429" s="154">
        <f>IF(Values_Entered,A428+1,"")</f>
        <v>412</v>
      </c>
      <c r="B429" s="153">
        <f t="shared" si="48"/>
        <v>80933</v>
      </c>
      <c r="C429" s="151">
        <f t="shared" si="54"/>
        <v>0</v>
      </c>
      <c r="D429" s="151">
        <f t="shared" si="49"/>
        <v>1136407.7926360879</v>
      </c>
      <c r="E429" s="152">
        <f t="shared" si="50"/>
        <v>0</v>
      </c>
      <c r="F429" s="151">
        <f t="shared" si="51"/>
        <v>0</v>
      </c>
      <c r="G429" s="151">
        <f t="shared" si="52"/>
        <v>0</v>
      </c>
      <c r="H429" s="151">
        <f t="shared" si="55"/>
        <v>0</v>
      </c>
      <c r="I429" s="151">
        <f t="shared" si="53"/>
        <v>0</v>
      </c>
      <c r="J429" s="151">
        <f>SUM($H$18:$H429)</f>
        <v>2728155.8527217521</v>
      </c>
    </row>
    <row r="430" spans="1:10" x14ac:dyDescent="0.2">
      <c r="A430" s="154">
        <f>IF(Values_Entered,A429+1,"")</f>
        <v>413</v>
      </c>
      <c r="B430" s="153">
        <f t="shared" si="48"/>
        <v>81025</v>
      </c>
      <c r="C430" s="151">
        <f t="shared" si="54"/>
        <v>0</v>
      </c>
      <c r="D430" s="151">
        <f t="shared" si="49"/>
        <v>1136407.7926360879</v>
      </c>
      <c r="E430" s="152">
        <f t="shared" si="50"/>
        <v>0</v>
      </c>
      <c r="F430" s="151">
        <f t="shared" si="51"/>
        <v>0</v>
      </c>
      <c r="G430" s="151">
        <f t="shared" si="52"/>
        <v>0</v>
      </c>
      <c r="H430" s="151">
        <f t="shared" si="55"/>
        <v>0</v>
      </c>
      <c r="I430" s="151">
        <f t="shared" si="53"/>
        <v>0</v>
      </c>
      <c r="J430" s="151">
        <f>SUM($H$18:$H430)</f>
        <v>2728155.8527217521</v>
      </c>
    </row>
    <row r="431" spans="1:10" x14ac:dyDescent="0.2">
      <c r="A431" s="154">
        <f>IF(Values_Entered,A430+1,"")</f>
        <v>414</v>
      </c>
      <c r="B431" s="153">
        <f t="shared" si="48"/>
        <v>81117</v>
      </c>
      <c r="C431" s="151">
        <f t="shared" si="54"/>
        <v>0</v>
      </c>
      <c r="D431" s="151">
        <f t="shared" si="49"/>
        <v>1136407.7926360879</v>
      </c>
      <c r="E431" s="152">
        <f t="shared" si="50"/>
        <v>0</v>
      </c>
      <c r="F431" s="151">
        <f t="shared" si="51"/>
        <v>0</v>
      </c>
      <c r="G431" s="151">
        <f t="shared" si="52"/>
        <v>0</v>
      </c>
      <c r="H431" s="151">
        <f t="shared" si="55"/>
        <v>0</v>
      </c>
      <c r="I431" s="151">
        <f t="shared" si="53"/>
        <v>0</v>
      </c>
      <c r="J431" s="151">
        <f>SUM($H$18:$H431)</f>
        <v>2728155.8527217521</v>
      </c>
    </row>
    <row r="432" spans="1:10" x14ac:dyDescent="0.2">
      <c r="A432" s="154">
        <f>IF(Values_Entered,A431+1,"")</f>
        <v>415</v>
      </c>
      <c r="B432" s="153">
        <f t="shared" si="48"/>
        <v>81206</v>
      </c>
      <c r="C432" s="151">
        <f t="shared" si="54"/>
        <v>0</v>
      </c>
      <c r="D432" s="151">
        <f t="shared" si="49"/>
        <v>1136407.7926360879</v>
      </c>
      <c r="E432" s="152">
        <f t="shared" si="50"/>
        <v>0</v>
      </c>
      <c r="F432" s="151">
        <f t="shared" si="51"/>
        <v>0</v>
      </c>
      <c r="G432" s="151">
        <f t="shared" si="52"/>
        <v>0</v>
      </c>
      <c r="H432" s="151">
        <f t="shared" si="55"/>
        <v>0</v>
      </c>
      <c r="I432" s="151">
        <f t="shared" si="53"/>
        <v>0</v>
      </c>
      <c r="J432" s="151">
        <f>SUM($H$18:$H432)</f>
        <v>2728155.8527217521</v>
      </c>
    </row>
    <row r="433" spans="1:10" x14ac:dyDescent="0.2">
      <c r="A433" s="154">
        <f>IF(Values_Entered,A432+1,"")</f>
        <v>416</v>
      </c>
      <c r="B433" s="153">
        <f t="shared" si="48"/>
        <v>81298</v>
      </c>
      <c r="C433" s="151">
        <f t="shared" si="54"/>
        <v>0</v>
      </c>
      <c r="D433" s="151">
        <f t="shared" si="49"/>
        <v>1136407.7926360879</v>
      </c>
      <c r="E433" s="152">
        <f t="shared" si="50"/>
        <v>0</v>
      </c>
      <c r="F433" s="151">
        <f t="shared" si="51"/>
        <v>0</v>
      </c>
      <c r="G433" s="151">
        <f t="shared" si="52"/>
        <v>0</v>
      </c>
      <c r="H433" s="151">
        <f t="shared" si="55"/>
        <v>0</v>
      </c>
      <c r="I433" s="151">
        <f t="shared" si="53"/>
        <v>0</v>
      </c>
      <c r="J433" s="151">
        <f>SUM($H$18:$H433)</f>
        <v>2728155.8527217521</v>
      </c>
    </row>
    <row r="434" spans="1:10" x14ac:dyDescent="0.2">
      <c r="A434" s="154">
        <f>IF(Values_Entered,A433+1,"")</f>
        <v>417</v>
      </c>
      <c r="B434" s="153">
        <f t="shared" si="48"/>
        <v>81390</v>
      </c>
      <c r="C434" s="151">
        <f t="shared" si="54"/>
        <v>0</v>
      </c>
      <c r="D434" s="151">
        <f t="shared" si="49"/>
        <v>1136407.7926360879</v>
      </c>
      <c r="E434" s="152">
        <f t="shared" si="50"/>
        <v>0</v>
      </c>
      <c r="F434" s="151">
        <f t="shared" si="51"/>
        <v>0</v>
      </c>
      <c r="G434" s="151">
        <f t="shared" si="52"/>
        <v>0</v>
      </c>
      <c r="H434" s="151">
        <f t="shared" si="55"/>
        <v>0</v>
      </c>
      <c r="I434" s="151">
        <f t="shared" si="53"/>
        <v>0</v>
      </c>
      <c r="J434" s="151">
        <f>SUM($H$18:$H434)</f>
        <v>2728155.8527217521</v>
      </c>
    </row>
    <row r="435" spans="1:10" x14ac:dyDescent="0.2">
      <c r="A435" s="154">
        <f>IF(Values_Entered,A434+1,"")</f>
        <v>418</v>
      </c>
      <c r="B435" s="153">
        <f t="shared" si="48"/>
        <v>81482</v>
      </c>
      <c r="C435" s="151">
        <f t="shared" si="54"/>
        <v>0</v>
      </c>
      <c r="D435" s="151">
        <f t="shared" si="49"/>
        <v>1136407.7926360879</v>
      </c>
      <c r="E435" s="152">
        <f t="shared" si="50"/>
        <v>0</v>
      </c>
      <c r="F435" s="151">
        <f t="shared" si="51"/>
        <v>0</v>
      </c>
      <c r="G435" s="151">
        <f t="shared" si="52"/>
        <v>0</v>
      </c>
      <c r="H435" s="151">
        <f t="shared" si="55"/>
        <v>0</v>
      </c>
      <c r="I435" s="151">
        <f t="shared" si="53"/>
        <v>0</v>
      </c>
      <c r="J435" s="151">
        <f>SUM($H$18:$H435)</f>
        <v>2728155.8527217521</v>
      </c>
    </row>
    <row r="436" spans="1:10" x14ac:dyDescent="0.2">
      <c r="A436" s="154">
        <f>IF(Values_Entered,A435+1,"")</f>
        <v>419</v>
      </c>
      <c r="B436" s="153">
        <f t="shared" si="48"/>
        <v>81571</v>
      </c>
      <c r="C436" s="151">
        <f t="shared" si="54"/>
        <v>0</v>
      </c>
      <c r="D436" s="151">
        <f t="shared" si="49"/>
        <v>1136407.7926360879</v>
      </c>
      <c r="E436" s="152">
        <f t="shared" si="50"/>
        <v>0</v>
      </c>
      <c r="F436" s="151">
        <f t="shared" si="51"/>
        <v>0</v>
      </c>
      <c r="G436" s="151">
        <f t="shared" si="52"/>
        <v>0</v>
      </c>
      <c r="H436" s="151">
        <f t="shared" si="55"/>
        <v>0</v>
      </c>
      <c r="I436" s="151">
        <f t="shared" si="53"/>
        <v>0</v>
      </c>
      <c r="J436" s="151">
        <f>SUM($H$18:$H436)</f>
        <v>2728155.8527217521</v>
      </c>
    </row>
    <row r="437" spans="1:10" x14ac:dyDescent="0.2">
      <c r="A437" s="154">
        <f>IF(Values_Entered,A436+1,"")</f>
        <v>420</v>
      </c>
      <c r="B437" s="153">
        <f t="shared" si="48"/>
        <v>81663</v>
      </c>
      <c r="C437" s="151">
        <f t="shared" si="54"/>
        <v>0</v>
      </c>
      <c r="D437" s="151">
        <f t="shared" si="49"/>
        <v>1136407.7926360879</v>
      </c>
      <c r="E437" s="152">
        <f t="shared" si="50"/>
        <v>0</v>
      </c>
      <c r="F437" s="151">
        <f t="shared" si="51"/>
        <v>0</v>
      </c>
      <c r="G437" s="151">
        <f t="shared" si="52"/>
        <v>0</v>
      </c>
      <c r="H437" s="151">
        <f t="shared" si="55"/>
        <v>0</v>
      </c>
      <c r="I437" s="151">
        <f t="shared" si="53"/>
        <v>0</v>
      </c>
      <c r="J437" s="151">
        <f>SUM($H$18:$H437)</f>
        <v>2728155.8527217521</v>
      </c>
    </row>
    <row r="438" spans="1:10" x14ac:dyDescent="0.2">
      <c r="A438" s="154">
        <f>IF(Values_Entered,A437+1,"")</f>
        <v>421</v>
      </c>
      <c r="B438" s="153">
        <f t="shared" si="48"/>
        <v>81755</v>
      </c>
      <c r="C438" s="151">
        <f t="shared" si="54"/>
        <v>0</v>
      </c>
      <c r="D438" s="151">
        <f t="shared" si="49"/>
        <v>1136407.7926360879</v>
      </c>
      <c r="E438" s="152">
        <f t="shared" si="50"/>
        <v>0</v>
      </c>
      <c r="F438" s="151">
        <f t="shared" si="51"/>
        <v>0</v>
      </c>
      <c r="G438" s="151">
        <f t="shared" si="52"/>
        <v>0</v>
      </c>
      <c r="H438" s="151">
        <f t="shared" si="55"/>
        <v>0</v>
      </c>
      <c r="I438" s="151">
        <f t="shared" si="53"/>
        <v>0</v>
      </c>
      <c r="J438" s="151">
        <f>SUM($H$18:$H438)</f>
        <v>2728155.8527217521</v>
      </c>
    </row>
    <row r="439" spans="1:10" x14ac:dyDescent="0.2">
      <c r="A439" s="154">
        <f>IF(Values_Entered,A438+1,"")</f>
        <v>422</v>
      </c>
      <c r="B439" s="153">
        <f t="shared" si="48"/>
        <v>81847</v>
      </c>
      <c r="C439" s="151">
        <f t="shared" si="54"/>
        <v>0</v>
      </c>
      <c r="D439" s="151">
        <f t="shared" si="49"/>
        <v>1136407.7926360879</v>
      </c>
      <c r="E439" s="152">
        <f t="shared" si="50"/>
        <v>0</v>
      </c>
      <c r="F439" s="151">
        <f t="shared" si="51"/>
        <v>0</v>
      </c>
      <c r="G439" s="151">
        <f t="shared" si="52"/>
        <v>0</v>
      </c>
      <c r="H439" s="151">
        <f t="shared" si="55"/>
        <v>0</v>
      </c>
      <c r="I439" s="151">
        <f t="shared" si="53"/>
        <v>0</v>
      </c>
      <c r="J439" s="151">
        <f>SUM($H$18:$H439)</f>
        <v>2728155.8527217521</v>
      </c>
    </row>
    <row r="440" spans="1:10" x14ac:dyDescent="0.2">
      <c r="A440" s="154">
        <f>IF(Values_Entered,A439+1,"")</f>
        <v>423</v>
      </c>
      <c r="B440" s="153">
        <f t="shared" si="48"/>
        <v>81937</v>
      </c>
      <c r="C440" s="151">
        <f t="shared" si="54"/>
        <v>0</v>
      </c>
      <c r="D440" s="151">
        <f t="shared" si="49"/>
        <v>1136407.7926360879</v>
      </c>
      <c r="E440" s="152">
        <f t="shared" si="50"/>
        <v>0</v>
      </c>
      <c r="F440" s="151">
        <f t="shared" si="51"/>
        <v>0</v>
      </c>
      <c r="G440" s="151">
        <f t="shared" si="52"/>
        <v>0</v>
      </c>
      <c r="H440" s="151">
        <f t="shared" si="55"/>
        <v>0</v>
      </c>
      <c r="I440" s="151">
        <f t="shared" si="53"/>
        <v>0</v>
      </c>
      <c r="J440" s="151">
        <f>SUM($H$18:$H440)</f>
        <v>2728155.8527217521</v>
      </c>
    </row>
    <row r="441" spans="1:10" x14ac:dyDescent="0.2">
      <c r="A441" s="154">
        <f>IF(Values_Entered,A440+1,"")</f>
        <v>424</v>
      </c>
      <c r="B441" s="153">
        <f t="shared" si="48"/>
        <v>82029</v>
      </c>
      <c r="C441" s="151">
        <f t="shared" si="54"/>
        <v>0</v>
      </c>
      <c r="D441" s="151">
        <f t="shared" si="49"/>
        <v>1136407.7926360879</v>
      </c>
      <c r="E441" s="152">
        <f t="shared" si="50"/>
        <v>0</v>
      </c>
      <c r="F441" s="151">
        <f t="shared" si="51"/>
        <v>0</v>
      </c>
      <c r="G441" s="151">
        <f t="shared" si="52"/>
        <v>0</v>
      </c>
      <c r="H441" s="151">
        <f t="shared" si="55"/>
        <v>0</v>
      </c>
      <c r="I441" s="151">
        <f t="shared" si="53"/>
        <v>0</v>
      </c>
      <c r="J441" s="151">
        <f>SUM($H$18:$H441)</f>
        <v>2728155.8527217521</v>
      </c>
    </row>
    <row r="442" spans="1:10" x14ac:dyDescent="0.2">
      <c r="A442" s="154">
        <f>IF(Values_Entered,A441+1,"")</f>
        <v>425</v>
      </c>
      <c r="B442" s="153">
        <f t="shared" si="48"/>
        <v>82121</v>
      </c>
      <c r="C442" s="151">
        <f t="shared" si="54"/>
        <v>0</v>
      </c>
      <c r="D442" s="151">
        <f t="shared" si="49"/>
        <v>1136407.7926360879</v>
      </c>
      <c r="E442" s="152">
        <f t="shared" si="50"/>
        <v>0</v>
      </c>
      <c r="F442" s="151">
        <f t="shared" si="51"/>
        <v>0</v>
      </c>
      <c r="G442" s="151">
        <f t="shared" si="52"/>
        <v>0</v>
      </c>
      <c r="H442" s="151">
        <f t="shared" si="55"/>
        <v>0</v>
      </c>
      <c r="I442" s="151">
        <f t="shared" si="53"/>
        <v>0</v>
      </c>
      <c r="J442" s="151">
        <f>SUM($H$18:$H442)</f>
        <v>2728155.8527217521</v>
      </c>
    </row>
    <row r="443" spans="1:10" x14ac:dyDescent="0.2">
      <c r="A443" s="154">
        <f>IF(Values_Entered,A442+1,"")</f>
        <v>426</v>
      </c>
      <c r="B443" s="153">
        <f t="shared" si="48"/>
        <v>82213</v>
      </c>
      <c r="C443" s="151">
        <f t="shared" si="54"/>
        <v>0</v>
      </c>
      <c r="D443" s="151">
        <f t="shared" si="49"/>
        <v>1136407.7926360879</v>
      </c>
      <c r="E443" s="152">
        <f t="shared" si="50"/>
        <v>0</v>
      </c>
      <c r="F443" s="151">
        <f t="shared" si="51"/>
        <v>0</v>
      </c>
      <c r="G443" s="151">
        <f t="shared" si="52"/>
        <v>0</v>
      </c>
      <c r="H443" s="151">
        <f t="shared" si="55"/>
        <v>0</v>
      </c>
      <c r="I443" s="151">
        <f t="shared" si="53"/>
        <v>0</v>
      </c>
      <c r="J443" s="151">
        <f>SUM($H$18:$H443)</f>
        <v>2728155.8527217521</v>
      </c>
    </row>
    <row r="444" spans="1:10" x14ac:dyDescent="0.2">
      <c r="A444" s="154">
        <f>IF(Values_Entered,A443+1,"")</f>
        <v>427</v>
      </c>
      <c r="B444" s="153">
        <f t="shared" si="48"/>
        <v>82302</v>
      </c>
      <c r="C444" s="151">
        <f t="shared" si="54"/>
        <v>0</v>
      </c>
      <c r="D444" s="151">
        <f t="shared" si="49"/>
        <v>1136407.7926360879</v>
      </c>
      <c r="E444" s="152">
        <f t="shared" si="50"/>
        <v>0</v>
      </c>
      <c r="F444" s="151">
        <f t="shared" si="51"/>
        <v>0</v>
      </c>
      <c r="G444" s="151">
        <f t="shared" si="52"/>
        <v>0</v>
      </c>
      <c r="H444" s="151">
        <f t="shared" si="55"/>
        <v>0</v>
      </c>
      <c r="I444" s="151">
        <f t="shared" si="53"/>
        <v>0</v>
      </c>
      <c r="J444" s="151">
        <f>SUM($H$18:$H444)</f>
        <v>2728155.8527217521</v>
      </c>
    </row>
    <row r="445" spans="1:10" x14ac:dyDescent="0.2">
      <c r="A445" s="154">
        <f>IF(Values_Entered,A444+1,"")</f>
        <v>428</v>
      </c>
      <c r="B445" s="153">
        <f t="shared" si="48"/>
        <v>82394</v>
      </c>
      <c r="C445" s="151">
        <f t="shared" si="54"/>
        <v>0</v>
      </c>
      <c r="D445" s="151">
        <f t="shared" si="49"/>
        <v>1136407.7926360879</v>
      </c>
      <c r="E445" s="152">
        <f t="shared" si="50"/>
        <v>0</v>
      </c>
      <c r="F445" s="151">
        <f t="shared" si="51"/>
        <v>0</v>
      </c>
      <c r="G445" s="151">
        <f t="shared" si="52"/>
        <v>0</v>
      </c>
      <c r="H445" s="151">
        <f t="shared" si="55"/>
        <v>0</v>
      </c>
      <c r="I445" s="151">
        <f t="shared" si="53"/>
        <v>0</v>
      </c>
      <c r="J445" s="151">
        <f>SUM($H$18:$H445)</f>
        <v>2728155.8527217521</v>
      </c>
    </row>
    <row r="446" spans="1:10" x14ac:dyDescent="0.2">
      <c r="A446" s="154">
        <f>IF(Values_Entered,A445+1,"")</f>
        <v>429</v>
      </c>
      <c r="B446" s="153">
        <f t="shared" si="48"/>
        <v>82486</v>
      </c>
      <c r="C446" s="151">
        <f t="shared" si="54"/>
        <v>0</v>
      </c>
      <c r="D446" s="151">
        <f t="shared" si="49"/>
        <v>1136407.7926360879</v>
      </c>
      <c r="E446" s="152">
        <f t="shared" si="50"/>
        <v>0</v>
      </c>
      <c r="F446" s="151">
        <f t="shared" si="51"/>
        <v>0</v>
      </c>
      <c r="G446" s="151">
        <f t="shared" si="52"/>
        <v>0</v>
      </c>
      <c r="H446" s="151">
        <f t="shared" si="55"/>
        <v>0</v>
      </c>
      <c r="I446" s="151">
        <f t="shared" si="53"/>
        <v>0</v>
      </c>
      <c r="J446" s="151">
        <f>SUM($H$18:$H446)</f>
        <v>2728155.8527217521</v>
      </c>
    </row>
    <row r="447" spans="1:10" x14ac:dyDescent="0.2">
      <c r="A447" s="154">
        <f>IF(Values_Entered,A446+1,"")</f>
        <v>430</v>
      </c>
      <c r="B447" s="153">
        <f t="shared" si="48"/>
        <v>82578</v>
      </c>
      <c r="C447" s="151">
        <f t="shared" si="54"/>
        <v>0</v>
      </c>
      <c r="D447" s="151">
        <f t="shared" si="49"/>
        <v>1136407.7926360879</v>
      </c>
      <c r="E447" s="152">
        <f t="shared" si="50"/>
        <v>0</v>
      </c>
      <c r="F447" s="151">
        <f t="shared" si="51"/>
        <v>0</v>
      </c>
      <c r="G447" s="151">
        <f t="shared" si="52"/>
        <v>0</v>
      </c>
      <c r="H447" s="151">
        <f t="shared" si="55"/>
        <v>0</v>
      </c>
      <c r="I447" s="151">
        <f t="shared" si="53"/>
        <v>0</v>
      </c>
      <c r="J447" s="151">
        <f>SUM($H$18:$H447)</f>
        <v>2728155.8527217521</v>
      </c>
    </row>
    <row r="448" spans="1:10" x14ac:dyDescent="0.2">
      <c r="A448" s="154">
        <f>IF(Values_Entered,A447+1,"")</f>
        <v>431</v>
      </c>
      <c r="B448" s="153">
        <f t="shared" si="48"/>
        <v>82667</v>
      </c>
      <c r="C448" s="151">
        <f t="shared" si="54"/>
        <v>0</v>
      </c>
      <c r="D448" s="151">
        <f t="shared" si="49"/>
        <v>1136407.7926360879</v>
      </c>
      <c r="E448" s="152">
        <f t="shared" si="50"/>
        <v>0</v>
      </c>
      <c r="F448" s="151">
        <f t="shared" si="51"/>
        <v>0</v>
      </c>
      <c r="G448" s="151">
        <f t="shared" si="52"/>
        <v>0</v>
      </c>
      <c r="H448" s="151">
        <f t="shared" si="55"/>
        <v>0</v>
      </c>
      <c r="I448" s="151">
        <f t="shared" si="53"/>
        <v>0</v>
      </c>
      <c r="J448" s="151">
        <f>SUM($H$18:$H448)</f>
        <v>2728155.8527217521</v>
      </c>
    </row>
    <row r="449" spans="1:10" x14ac:dyDescent="0.2">
      <c r="A449" s="154">
        <f>IF(Values_Entered,A448+1,"")</f>
        <v>432</v>
      </c>
      <c r="B449" s="153">
        <f t="shared" si="48"/>
        <v>82759</v>
      </c>
      <c r="C449" s="151">
        <f t="shared" si="54"/>
        <v>0</v>
      </c>
      <c r="D449" s="151">
        <f t="shared" si="49"/>
        <v>1136407.7926360879</v>
      </c>
      <c r="E449" s="152">
        <f t="shared" si="50"/>
        <v>0</v>
      </c>
      <c r="F449" s="151">
        <f t="shared" si="51"/>
        <v>0</v>
      </c>
      <c r="G449" s="151">
        <f t="shared" si="52"/>
        <v>0</v>
      </c>
      <c r="H449" s="151">
        <f t="shared" si="55"/>
        <v>0</v>
      </c>
      <c r="I449" s="151">
        <f t="shared" si="53"/>
        <v>0</v>
      </c>
      <c r="J449" s="151">
        <f>SUM($H$18:$H449)</f>
        <v>2728155.8527217521</v>
      </c>
    </row>
    <row r="450" spans="1:10" x14ac:dyDescent="0.2">
      <c r="A450" s="154">
        <f>IF(Values_Entered,A449+1,"")</f>
        <v>433</v>
      </c>
      <c r="B450" s="153">
        <f t="shared" si="48"/>
        <v>82851</v>
      </c>
      <c r="C450" s="151">
        <f t="shared" si="54"/>
        <v>0</v>
      </c>
      <c r="D450" s="151">
        <f t="shared" si="49"/>
        <v>1136407.7926360879</v>
      </c>
      <c r="E450" s="152">
        <f t="shared" si="50"/>
        <v>0</v>
      </c>
      <c r="F450" s="151">
        <f t="shared" si="51"/>
        <v>0</v>
      </c>
      <c r="G450" s="151">
        <f t="shared" si="52"/>
        <v>0</v>
      </c>
      <c r="H450" s="151">
        <f t="shared" si="55"/>
        <v>0</v>
      </c>
      <c r="I450" s="151">
        <f t="shared" si="53"/>
        <v>0</v>
      </c>
      <c r="J450" s="151">
        <f>SUM($H$18:$H450)</f>
        <v>2728155.8527217521</v>
      </c>
    </row>
    <row r="451" spans="1:10" x14ac:dyDescent="0.2">
      <c r="A451" s="154">
        <f>IF(Values_Entered,A450+1,"")</f>
        <v>434</v>
      </c>
      <c r="B451" s="153">
        <f t="shared" si="48"/>
        <v>82943</v>
      </c>
      <c r="C451" s="151">
        <f t="shared" si="54"/>
        <v>0</v>
      </c>
      <c r="D451" s="151">
        <f t="shared" si="49"/>
        <v>1136407.7926360879</v>
      </c>
      <c r="E451" s="152">
        <f t="shared" si="50"/>
        <v>0</v>
      </c>
      <c r="F451" s="151">
        <f t="shared" si="51"/>
        <v>0</v>
      </c>
      <c r="G451" s="151">
        <f t="shared" si="52"/>
        <v>0</v>
      </c>
      <c r="H451" s="151">
        <f t="shared" si="55"/>
        <v>0</v>
      </c>
      <c r="I451" s="151">
        <f t="shared" si="53"/>
        <v>0</v>
      </c>
      <c r="J451" s="151">
        <f>SUM($H$18:$H451)</f>
        <v>2728155.8527217521</v>
      </c>
    </row>
    <row r="452" spans="1:10" x14ac:dyDescent="0.2">
      <c r="A452" s="154">
        <f>IF(Values_Entered,A451+1,"")</f>
        <v>435</v>
      </c>
      <c r="B452" s="153">
        <f t="shared" si="48"/>
        <v>83032</v>
      </c>
      <c r="C452" s="151">
        <f t="shared" si="54"/>
        <v>0</v>
      </c>
      <c r="D452" s="151">
        <f t="shared" si="49"/>
        <v>1136407.7926360879</v>
      </c>
      <c r="E452" s="152">
        <f t="shared" si="50"/>
        <v>0</v>
      </c>
      <c r="F452" s="151">
        <f t="shared" si="51"/>
        <v>0</v>
      </c>
      <c r="G452" s="151">
        <f t="shared" si="52"/>
        <v>0</v>
      </c>
      <c r="H452" s="151">
        <f t="shared" si="55"/>
        <v>0</v>
      </c>
      <c r="I452" s="151">
        <f t="shared" si="53"/>
        <v>0</v>
      </c>
      <c r="J452" s="151">
        <f>SUM($H$18:$H452)</f>
        <v>2728155.8527217521</v>
      </c>
    </row>
    <row r="453" spans="1:10" x14ac:dyDescent="0.2">
      <c r="A453" s="154">
        <f>IF(Values_Entered,A452+1,"")</f>
        <v>436</v>
      </c>
      <c r="B453" s="153">
        <f t="shared" si="48"/>
        <v>83124</v>
      </c>
      <c r="C453" s="151">
        <f t="shared" si="54"/>
        <v>0</v>
      </c>
      <c r="D453" s="151">
        <f t="shared" si="49"/>
        <v>1136407.7926360879</v>
      </c>
      <c r="E453" s="152">
        <f t="shared" si="50"/>
        <v>0</v>
      </c>
      <c r="F453" s="151">
        <f t="shared" si="51"/>
        <v>0</v>
      </c>
      <c r="G453" s="151">
        <f t="shared" si="52"/>
        <v>0</v>
      </c>
      <c r="H453" s="151">
        <f t="shared" si="55"/>
        <v>0</v>
      </c>
      <c r="I453" s="151">
        <f t="shared" si="53"/>
        <v>0</v>
      </c>
      <c r="J453" s="151">
        <f>SUM($H$18:$H453)</f>
        <v>2728155.8527217521</v>
      </c>
    </row>
    <row r="454" spans="1:10" x14ac:dyDescent="0.2">
      <c r="A454" s="154">
        <f>IF(Values_Entered,A453+1,"")</f>
        <v>437</v>
      </c>
      <c r="B454" s="153">
        <f t="shared" si="48"/>
        <v>83216</v>
      </c>
      <c r="C454" s="151">
        <f t="shared" si="54"/>
        <v>0</v>
      </c>
      <c r="D454" s="151">
        <f t="shared" si="49"/>
        <v>1136407.7926360879</v>
      </c>
      <c r="E454" s="152">
        <f t="shared" si="50"/>
        <v>0</v>
      </c>
      <c r="F454" s="151">
        <f t="shared" si="51"/>
        <v>0</v>
      </c>
      <c r="G454" s="151">
        <f t="shared" si="52"/>
        <v>0</v>
      </c>
      <c r="H454" s="151">
        <f t="shared" si="55"/>
        <v>0</v>
      </c>
      <c r="I454" s="151">
        <f t="shared" si="53"/>
        <v>0</v>
      </c>
      <c r="J454" s="151">
        <f>SUM($H$18:$H454)</f>
        <v>2728155.8527217521</v>
      </c>
    </row>
    <row r="455" spans="1:10" x14ac:dyDescent="0.2">
      <c r="A455" s="154">
        <f>IF(Values_Entered,A454+1,"")</f>
        <v>438</v>
      </c>
      <c r="B455" s="153">
        <f t="shared" si="48"/>
        <v>83308</v>
      </c>
      <c r="C455" s="151">
        <f t="shared" si="54"/>
        <v>0</v>
      </c>
      <c r="D455" s="151">
        <f t="shared" si="49"/>
        <v>1136407.7926360879</v>
      </c>
      <c r="E455" s="152">
        <f t="shared" si="50"/>
        <v>0</v>
      </c>
      <c r="F455" s="151">
        <f t="shared" si="51"/>
        <v>0</v>
      </c>
      <c r="G455" s="151">
        <f t="shared" si="52"/>
        <v>0</v>
      </c>
      <c r="H455" s="151">
        <f t="shared" si="55"/>
        <v>0</v>
      </c>
      <c r="I455" s="151">
        <f t="shared" si="53"/>
        <v>0</v>
      </c>
      <c r="J455" s="151">
        <f>SUM($H$18:$H455)</f>
        <v>2728155.8527217521</v>
      </c>
    </row>
    <row r="456" spans="1:10" x14ac:dyDescent="0.2">
      <c r="A456" s="154">
        <f>IF(Values_Entered,A455+1,"")</f>
        <v>439</v>
      </c>
      <c r="B456" s="153">
        <f t="shared" si="48"/>
        <v>83398</v>
      </c>
      <c r="C456" s="151">
        <f t="shared" si="54"/>
        <v>0</v>
      </c>
      <c r="D456" s="151">
        <f t="shared" si="49"/>
        <v>1136407.7926360879</v>
      </c>
      <c r="E456" s="152">
        <f t="shared" si="50"/>
        <v>0</v>
      </c>
      <c r="F456" s="151">
        <f t="shared" si="51"/>
        <v>0</v>
      </c>
      <c r="G456" s="151">
        <f t="shared" si="52"/>
        <v>0</v>
      </c>
      <c r="H456" s="151">
        <f t="shared" si="55"/>
        <v>0</v>
      </c>
      <c r="I456" s="151">
        <f t="shared" si="53"/>
        <v>0</v>
      </c>
      <c r="J456" s="151">
        <f>SUM($H$18:$H456)</f>
        <v>2728155.8527217521</v>
      </c>
    </row>
    <row r="457" spans="1:10" x14ac:dyDescent="0.2">
      <c r="A457" s="154">
        <f>IF(Values_Entered,A456+1,"")</f>
        <v>440</v>
      </c>
      <c r="B457" s="153">
        <f t="shared" si="48"/>
        <v>83490</v>
      </c>
      <c r="C457" s="151">
        <f t="shared" si="54"/>
        <v>0</v>
      </c>
      <c r="D457" s="151">
        <f t="shared" si="49"/>
        <v>1136407.7926360879</v>
      </c>
      <c r="E457" s="152">
        <f t="shared" si="50"/>
        <v>0</v>
      </c>
      <c r="F457" s="151">
        <f t="shared" si="51"/>
        <v>0</v>
      </c>
      <c r="G457" s="151">
        <f t="shared" si="52"/>
        <v>0</v>
      </c>
      <c r="H457" s="151">
        <f t="shared" si="55"/>
        <v>0</v>
      </c>
      <c r="I457" s="151">
        <f t="shared" si="53"/>
        <v>0</v>
      </c>
      <c r="J457" s="151">
        <f>SUM($H$18:$H457)</f>
        <v>2728155.8527217521</v>
      </c>
    </row>
    <row r="458" spans="1:10" x14ac:dyDescent="0.2">
      <c r="A458" s="154">
        <f>IF(Values_Entered,A457+1,"")</f>
        <v>441</v>
      </c>
      <c r="B458" s="153">
        <f t="shared" si="48"/>
        <v>83582</v>
      </c>
      <c r="C458" s="151">
        <f t="shared" si="54"/>
        <v>0</v>
      </c>
      <c r="D458" s="151">
        <f t="shared" si="49"/>
        <v>1136407.7926360879</v>
      </c>
      <c r="E458" s="152">
        <f t="shared" si="50"/>
        <v>0</v>
      </c>
      <c r="F458" s="151">
        <f t="shared" si="51"/>
        <v>0</v>
      </c>
      <c r="G458" s="151">
        <f t="shared" si="52"/>
        <v>0</v>
      </c>
      <c r="H458" s="151">
        <f t="shared" si="55"/>
        <v>0</v>
      </c>
      <c r="I458" s="151">
        <f t="shared" si="53"/>
        <v>0</v>
      </c>
      <c r="J458" s="151">
        <f>SUM($H$18:$H458)</f>
        <v>2728155.8527217521</v>
      </c>
    </row>
    <row r="459" spans="1:10" x14ac:dyDescent="0.2">
      <c r="A459" s="154">
        <f>IF(Values_Entered,A458+1,"")</f>
        <v>442</v>
      </c>
      <c r="B459" s="153">
        <f t="shared" si="48"/>
        <v>83674</v>
      </c>
      <c r="C459" s="151">
        <f t="shared" si="54"/>
        <v>0</v>
      </c>
      <c r="D459" s="151">
        <f t="shared" si="49"/>
        <v>1136407.7926360879</v>
      </c>
      <c r="E459" s="152">
        <f t="shared" si="50"/>
        <v>0</v>
      </c>
      <c r="F459" s="151">
        <f t="shared" si="51"/>
        <v>0</v>
      </c>
      <c r="G459" s="151">
        <f t="shared" si="52"/>
        <v>0</v>
      </c>
      <c r="H459" s="151">
        <f t="shared" si="55"/>
        <v>0</v>
      </c>
      <c r="I459" s="151">
        <f t="shared" si="53"/>
        <v>0</v>
      </c>
      <c r="J459" s="151">
        <f>SUM($H$18:$H459)</f>
        <v>2728155.8527217521</v>
      </c>
    </row>
    <row r="460" spans="1:10" x14ac:dyDescent="0.2">
      <c r="A460" s="154">
        <f>IF(Values_Entered,A459+1,"")</f>
        <v>443</v>
      </c>
      <c r="B460" s="153">
        <f t="shared" si="48"/>
        <v>83763</v>
      </c>
      <c r="C460" s="151">
        <f t="shared" si="54"/>
        <v>0</v>
      </c>
      <c r="D460" s="151">
        <f t="shared" si="49"/>
        <v>1136407.7926360879</v>
      </c>
      <c r="E460" s="152">
        <f t="shared" si="50"/>
        <v>0</v>
      </c>
      <c r="F460" s="151">
        <f t="shared" si="51"/>
        <v>0</v>
      </c>
      <c r="G460" s="151">
        <f t="shared" si="52"/>
        <v>0</v>
      </c>
      <c r="H460" s="151">
        <f t="shared" si="55"/>
        <v>0</v>
      </c>
      <c r="I460" s="151">
        <f t="shared" si="53"/>
        <v>0</v>
      </c>
      <c r="J460" s="151">
        <f>SUM($H$18:$H460)</f>
        <v>2728155.8527217521</v>
      </c>
    </row>
    <row r="461" spans="1:10" x14ac:dyDescent="0.2">
      <c r="A461" s="154">
        <f>IF(Values_Entered,A460+1,"")</f>
        <v>444</v>
      </c>
      <c r="B461" s="153">
        <f t="shared" si="48"/>
        <v>83855</v>
      </c>
      <c r="C461" s="151">
        <f t="shared" si="54"/>
        <v>0</v>
      </c>
      <c r="D461" s="151">
        <f t="shared" si="49"/>
        <v>1136407.7926360879</v>
      </c>
      <c r="E461" s="152">
        <f t="shared" si="50"/>
        <v>0</v>
      </c>
      <c r="F461" s="151">
        <f t="shared" si="51"/>
        <v>0</v>
      </c>
      <c r="G461" s="151">
        <f t="shared" si="52"/>
        <v>0</v>
      </c>
      <c r="H461" s="151">
        <f t="shared" si="55"/>
        <v>0</v>
      </c>
      <c r="I461" s="151">
        <f t="shared" si="53"/>
        <v>0</v>
      </c>
      <c r="J461" s="151">
        <f>SUM($H$18:$H461)</f>
        <v>2728155.8527217521</v>
      </c>
    </row>
    <row r="462" spans="1:10" x14ac:dyDescent="0.2">
      <c r="A462" s="154">
        <f>IF(Values_Entered,A461+1,"")</f>
        <v>445</v>
      </c>
      <c r="B462" s="153">
        <f t="shared" si="48"/>
        <v>83947</v>
      </c>
      <c r="C462" s="151">
        <f t="shared" si="54"/>
        <v>0</v>
      </c>
      <c r="D462" s="151">
        <f t="shared" si="49"/>
        <v>1136407.7926360879</v>
      </c>
      <c r="E462" s="152">
        <f t="shared" si="50"/>
        <v>0</v>
      </c>
      <c r="F462" s="151">
        <f t="shared" si="51"/>
        <v>0</v>
      </c>
      <c r="G462" s="151">
        <f t="shared" si="52"/>
        <v>0</v>
      </c>
      <c r="H462" s="151">
        <f t="shared" si="55"/>
        <v>0</v>
      </c>
      <c r="I462" s="151">
        <f t="shared" si="53"/>
        <v>0</v>
      </c>
      <c r="J462" s="151">
        <f>SUM($H$18:$H462)</f>
        <v>2728155.8527217521</v>
      </c>
    </row>
    <row r="463" spans="1:10" x14ac:dyDescent="0.2">
      <c r="A463" s="154">
        <f>IF(Values_Entered,A462+1,"")</f>
        <v>446</v>
      </c>
      <c r="B463" s="153">
        <f t="shared" si="48"/>
        <v>84039</v>
      </c>
      <c r="C463" s="151">
        <f t="shared" si="54"/>
        <v>0</v>
      </c>
      <c r="D463" s="151">
        <f t="shared" si="49"/>
        <v>1136407.7926360879</v>
      </c>
      <c r="E463" s="152">
        <f t="shared" si="50"/>
        <v>0</v>
      </c>
      <c r="F463" s="151">
        <f t="shared" si="51"/>
        <v>0</v>
      </c>
      <c r="G463" s="151">
        <f t="shared" si="52"/>
        <v>0</v>
      </c>
      <c r="H463" s="151">
        <f t="shared" si="55"/>
        <v>0</v>
      </c>
      <c r="I463" s="151">
        <f t="shared" si="53"/>
        <v>0</v>
      </c>
      <c r="J463" s="151">
        <f>SUM($H$18:$H463)</f>
        <v>2728155.8527217521</v>
      </c>
    </row>
    <row r="464" spans="1:10" x14ac:dyDescent="0.2">
      <c r="A464" s="154">
        <f>IF(Values_Entered,A463+1,"")</f>
        <v>447</v>
      </c>
      <c r="B464" s="153">
        <f t="shared" si="48"/>
        <v>84128</v>
      </c>
      <c r="C464" s="151">
        <f t="shared" si="54"/>
        <v>0</v>
      </c>
      <c r="D464" s="151">
        <f t="shared" si="49"/>
        <v>1136407.7926360879</v>
      </c>
      <c r="E464" s="152">
        <f t="shared" si="50"/>
        <v>0</v>
      </c>
      <c r="F464" s="151">
        <f t="shared" si="51"/>
        <v>0</v>
      </c>
      <c r="G464" s="151">
        <f t="shared" si="52"/>
        <v>0</v>
      </c>
      <c r="H464" s="151">
        <f t="shared" si="55"/>
        <v>0</v>
      </c>
      <c r="I464" s="151">
        <f t="shared" si="53"/>
        <v>0</v>
      </c>
      <c r="J464" s="151">
        <f>SUM($H$18:$H464)</f>
        <v>2728155.8527217521</v>
      </c>
    </row>
    <row r="465" spans="1:10" x14ac:dyDescent="0.2">
      <c r="A465" s="154">
        <f>IF(Values_Entered,A464+1,"")</f>
        <v>448</v>
      </c>
      <c r="B465" s="153">
        <f t="shared" si="48"/>
        <v>84220</v>
      </c>
      <c r="C465" s="151">
        <f t="shared" si="54"/>
        <v>0</v>
      </c>
      <c r="D465" s="151">
        <f t="shared" si="49"/>
        <v>1136407.7926360879</v>
      </c>
      <c r="E465" s="152">
        <f t="shared" si="50"/>
        <v>0</v>
      </c>
      <c r="F465" s="151">
        <f t="shared" si="51"/>
        <v>0</v>
      </c>
      <c r="G465" s="151">
        <f t="shared" si="52"/>
        <v>0</v>
      </c>
      <c r="H465" s="151">
        <f t="shared" si="55"/>
        <v>0</v>
      </c>
      <c r="I465" s="151">
        <f t="shared" si="53"/>
        <v>0</v>
      </c>
      <c r="J465" s="151">
        <f>SUM($H$18:$H465)</f>
        <v>2728155.8527217521</v>
      </c>
    </row>
    <row r="466" spans="1:10" x14ac:dyDescent="0.2">
      <c r="A466" s="154">
        <f>IF(Values_Entered,A465+1,"")</f>
        <v>449</v>
      </c>
      <c r="B466" s="153">
        <f t="shared" ref="B466:B497" si="56">IF(Pay_Num&lt;&gt;"",DATE(YEAR(Loan_Start),MONTH(Loan_Start)+(Pay_Num)*12/Num_Pmt_Per_Year,DAY(Loan_Start)),"")</f>
        <v>84312</v>
      </c>
      <c r="C466" s="151">
        <f t="shared" si="54"/>
        <v>0</v>
      </c>
      <c r="D466" s="151">
        <f t="shared" ref="D466:D497" si="57">IF(Pay_Num&lt;&gt;"",Scheduled_Monthly_Payment,"")</f>
        <v>1136407.7926360879</v>
      </c>
      <c r="E466" s="152">
        <f t="shared" ref="E466:E497" si="58">IF(AND(Pay_Num&lt;&gt;"",Sched_Pay+Scheduled_Extra_Payments&lt;Beg_Bal),Scheduled_Extra_Payments,IF(AND(Pay_Num&lt;&gt;"",Beg_Bal-Sched_Pay&gt;0),Beg_Bal-Sched_Pay,IF(Pay_Num&lt;&gt;"",0,"")))</f>
        <v>0</v>
      </c>
      <c r="F466" s="151">
        <f t="shared" ref="F466:F497" si="59">IF(AND(Pay_Num&lt;&gt;"",Sched_Pay+Extra_Pay&lt;Beg_Bal),Sched_Pay+Extra_Pay,IF(Pay_Num&lt;&gt;"",Beg_Bal,""))</f>
        <v>0</v>
      </c>
      <c r="G466" s="151">
        <f t="shared" ref="G466:G497" si="60">IF(Pay_Num&lt;&gt;"",Total_Pay-Int,"")</f>
        <v>0</v>
      </c>
      <c r="H466" s="151">
        <f t="shared" si="55"/>
        <v>0</v>
      </c>
      <c r="I466" s="151">
        <f t="shared" ref="I466:I497" si="61">IF(AND(Pay_Num&lt;&gt;"",Sched_Pay+Extra_Pay&lt;Beg_Bal),Beg_Bal-Princ,IF(Pay_Num&lt;&gt;"",0,""))</f>
        <v>0</v>
      </c>
      <c r="J466" s="151">
        <f>SUM($H$18:$H466)</f>
        <v>2728155.8527217521</v>
      </c>
    </row>
    <row r="467" spans="1:10" x14ac:dyDescent="0.2">
      <c r="A467" s="154">
        <f>IF(Values_Entered,A466+1,"")</f>
        <v>450</v>
      </c>
      <c r="B467" s="153">
        <f t="shared" si="56"/>
        <v>84404</v>
      </c>
      <c r="C467" s="151">
        <f t="shared" ref="C467:C497" si="62">IF(Pay_Num&lt;&gt;"",I466,"")</f>
        <v>0</v>
      </c>
      <c r="D467" s="151">
        <f t="shared" si="57"/>
        <v>1136407.7926360879</v>
      </c>
      <c r="E467" s="152">
        <f t="shared" si="58"/>
        <v>0</v>
      </c>
      <c r="F467" s="151">
        <f t="shared" si="59"/>
        <v>0</v>
      </c>
      <c r="G467" s="151">
        <f t="shared" si="60"/>
        <v>0</v>
      </c>
      <c r="H467" s="151">
        <f t="shared" ref="H467:H497" si="63">IF(Pay_Num&lt;&gt;"",Beg_Bal*Interest_Rate/Num_Pmt_Per_Year,"")</f>
        <v>0</v>
      </c>
      <c r="I467" s="151">
        <f t="shared" si="61"/>
        <v>0</v>
      </c>
      <c r="J467" s="151">
        <f>SUM($H$18:$H467)</f>
        <v>2728155.8527217521</v>
      </c>
    </row>
    <row r="468" spans="1:10" x14ac:dyDescent="0.2">
      <c r="A468" s="154">
        <f>IF(Values_Entered,A467+1,"")</f>
        <v>451</v>
      </c>
      <c r="B468" s="153">
        <f t="shared" si="56"/>
        <v>84493</v>
      </c>
      <c r="C468" s="151">
        <f t="shared" si="62"/>
        <v>0</v>
      </c>
      <c r="D468" s="151">
        <f t="shared" si="57"/>
        <v>1136407.7926360879</v>
      </c>
      <c r="E468" s="152">
        <f t="shared" si="58"/>
        <v>0</v>
      </c>
      <c r="F468" s="151">
        <f t="shared" si="59"/>
        <v>0</v>
      </c>
      <c r="G468" s="151">
        <f t="shared" si="60"/>
        <v>0</v>
      </c>
      <c r="H468" s="151">
        <f t="shared" si="63"/>
        <v>0</v>
      </c>
      <c r="I468" s="151">
        <f t="shared" si="61"/>
        <v>0</v>
      </c>
      <c r="J468" s="151">
        <f>SUM($H$18:$H468)</f>
        <v>2728155.8527217521</v>
      </c>
    </row>
    <row r="469" spans="1:10" x14ac:dyDescent="0.2">
      <c r="A469" s="154">
        <f>IF(Values_Entered,A468+1,"")</f>
        <v>452</v>
      </c>
      <c r="B469" s="153">
        <f t="shared" si="56"/>
        <v>84585</v>
      </c>
      <c r="C469" s="151">
        <f t="shared" si="62"/>
        <v>0</v>
      </c>
      <c r="D469" s="151">
        <f t="shared" si="57"/>
        <v>1136407.7926360879</v>
      </c>
      <c r="E469" s="152">
        <f t="shared" si="58"/>
        <v>0</v>
      </c>
      <c r="F469" s="151">
        <f t="shared" si="59"/>
        <v>0</v>
      </c>
      <c r="G469" s="151">
        <f t="shared" si="60"/>
        <v>0</v>
      </c>
      <c r="H469" s="151">
        <f t="shared" si="63"/>
        <v>0</v>
      </c>
      <c r="I469" s="151">
        <f t="shared" si="61"/>
        <v>0</v>
      </c>
      <c r="J469" s="151">
        <f>SUM($H$18:$H469)</f>
        <v>2728155.8527217521</v>
      </c>
    </row>
    <row r="470" spans="1:10" x14ac:dyDescent="0.2">
      <c r="A470" s="154">
        <f>IF(Values_Entered,A469+1,"")</f>
        <v>453</v>
      </c>
      <c r="B470" s="153">
        <f t="shared" si="56"/>
        <v>84677</v>
      </c>
      <c r="C470" s="151">
        <f t="shared" si="62"/>
        <v>0</v>
      </c>
      <c r="D470" s="151">
        <f t="shared" si="57"/>
        <v>1136407.7926360879</v>
      </c>
      <c r="E470" s="152">
        <f t="shared" si="58"/>
        <v>0</v>
      </c>
      <c r="F470" s="151">
        <f t="shared" si="59"/>
        <v>0</v>
      </c>
      <c r="G470" s="151">
        <f t="shared" si="60"/>
        <v>0</v>
      </c>
      <c r="H470" s="151">
        <f t="shared" si="63"/>
        <v>0</v>
      </c>
      <c r="I470" s="151">
        <f t="shared" si="61"/>
        <v>0</v>
      </c>
      <c r="J470" s="151">
        <f>SUM($H$18:$H470)</f>
        <v>2728155.8527217521</v>
      </c>
    </row>
    <row r="471" spans="1:10" x14ac:dyDescent="0.2">
      <c r="A471" s="154">
        <f>IF(Values_Entered,A470+1,"")</f>
        <v>454</v>
      </c>
      <c r="B471" s="153">
        <f t="shared" si="56"/>
        <v>84769</v>
      </c>
      <c r="C471" s="151">
        <f t="shared" si="62"/>
        <v>0</v>
      </c>
      <c r="D471" s="151">
        <f t="shared" si="57"/>
        <v>1136407.7926360879</v>
      </c>
      <c r="E471" s="152">
        <f t="shared" si="58"/>
        <v>0</v>
      </c>
      <c r="F471" s="151">
        <f t="shared" si="59"/>
        <v>0</v>
      </c>
      <c r="G471" s="151">
        <f t="shared" si="60"/>
        <v>0</v>
      </c>
      <c r="H471" s="151">
        <f t="shared" si="63"/>
        <v>0</v>
      </c>
      <c r="I471" s="151">
        <f t="shared" si="61"/>
        <v>0</v>
      </c>
      <c r="J471" s="151">
        <f>SUM($H$18:$H471)</f>
        <v>2728155.8527217521</v>
      </c>
    </row>
    <row r="472" spans="1:10" x14ac:dyDescent="0.2">
      <c r="A472" s="154">
        <f>IF(Values_Entered,A471+1,"")</f>
        <v>455</v>
      </c>
      <c r="B472" s="153">
        <f t="shared" si="56"/>
        <v>84859</v>
      </c>
      <c r="C472" s="151">
        <f t="shared" si="62"/>
        <v>0</v>
      </c>
      <c r="D472" s="151">
        <f t="shared" si="57"/>
        <v>1136407.7926360879</v>
      </c>
      <c r="E472" s="152">
        <f t="shared" si="58"/>
        <v>0</v>
      </c>
      <c r="F472" s="151">
        <f t="shared" si="59"/>
        <v>0</v>
      </c>
      <c r="G472" s="151">
        <f t="shared" si="60"/>
        <v>0</v>
      </c>
      <c r="H472" s="151">
        <f t="shared" si="63"/>
        <v>0</v>
      </c>
      <c r="I472" s="151">
        <f t="shared" si="61"/>
        <v>0</v>
      </c>
      <c r="J472" s="151">
        <f>SUM($H$18:$H472)</f>
        <v>2728155.8527217521</v>
      </c>
    </row>
    <row r="473" spans="1:10" x14ac:dyDescent="0.2">
      <c r="A473" s="154">
        <f>IF(Values_Entered,A472+1,"")</f>
        <v>456</v>
      </c>
      <c r="B473" s="153">
        <f t="shared" si="56"/>
        <v>84951</v>
      </c>
      <c r="C473" s="151">
        <f t="shared" si="62"/>
        <v>0</v>
      </c>
      <c r="D473" s="151">
        <f t="shared" si="57"/>
        <v>1136407.7926360879</v>
      </c>
      <c r="E473" s="152">
        <f t="shared" si="58"/>
        <v>0</v>
      </c>
      <c r="F473" s="151">
        <f t="shared" si="59"/>
        <v>0</v>
      </c>
      <c r="G473" s="151">
        <f t="shared" si="60"/>
        <v>0</v>
      </c>
      <c r="H473" s="151">
        <f t="shared" si="63"/>
        <v>0</v>
      </c>
      <c r="I473" s="151">
        <f t="shared" si="61"/>
        <v>0</v>
      </c>
      <c r="J473" s="151">
        <f>SUM($H$18:$H473)</f>
        <v>2728155.8527217521</v>
      </c>
    </row>
    <row r="474" spans="1:10" x14ac:dyDescent="0.2">
      <c r="A474" s="154">
        <f>IF(Values_Entered,A473+1,"")</f>
        <v>457</v>
      </c>
      <c r="B474" s="153">
        <f t="shared" si="56"/>
        <v>85043</v>
      </c>
      <c r="C474" s="151">
        <f t="shared" si="62"/>
        <v>0</v>
      </c>
      <c r="D474" s="151">
        <f t="shared" si="57"/>
        <v>1136407.7926360879</v>
      </c>
      <c r="E474" s="152">
        <f t="shared" si="58"/>
        <v>0</v>
      </c>
      <c r="F474" s="151">
        <f t="shared" si="59"/>
        <v>0</v>
      </c>
      <c r="G474" s="151">
        <f t="shared" si="60"/>
        <v>0</v>
      </c>
      <c r="H474" s="151">
        <f t="shared" si="63"/>
        <v>0</v>
      </c>
      <c r="I474" s="151">
        <f t="shared" si="61"/>
        <v>0</v>
      </c>
      <c r="J474" s="151">
        <f>SUM($H$18:$H474)</f>
        <v>2728155.8527217521</v>
      </c>
    </row>
    <row r="475" spans="1:10" x14ac:dyDescent="0.2">
      <c r="A475" s="154">
        <f>IF(Values_Entered,A474+1,"")</f>
        <v>458</v>
      </c>
      <c r="B475" s="153">
        <f t="shared" si="56"/>
        <v>85135</v>
      </c>
      <c r="C475" s="151">
        <f t="shared" si="62"/>
        <v>0</v>
      </c>
      <c r="D475" s="151">
        <f t="shared" si="57"/>
        <v>1136407.7926360879</v>
      </c>
      <c r="E475" s="152">
        <f t="shared" si="58"/>
        <v>0</v>
      </c>
      <c r="F475" s="151">
        <f t="shared" si="59"/>
        <v>0</v>
      </c>
      <c r="G475" s="151">
        <f t="shared" si="60"/>
        <v>0</v>
      </c>
      <c r="H475" s="151">
        <f t="shared" si="63"/>
        <v>0</v>
      </c>
      <c r="I475" s="151">
        <f t="shared" si="61"/>
        <v>0</v>
      </c>
      <c r="J475" s="151">
        <f>SUM($H$18:$H475)</f>
        <v>2728155.8527217521</v>
      </c>
    </row>
    <row r="476" spans="1:10" x14ac:dyDescent="0.2">
      <c r="A476" s="154">
        <f>IF(Values_Entered,A475+1,"")</f>
        <v>459</v>
      </c>
      <c r="B476" s="153">
        <f t="shared" si="56"/>
        <v>85224</v>
      </c>
      <c r="C476" s="151">
        <f t="shared" si="62"/>
        <v>0</v>
      </c>
      <c r="D476" s="151">
        <f t="shared" si="57"/>
        <v>1136407.7926360879</v>
      </c>
      <c r="E476" s="152">
        <f t="shared" si="58"/>
        <v>0</v>
      </c>
      <c r="F476" s="151">
        <f t="shared" si="59"/>
        <v>0</v>
      </c>
      <c r="G476" s="151">
        <f t="shared" si="60"/>
        <v>0</v>
      </c>
      <c r="H476" s="151">
        <f t="shared" si="63"/>
        <v>0</v>
      </c>
      <c r="I476" s="151">
        <f t="shared" si="61"/>
        <v>0</v>
      </c>
      <c r="J476" s="151">
        <f>SUM($H$18:$H476)</f>
        <v>2728155.8527217521</v>
      </c>
    </row>
    <row r="477" spans="1:10" x14ac:dyDescent="0.2">
      <c r="A477" s="154">
        <f>IF(Values_Entered,A476+1,"")</f>
        <v>460</v>
      </c>
      <c r="B477" s="153">
        <f t="shared" si="56"/>
        <v>85316</v>
      </c>
      <c r="C477" s="151">
        <f t="shared" si="62"/>
        <v>0</v>
      </c>
      <c r="D477" s="151">
        <f t="shared" si="57"/>
        <v>1136407.7926360879</v>
      </c>
      <c r="E477" s="152">
        <f t="shared" si="58"/>
        <v>0</v>
      </c>
      <c r="F477" s="151">
        <f t="shared" si="59"/>
        <v>0</v>
      </c>
      <c r="G477" s="151">
        <f t="shared" si="60"/>
        <v>0</v>
      </c>
      <c r="H477" s="151">
        <f t="shared" si="63"/>
        <v>0</v>
      </c>
      <c r="I477" s="151">
        <f t="shared" si="61"/>
        <v>0</v>
      </c>
      <c r="J477" s="151">
        <f>SUM($H$18:$H477)</f>
        <v>2728155.8527217521</v>
      </c>
    </row>
    <row r="478" spans="1:10" x14ac:dyDescent="0.2">
      <c r="A478" s="154">
        <f>IF(Values_Entered,A477+1,"")</f>
        <v>461</v>
      </c>
      <c r="B478" s="153">
        <f t="shared" si="56"/>
        <v>85408</v>
      </c>
      <c r="C478" s="151">
        <f t="shared" si="62"/>
        <v>0</v>
      </c>
      <c r="D478" s="151">
        <f t="shared" si="57"/>
        <v>1136407.7926360879</v>
      </c>
      <c r="E478" s="152">
        <f t="shared" si="58"/>
        <v>0</v>
      </c>
      <c r="F478" s="151">
        <f t="shared" si="59"/>
        <v>0</v>
      </c>
      <c r="G478" s="151">
        <f t="shared" si="60"/>
        <v>0</v>
      </c>
      <c r="H478" s="151">
        <f t="shared" si="63"/>
        <v>0</v>
      </c>
      <c r="I478" s="151">
        <f t="shared" si="61"/>
        <v>0</v>
      </c>
      <c r="J478" s="151">
        <f>SUM($H$18:$H478)</f>
        <v>2728155.8527217521</v>
      </c>
    </row>
    <row r="479" spans="1:10" x14ac:dyDescent="0.2">
      <c r="A479" s="154">
        <f>IF(Values_Entered,A478+1,"")</f>
        <v>462</v>
      </c>
      <c r="B479" s="153">
        <f t="shared" si="56"/>
        <v>85500</v>
      </c>
      <c r="C479" s="151">
        <f t="shared" si="62"/>
        <v>0</v>
      </c>
      <c r="D479" s="151">
        <f t="shared" si="57"/>
        <v>1136407.7926360879</v>
      </c>
      <c r="E479" s="152">
        <f t="shared" si="58"/>
        <v>0</v>
      </c>
      <c r="F479" s="151">
        <f t="shared" si="59"/>
        <v>0</v>
      </c>
      <c r="G479" s="151">
        <f t="shared" si="60"/>
        <v>0</v>
      </c>
      <c r="H479" s="151">
        <f t="shared" si="63"/>
        <v>0</v>
      </c>
      <c r="I479" s="151">
        <f t="shared" si="61"/>
        <v>0</v>
      </c>
      <c r="J479" s="151">
        <f>SUM($H$18:$H479)</f>
        <v>2728155.8527217521</v>
      </c>
    </row>
    <row r="480" spans="1:10" x14ac:dyDescent="0.2">
      <c r="A480" s="154">
        <f>IF(Values_Entered,A479+1,"")</f>
        <v>463</v>
      </c>
      <c r="B480" s="153">
        <f t="shared" si="56"/>
        <v>85589</v>
      </c>
      <c r="C480" s="151">
        <f t="shared" si="62"/>
        <v>0</v>
      </c>
      <c r="D480" s="151">
        <f t="shared" si="57"/>
        <v>1136407.7926360879</v>
      </c>
      <c r="E480" s="152">
        <f t="shared" si="58"/>
        <v>0</v>
      </c>
      <c r="F480" s="151">
        <f t="shared" si="59"/>
        <v>0</v>
      </c>
      <c r="G480" s="151">
        <f t="shared" si="60"/>
        <v>0</v>
      </c>
      <c r="H480" s="151">
        <f t="shared" si="63"/>
        <v>0</v>
      </c>
      <c r="I480" s="151">
        <f t="shared" si="61"/>
        <v>0</v>
      </c>
      <c r="J480" s="151">
        <f>SUM($H$18:$H480)</f>
        <v>2728155.8527217521</v>
      </c>
    </row>
    <row r="481" spans="1:10" x14ac:dyDescent="0.2">
      <c r="A481" s="154">
        <f>IF(Values_Entered,A480+1,"")</f>
        <v>464</v>
      </c>
      <c r="B481" s="153">
        <f t="shared" si="56"/>
        <v>85681</v>
      </c>
      <c r="C481" s="151">
        <f t="shared" si="62"/>
        <v>0</v>
      </c>
      <c r="D481" s="151">
        <f t="shared" si="57"/>
        <v>1136407.7926360879</v>
      </c>
      <c r="E481" s="152">
        <f t="shared" si="58"/>
        <v>0</v>
      </c>
      <c r="F481" s="151">
        <f t="shared" si="59"/>
        <v>0</v>
      </c>
      <c r="G481" s="151">
        <f t="shared" si="60"/>
        <v>0</v>
      </c>
      <c r="H481" s="151">
        <f t="shared" si="63"/>
        <v>0</v>
      </c>
      <c r="I481" s="151">
        <f t="shared" si="61"/>
        <v>0</v>
      </c>
      <c r="J481" s="151">
        <f>SUM($H$18:$H481)</f>
        <v>2728155.8527217521</v>
      </c>
    </row>
    <row r="482" spans="1:10" x14ac:dyDescent="0.2">
      <c r="A482" s="154">
        <f>IF(Values_Entered,A481+1,"")</f>
        <v>465</v>
      </c>
      <c r="B482" s="153">
        <f t="shared" si="56"/>
        <v>85773</v>
      </c>
      <c r="C482" s="151">
        <f t="shared" si="62"/>
        <v>0</v>
      </c>
      <c r="D482" s="151">
        <f t="shared" si="57"/>
        <v>1136407.7926360879</v>
      </c>
      <c r="E482" s="152">
        <f t="shared" si="58"/>
        <v>0</v>
      </c>
      <c r="F482" s="151">
        <f t="shared" si="59"/>
        <v>0</v>
      </c>
      <c r="G482" s="151">
        <f t="shared" si="60"/>
        <v>0</v>
      </c>
      <c r="H482" s="151">
        <f t="shared" si="63"/>
        <v>0</v>
      </c>
      <c r="I482" s="151">
        <f t="shared" si="61"/>
        <v>0</v>
      </c>
      <c r="J482" s="151">
        <f>SUM($H$18:$H482)</f>
        <v>2728155.8527217521</v>
      </c>
    </row>
    <row r="483" spans="1:10" x14ac:dyDescent="0.2">
      <c r="A483" s="154">
        <f>IF(Values_Entered,A482+1,"")</f>
        <v>466</v>
      </c>
      <c r="B483" s="153">
        <f t="shared" si="56"/>
        <v>85865</v>
      </c>
      <c r="C483" s="151">
        <f t="shared" si="62"/>
        <v>0</v>
      </c>
      <c r="D483" s="151">
        <f t="shared" si="57"/>
        <v>1136407.7926360879</v>
      </c>
      <c r="E483" s="152">
        <f t="shared" si="58"/>
        <v>0</v>
      </c>
      <c r="F483" s="151">
        <f t="shared" si="59"/>
        <v>0</v>
      </c>
      <c r="G483" s="151">
        <f t="shared" si="60"/>
        <v>0</v>
      </c>
      <c r="H483" s="151">
        <f t="shared" si="63"/>
        <v>0</v>
      </c>
      <c r="I483" s="151">
        <f t="shared" si="61"/>
        <v>0</v>
      </c>
      <c r="J483" s="151">
        <f>SUM($H$18:$H483)</f>
        <v>2728155.8527217521</v>
      </c>
    </row>
    <row r="484" spans="1:10" x14ac:dyDescent="0.2">
      <c r="A484" s="154">
        <f>IF(Values_Entered,A483+1,"")</f>
        <v>467</v>
      </c>
      <c r="B484" s="153">
        <f t="shared" si="56"/>
        <v>85954</v>
      </c>
      <c r="C484" s="151">
        <f t="shared" si="62"/>
        <v>0</v>
      </c>
      <c r="D484" s="151">
        <f t="shared" si="57"/>
        <v>1136407.7926360879</v>
      </c>
      <c r="E484" s="152">
        <f t="shared" si="58"/>
        <v>0</v>
      </c>
      <c r="F484" s="151">
        <f t="shared" si="59"/>
        <v>0</v>
      </c>
      <c r="G484" s="151">
        <f t="shared" si="60"/>
        <v>0</v>
      </c>
      <c r="H484" s="151">
        <f t="shared" si="63"/>
        <v>0</v>
      </c>
      <c r="I484" s="151">
        <f t="shared" si="61"/>
        <v>0</v>
      </c>
      <c r="J484" s="151">
        <f>SUM($H$18:$H484)</f>
        <v>2728155.8527217521</v>
      </c>
    </row>
    <row r="485" spans="1:10" x14ac:dyDescent="0.2">
      <c r="A485" s="154">
        <f>IF(Values_Entered,A484+1,"")</f>
        <v>468</v>
      </c>
      <c r="B485" s="153">
        <f t="shared" si="56"/>
        <v>86046</v>
      </c>
      <c r="C485" s="151">
        <f t="shared" si="62"/>
        <v>0</v>
      </c>
      <c r="D485" s="151">
        <f t="shared" si="57"/>
        <v>1136407.7926360879</v>
      </c>
      <c r="E485" s="152">
        <f t="shared" si="58"/>
        <v>0</v>
      </c>
      <c r="F485" s="151">
        <f t="shared" si="59"/>
        <v>0</v>
      </c>
      <c r="G485" s="151">
        <f t="shared" si="60"/>
        <v>0</v>
      </c>
      <c r="H485" s="151">
        <f t="shared" si="63"/>
        <v>0</v>
      </c>
      <c r="I485" s="151">
        <f t="shared" si="61"/>
        <v>0</v>
      </c>
      <c r="J485" s="151">
        <f>SUM($H$18:$H485)</f>
        <v>2728155.8527217521</v>
      </c>
    </row>
    <row r="486" spans="1:10" x14ac:dyDescent="0.2">
      <c r="A486" s="154">
        <f>IF(Values_Entered,A485+1,"")</f>
        <v>469</v>
      </c>
      <c r="B486" s="153">
        <f t="shared" si="56"/>
        <v>86138</v>
      </c>
      <c r="C486" s="151">
        <f t="shared" si="62"/>
        <v>0</v>
      </c>
      <c r="D486" s="151">
        <f t="shared" si="57"/>
        <v>1136407.7926360879</v>
      </c>
      <c r="E486" s="152">
        <f t="shared" si="58"/>
        <v>0</v>
      </c>
      <c r="F486" s="151">
        <f t="shared" si="59"/>
        <v>0</v>
      </c>
      <c r="G486" s="151">
        <f t="shared" si="60"/>
        <v>0</v>
      </c>
      <c r="H486" s="151">
        <f t="shared" si="63"/>
        <v>0</v>
      </c>
      <c r="I486" s="151">
        <f t="shared" si="61"/>
        <v>0</v>
      </c>
      <c r="J486" s="151">
        <f>SUM($H$18:$H486)</f>
        <v>2728155.8527217521</v>
      </c>
    </row>
    <row r="487" spans="1:10" x14ac:dyDescent="0.2">
      <c r="A487" s="154">
        <f>IF(Values_Entered,A486+1,"")</f>
        <v>470</v>
      </c>
      <c r="B487" s="153">
        <f t="shared" si="56"/>
        <v>86230</v>
      </c>
      <c r="C487" s="151">
        <f t="shared" si="62"/>
        <v>0</v>
      </c>
      <c r="D487" s="151">
        <f t="shared" si="57"/>
        <v>1136407.7926360879</v>
      </c>
      <c r="E487" s="152">
        <f t="shared" si="58"/>
        <v>0</v>
      </c>
      <c r="F487" s="151">
        <f t="shared" si="59"/>
        <v>0</v>
      </c>
      <c r="G487" s="151">
        <f t="shared" si="60"/>
        <v>0</v>
      </c>
      <c r="H487" s="151">
        <f t="shared" si="63"/>
        <v>0</v>
      </c>
      <c r="I487" s="151">
        <f t="shared" si="61"/>
        <v>0</v>
      </c>
      <c r="J487" s="151">
        <f>SUM($H$18:$H487)</f>
        <v>2728155.8527217521</v>
      </c>
    </row>
    <row r="488" spans="1:10" x14ac:dyDescent="0.2">
      <c r="A488" s="154">
        <f>IF(Values_Entered,A487+1,"")</f>
        <v>471</v>
      </c>
      <c r="B488" s="153">
        <f t="shared" si="56"/>
        <v>86320</v>
      </c>
      <c r="C488" s="151">
        <f t="shared" si="62"/>
        <v>0</v>
      </c>
      <c r="D488" s="151">
        <f t="shared" si="57"/>
        <v>1136407.7926360879</v>
      </c>
      <c r="E488" s="152">
        <f t="shared" si="58"/>
        <v>0</v>
      </c>
      <c r="F488" s="151">
        <f t="shared" si="59"/>
        <v>0</v>
      </c>
      <c r="G488" s="151">
        <f t="shared" si="60"/>
        <v>0</v>
      </c>
      <c r="H488" s="151">
        <f t="shared" si="63"/>
        <v>0</v>
      </c>
      <c r="I488" s="151">
        <f t="shared" si="61"/>
        <v>0</v>
      </c>
      <c r="J488" s="151">
        <f>SUM($H$18:$H488)</f>
        <v>2728155.8527217521</v>
      </c>
    </row>
    <row r="489" spans="1:10" x14ac:dyDescent="0.2">
      <c r="A489" s="154">
        <f>IF(Values_Entered,A488+1,"")</f>
        <v>472</v>
      </c>
      <c r="B489" s="153">
        <f t="shared" si="56"/>
        <v>86412</v>
      </c>
      <c r="C489" s="151">
        <f t="shared" si="62"/>
        <v>0</v>
      </c>
      <c r="D489" s="151">
        <f t="shared" si="57"/>
        <v>1136407.7926360879</v>
      </c>
      <c r="E489" s="152">
        <f t="shared" si="58"/>
        <v>0</v>
      </c>
      <c r="F489" s="151">
        <f t="shared" si="59"/>
        <v>0</v>
      </c>
      <c r="G489" s="151">
        <f t="shared" si="60"/>
        <v>0</v>
      </c>
      <c r="H489" s="151">
        <f t="shared" si="63"/>
        <v>0</v>
      </c>
      <c r="I489" s="151">
        <f t="shared" si="61"/>
        <v>0</v>
      </c>
      <c r="J489" s="151">
        <f>SUM($H$18:$H489)</f>
        <v>2728155.8527217521</v>
      </c>
    </row>
    <row r="490" spans="1:10" x14ac:dyDescent="0.2">
      <c r="A490" s="154">
        <f>IF(Values_Entered,A489+1,"")</f>
        <v>473</v>
      </c>
      <c r="B490" s="153">
        <f t="shared" si="56"/>
        <v>86504</v>
      </c>
      <c r="C490" s="151">
        <f t="shared" si="62"/>
        <v>0</v>
      </c>
      <c r="D490" s="151">
        <f t="shared" si="57"/>
        <v>1136407.7926360879</v>
      </c>
      <c r="E490" s="152">
        <f t="shared" si="58"/>
        <v>0</v>
      </c>
      <c r="F490" s="151">
        <f t="shared" si="59"/>
        <v>0</v>
      </c>
      <c r="G490" s="151">
        <f t="shared" si="60"/>
        <v>0</v>
      </c>
      <c r="H490" s="151">
        <f t="shared" si="63"/>
        <v>0</v>
      </c>
      <c r="I490" s="151">
        <f t="shared" si="61"/>
        <v>0</v>
      </c>
      <c r="J490" s="151">
        <f>SUM($H$18:$H490)</f>
        <v>2728155.8527217521</v>
      </c>
    </row>
    <row r="491" spans="1:10" x14ac:dyDescent="0.2">
      <c r="A491" s="154">
        <f>IF(Values_Entered,A490+1,"")</f>
        <v>474</v>
      </c>
      <c r="B491" s="153">
        <f t="shared" si="56"/>
        <v>86596</v>
      </c>
      <c r="C491" s="151">
        <f t="shared" si="62"/>
        <v>0</v>
      </c>
      <c r="D491" s="151">
        <f t="shared" si="57"/>
        <v>1136407.7926360879</v>
      </c>
      <c r="E491" s="152">
        <f t="shared" si="58"/>
        <v>0</v>
      </c>
      <c r="F491" s="151">
        <f t="shared" si="59"/>
        <v>0</v>
      </c>
      <c r="G491" s="151">
        <f t="shared" si="60"/>
        <v>0</v>
      </c>
      <c r="H491" s="151">
        <f t="shared" si="63"/>
        <v>0</v>
      </c>
      <c r="I491" s="151">
        <f t="shared" si="61"/>
        <v>0</v>
      </c>
      <c r="J491" s="151">
        <f>SUM($H$18:$H491)</f>
        <v>2728155.8527217521</v>
      </c>
    </row>
    <row r="492" spans="1:10" x14ac:dyDescent="0.2">
      <c r="A492" s="154">
        <f>IF(Values_Entered,A491+1,"")</f>
        <v>475</v>
      </c>
      <c r="B492" s="153">
        <f t="shared" si="56"/>
        <v>86685</v>
      </c>
      <c r="C492" s="151">
        <f t="shared" si="62"/>
        <v>0</v>
      </c>
      <c r="D492" s="151">
        <f t="shared" si="57"/>
        <v>1136407.7926360879</v>
      </c>
      <c r="E492" s="152">
        <f t="shared" si="58"/>
        <v>0</v>
      </c>
      <c r="F492" s="151">
        <f t="shared" si="59"/>
        <v>0</v>
      </c>
      <c r="G492" s="151">
        <f t="shared" si="60"/>
        <v>0</v>
      </c>
      <c r="H492" s="151">
        <f t="shared" si="63"/>
        <v>0</v>
      </c>
      <c r="I492" s="151">
        <f t="shared" si="61"/>
        <v>0</v>
      </c>
      <c r="J492" s="151">
        <f>SUM($H$18:$H492)</f>
        <v>2728155.8527217521</v>
      </c>
    </row>
    <row r="493" spans="1:10" x14ac:dyDescent="0.2">
      <c r="A493" s="154">
        <f>IF(Values_Entered,A492+1,"")</f>
        <v>476</v>
      </c>
      <c r="B493" s="153">
        <f t="shared" si="56"/>
        <v>86777</v>
      </c>
      <c r="C493" s="151">
        <f t="shared" si="62"/>
        <v>0</v>
      </c>
      <c r="D493" s="151">
        <f t="shared" si="57"/>
        <v>1136407.7926360879</v>
      </c>
      <c r="E493" s="152">
        <f t="shared" si="58"/>
        <v>0</v>
      </c>
      <c r="F493" s="151">
        <f t="shared" si="59"/>
        <v>0</v>
      </c>
      <c r="G493" s="151">
        <f t="shared" si="60"/>
        <v>0</v>
      </c>
      <c r="H493" s="151">
        <f t="shared" si="63"/>
        <v>0</v>
      </c>
      <c r="I493" s="151">
        <f t="shared" si="61"/>
        <v>0</v>
      </c>
      <c r="J493" s="151">
        <f>SUM($H$18:$H493)</f>
        <v>2728155.8527217521</v>
      </c>
    </row>
    <row r="494" spans="1:10" x14ac:dyDescent="0.2">
      <c r="A494" s="154">
        <f>IF(Values_Entered,A493+1,"")</f>
        <v>477</v>
      </c>
      <c r="B494" s="153">
        <f t="shared" si="56"/>
        <v>86869</v>
      </c>
      <c r="C494" s="151">
        <f t="shared" si="62"/>
        <v>0</v>
      </c>
      <c r="D494" s="151">
        <f t="shared" si="57"/>
        <v>1136407.7926360879</v>
      </c>
      <c r="E494" s="152">
        <f t="shared" si="58"/>
        <v>0</v>
      </c>
      <c r="F494" s="151">
        <f t="shared" si="59"/>
        <v>0</v>
      </c>
      <c r="G494" s="151">
        <f t="shared" si="60"/>
        <v>0</v>
      </c>
      <c r="H494" s="151">
        <f t="shared" si="63"/>
        <v>0</v>
      </c>
      <c r="I494" s="151">
        <f t="shared" si="61"/>
        <v>0</v>
      </c>
      <c r="J494" s="151">
        <f>SUM($H$18:$H494)</f>
        <v>2728155.8527217521</v>
      </c>
    </row>
    <row r="495" spans="1:10" x14ac:dyDescent="0.2">
      <c r="A495" s="154">
        <f>IF(Values_Entered,A494+1,"")</f>
        <v>478</v>
      </c>
      <c r="B495" s="153">
        <f t="shared" si="56"/>
        <v>86961</v>
      </c>
      <c r="C495" s="151">
        <f t="shared" si="62"/>
        <v>0</v>
      </c>
      <c r="D495" s="151">
        <f t="shared" si="57"/>
        <v>1136407.7926360879</v>
      </c>
      <c r="E495" s="152">
        <f t="shared" si="58"/>
        <v>0</v>
      </c>
      <c r="F495" s="151">
        <f t="shared" si="59"/>
        <v>0</v>
      </c>
      <c r="G495" s="151">
        <f t="shared" si="60"/>
        <v>0</v>
      </c>
      <c r="H495" s="151">
        <f t="shared" si="63"/>
        <v>0</v>
      </c>
      <c r="I495" s="151">
        <f t="shared" si="61"/>
        <v>0</v>
      </c>
      <c r="J495" s="151">
        <f>SUM($H$18:$H495)</f>
        <v>2728155.8527217521</v>
      </c>
    </row>
    <row r="496" spans="1:10" x14ac:dyDescent="0.2">
      <c r="A496" s="154">
        <f>IF(Values_Entered,A495+1,"")</f>
        <v>479</v>
      </c>
      <c r="B496" s="153">
        <f t="shared" si="56"/>
        <v>87050</v>
      </c>
      <c r="C496" s="151">
        <f t="shared" si="62"/>
        <v>0</v>
      </c>
      <c r="D496" s="151">
        <f t="shared" si="57"/>
        <v>1136407.7926360879</v>
      </c>
      <c r="E496" s="152">
        <f t="shared" si="58"/>
        <v>0</v>
      </c>
      <c r="F496" s="151">
        <f t="shared" si="59"/>
        <v>0</v>
      </c>
      <c r="G496" s="151">
        <f t="shared" si="60"/>
        <v>0</v>
      </c>
      <c r="H496" s="151">
        <f t="shared" si="63"/>
        <v>0</v>
      </c>
      <c r="I496" s="151">
        <f t="shared" si="61"/>
        <v>0</v>
      </c>
      <c r="J496" s="151">
        <f>SUM($H$18:$H496)</f>
        <v>2728155.8527217521</v>
      </c>
    </row>
    <row r="497" spans="1:10" x14ac:dyDescent="0.2">
      <c r="A497" s="154">
        <f>IF(Values_Entered,A496+1,"")</f>
        <v>480</v>
      </c>
      <c r="B497" s="153">
        <f t="shared" si="56"/>
        <v>87142</v>
      </c>
      <c r="C497" s="151">
        <f t="shared" si="62"/>
        <v>0</v>
      </c>
      <c r="D497" s="151">
        <f t="shared" si="57"/>
        <v>1136407.7926360879</v>
      </c>
      <c r="E497" s="152">
        <f t="shared" si="58"/>
        <v>0</v>
      </c>
      <c r="F497" s="151">
        <f t="shared" si="59"/>
        <v>0</v>
      </c>
      <c r="G497" s="151">
        <f t="shared" si="60"/>
        <v>0</v>
      </c>
      <c r="H497" s="151">
        <f t="shared" si="63"/>
        <v>0</v>
      </c>
      <c r="I497" s="151">
        <f t="shared" si="61"/>
        <v>0</v>
      </c>
      <c r="J497" s="151">
        <f>SUM($H$18:$H497)</f>
        <v>2728155.8527217521</v>
      </c>
    </row>
  </sheetData>
  <sheetProtection selectLockedCells="1"/>
  <mergeCells count="3">
    <mergeCell ref="C12:D12"/>
    <mergeCell ref="B4:D4"/>
    <mergeCell ref="H4:J4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N34"/>
  <sheetViews>
    <sheetView workbookViewId="0">
      <selection activeCell="H4" sqref="H4"/>
    </sheetView>
  </sheetViews>
  <sheetFormatPr defaultRowHeight="15" x14ac:dyDescent="0.25"/>
  <cols>
    <col min="2" max="2" width="30.5703125" bestFit="1" customWidth="1"/>
    <col min="3" max="4" width="14.28515625" bestFit="1" customWidth="1"/>
    <col min="5" max="5" width="18.5703125" bestFit="1" customWidth="1"/>
    <col min="6" max="6" width="17.85546875" bestFit="1" customWidth="1"/>
    <col min="7" max="7" width="13.28515625" bestFit="1" customWidth="1"/>
    <col min="8" max="9" width="21.7109375" bestFit="1" customWidth="1"/>
    <col min="12" max="12" width="15.28515625" bestFit="1" customWidth="1"/>
    <col min="14" max="14" width="15.28515625" bestFit="1" customWidth="1"/>
  </cols>
  <sheetData>
    <row r="1" spans="1:14" ht="21" x14ac:dyDescent="0.35">
      <c r="A1" s="268" t="s">
        <v>357</v>
      </c>
    </row>
    <row r="3" spans="1:14" ht="15.75" thickBot="1" x14ac:dyDescent="0.3">
      <c r="A3" s="63" t="s">
        <v>110</v>
      </c>
      <c r="B3" s="64" t="s">
        <v>1</v>
      </c>
      <c r="C3" s="65" t="s">
        <v>81</v>
      </c>
      <c r="D3" s="65" t="s">
        <v>82</v>
      </c>
      <c r="E3" s="65" t="s">
        <v>83</v>
      </c>
      <c r="F3" s="65" t="s">
        <v>84</v>
      </c>
      <c r="G3" s="65" t="s">
        <v>85</v>
      </c>
      <c r="H3" s="65" t="s">
        <v>86</v>
      </c>
      <c r="I3" s="65" t="s">
        <v>87</v>
      </c>
    </row>
    <row r="4" spans="1:14" x14ac:dyDescent="0.25">
      <c r="A4" s="237"/>
      <c r="B4" s="66" t="s">
        <v>104</v>
      </c>
      <c r="C4" s="67">
        <f>Audited!C113</f>
        <v>0</v>
      </c>
      <c r="D4" s="67">
        <f>Audited!C114</f>
        <v>0.05</v>
      </c>
      <c r="E4" s="67">
        <f>Audited!C115</f>
        <v>0.25</v>
      </c>
      <c r="F4" s="67">
        <f>Audited!C116</f>
        <v>0.25</v>
      </c>
      <c r="G4" s="67">
        <f>Audited!C117</f>
        <v>0.2</v>
      </c>
      <c r="H4" s="67">
        <f>Audited!C118</f>
        <v>0.15</v>
      </c>
      <c r="I4" s="68"/>
    </row>
    <row r="5" spans="1:14" x14ac:dyDescent="0.25">
      <c r="A5" s="472">
        <v>0</v>
      </c>
      <c r="B5" s="35" t="s">
        <v>105</v>
      </c>
      <c r="C5" s="61">
        <f>Audited!E113</f>
        <v>4259875</v>
      </c>
      <c r="D5" s="61">
        <f>Audited!E114</f>
        <v>7994894.2999999998</v>
      </c>
      <c r="E5" s="61">
        <f>Audited!E115</f>
        <v>397074.49</v>
      </c>
      <c r="F5" s="61">
        <f>Audited!E116</f>
        <v>3157520</v>
      </c>
      <c r="G5" s="61">
        <f>Audited!E117</f>
        <v>0</v>
      </c>
      <c r="H5" s="61">
        <f>Audited!E118</f>
        <v>10335307.08</v>
      </c>
      <c r="I5" s="69">
        <f>SUM(C5:H5)</f>
        <v>26144670.870000001</v>
      </c>
    </row>
    <row r="6" spans="1:14" x14ac:dyDescent="0.25">
      <c r="A6" s="472"/>
      <c r="B6" s="35" t="s">
        <v>106</v>
      </c>
      <c r="C6" s="61">
        <f>'General details'!E96</f>
        <v>20000000</v>
      </c>
      <c r="D6" s="61">
        <f>'General details'!E97</f>
        <v>10000000</v>
      </c>
      <c r="E6" s="61">
        <f>'General details'!E98</f>
        <v>1000000</v>
      </c>
      <c r="F6" s="61">
        <f>'General details'!E99</f>
        <v>500000</v>
      </c>
      <c r="G6" s="61">
        <f>'General details'!E100</f>
        <v>0</v>
      </c>
      <c r="H6" s="61">
        <f>'General details'!E101</f>
        <v>200000</v>
      </c>
      <c r="I6" s="69">
        <f>SUM(C6:H6)</f>
        <v>31700000</v>
      </c>
    </row>
    <row r="7" spans="1:14" x14ac:dyDescent="0.25">
      <c r="A7" s="472"/>
      <c r="B7" s="35" t="s">
        <v>108</v>
      </c>
      <c r="C7" s="61">
        <f t="shared" ref="C7:I7" si="0">SUM(C5:C6)</f>
        <v>24259875</v>
      </c>
      <c r="D7" s="61">
        <f t="shared" si="0"/>
        <v>17994894.300000001</v>
      </c>
      <c r="E7" s="61">
        <f t="shared" si="0"/>
        <v>1397074.49</v>
      </c>
      <c r="F7" s="61">
        <f t="shared" si="0"/>
        <v>3657520</v>
      </c>
      <c r="G7" s="61">
        <f t="shared" si="0"/>
        <v>0</v>
      </c>
      <c r="H7" s="61">
        <f t="shared" si="0"/>
        <v>10535307.08</v>
      </c>
      <c r="I7" s="69">
        <f t="shared" si="0"/>
        <v>57844670.870000005</v>
      </c>
    </row>
    <row r="8" spans="1:14" x14ac:dyDescent="0.25">
      <c r="A8" s="472"/>
      <c r="B8" s="35" t="s">
        <v>103</v>
      </c>
      <c r="C8" s="61">
        <f t="shared" ref="C8:H8" si="1">C7*C4</f>
        <v>0</v>
      </c>
      <c r="D8" s="61">
        <f t="shared" si="1"/>
        <v>899744.71500000008</v>
      </c>
      <c r="E8" s="61">
        <f t="shared" si="1"/>
        <v>349268.6225</v>
      </c>
      <c r="F8" s="61">
        <f t="shared" si="1"/>
        <v>914380</v>
      </c>
      <c r="G8" s="61">
        <f t="shared" si="1"/>
        <v>0</v>
      </c>
      <c r="H8" s="61">
        <f t="shared" si="1"/>
        <v>1580296.0619999999</v>
      </c>
      <c r="I8" s="69">
        <f>SUM(C8:H8)</f>
        <v>3743689.3995000003</v>
      </c>
    </row>
    <row r="9" spans="1:14" ht="15.75" thickBot="1" x14ac:dyDescent="0.3">
      <c r="A9" s="473"/>
      <c r="B9" s="72" t="s">
        <v>109</v>
      </c>
      <c r="C9" s="76">
        <f t="shared" ref="C9:I9" si="2">C7-C8</f>
        <v>24259875</v>
      </c>
      <c r="D9" s="76">
        <f t="shared" si="2"/>
        <v>17095149.585000001</v>
      </c>
      <c r="E9" s="76">
        <f t="shared" si="2"/>
        <v>1047805.8674999999</v>
      </c>
      <c r="F9" s="76">
        <f t="shared" si="2"/>
        <v>2743140</v>
      </c>
      <c r="G9" s="76">
        <f t="shared" si="2"/>
        <v>0</v>
      </c>
      <c r="H9" s="76">
        <f t="shared" si="2"/>
        <v>8955011.0179999992</v>
      </c>
      <c r="I9" s="76">
        <f t="shared" si="2"/>
        <v>54100981.470500007</v>
      </c>
    </row>
    <row r="10" spans="1:14" x14ac:dyDescent="0.25">
      <c r="A10" s="469">
        <v>1</v>
      </c>
      <c r="B10" s="66" t="s">
        <v>105</v>
      </c>
      <c r="C10" s="73">
        <f t="shared" ref="C10:H10" si="3">C9</f>
        <v>24259875</v>
      </c>
      <c r="D10" s="73">
        <f t="shared" si="3"/>
        <v>17095149.585000001</v>
      </c>
      <c r="E10" s="73">
        <f t="shared" si="3"/>
        <v>1047805.8674999999</v>
      </c>
      <c r="F10" s="73">
        <f t="shared" si="3"/>
        <v>2743140</v>
      </c>
      <c r="G10" s="73">
        <f t="shared" si="3"/>
        <v>0</v>
      </c>
      <c r="H10" s="73">
        <f t="shared" si="3"/>
        <v>8955011.0179999992</v>
      </c>
      <c r="I10" s="74">
        <f>SUM(C10:H10)</f>
        <v>54100981.4705</v>
      </c>
      <c r="N10" s="13"/>
    </row>
    <row r="11" spans="1:14" x14ac:dyDescent="0.25">
      <c r="A11" s="470"/>
      <c r="B11" s="35" t="s">
        <v>106</v>
      </c>
      <c r="C11" s="61">
        <f>'General details'!F96</f>
        <v>0</v>
      </c>
      <c r="D11" s="61">
        <f>'General details'!F97</f>
        <v>1500000</v>
      </c>
      <c r="E11" s="61">
        <f>'General details'!F98</f>
        <v>100000</v>
      </c>
      <c r="F11" s="61">
        <f>'General details'!F99</f>
        <v>100000</v>
      </c>
      <c r="G11" s="61">
        <f>'General details'!F100</f>
        <v>3500000</v>
      </c>
      <c r="H11" s="61">
        <f>'General details'!F101</f>
        <v>200000</v>
      </c>
      <c r="I11" s="69">
        <f>SUM(C11:H11)</f>
        <v>5400000</v>
      </c>
    </row>
    <row r="12" spans="1:14" x14ac:dyDescent="0.25">
      <c r="A12" s="470"/>
      <c r="B12" s="35" t="s">
        <v>108</v>
      </c>
      <c r="C12" s="61">
        <f>SUM(C10:C11)</f>
        <v>24259875</v>
      </c>
      <c r="D12" s="61">
        <f t="shared" ref="D12" si="4">SUM(D10:D11)</f>
        <v>18595149.585000001</v>
      </c>
      <c r="E12" s="61">
        <f t="shared" ref="E12" si="5">SUM(E10:E11)</f>
        <v>1147805.8674999999</v>
      </c>
      <c r="F12" s="61">
        <f t="shared" ref="F12" si="6">SUM(F10:F11)</f>
        <v>2843140</v>
      </c>
      <c r="G12" s="61">
        <f t="shared" ref="G12" si="7">SUM(G10:G11)</f>
        <v>3500000</v>
      </c>
      <c r="H12" s="61">
        <f t="shared" ref="H12" si="8">SUM(H10:H11)</f>
        <v>9155011.0179999992</v>
      </c>
      <c r="I12" s="69">
        <f t="shared" ref="I12" si="9">SUM(I10:I11)</f>
        <v>59500981.4705</v>
      </c>
      <c r="L12" s="10"/>
      <c r="N12" s="13"/>
    </row>
    <row r="13" spans="1:14" x14ac:dyDescent="0.25">
      <c r="A13" s="470"/>
      <c r="B13" s="35" t="s">
        <v>103</v>
      </c>
      <c r="C13" s="61">
        <f>C12*C4</f>
        <v>0</v>
      </c>
      <c r="D13" s="61">
        <f>D12*D4</f>
        <v>929757.47925000009</v>
      </c>
      <c r="E13" s="61">
        <f t="shared" ref="E13:H13" si="10">E12*E4</f>
        <v>286951.46687499998</v>
      </c>
      <c r="F13" s="61">
        <f t="shared" si="10"/>
        <v>710785</v>
      </c>
      <c r="G13" s="61">
        <f t="shared" si="10"/>
        <v>700000</v>
      </c>
      <c r="H13" s="61">
        <f t="shared" si="10"/>
        <v>1373251.6526999997</v>
      </c>
      <c r="I13" s="69">
        <f>SUM(C13:H13)</f>
        <v>4000745.5988249993</v>
      </c>
      <c r="L13" s="13"/>
      <c r="N13" s="13"/>
    </row>
    <row r="14" spans="1:14" ht="15.75" thickBot="1" x14ac:dyDescent="0.3">
      <c r="A14" s="471"/>
      <c r="B14" s="72" t="s">
        <v>111</v>
      </c>
      <c r="C14" s="76">
        <f t="shared" ref="C14:I14" si="11">C12-C13</f>
        <v>24259875</v>
      </c>
      <c r="D14" s="76">
        <f t="shared" si="11"/>
        <v>17665392.105750002</v>
      </c>
      <c r="E14" s="76">
        <f t="shared" si="11"/>
        <v>860854.40062500001</v>
      </c>
      <c r="F14" s="76">
        <f t="shared" si="11"/>
        <v>2132355</v>
      </c>
      <c r="G14" s="76">
        <f t="shared" si="11"/>
        <v>2800000</v>
      </c>
      <c r="H14" s="76">
        <f t="shared" si="11"/>
        <v>7781759.3652999997</v>
      </c>
      <c r="I14" s="76">
        <f t="shared" si="11"/>
        <v>55500235.871675</v>
      </c>
    </row>
    <row r="15" spans="1:14" x14ac:dyDescent="0.25">
      <c r="A15" s="469">
        <v>2</v>
      </c>
      <c r="B15" s="66" t="s">
        <v>105</v>
      </c>
      <c r="C15" s="73">
        <f>C14</f>
        <v>24259875</v>
      </c>
      <c r="D15" s="73">
        <f t="shared" ref="D15:H15" si="12">D14</f>
        <v>17665392.105750002</v>
      </c>
      <c r="E15" s="73">
        <f t="shared" si="12"/>
        <v>860854.40062500001</v>
      </c>
      <c r="F15" s="73">
        <f t="shared" si="12"/>
        <v>2132355</v>
      </c>
      <c r="G15" s="73">
        <f t="shared" si="12"/>
        <v>2800000</v>
      </c>
      <c r="H15" s="73">
        <f t="shared" si="12"/>
        <v>7781759.3652999997</v>
      </c>
      <c r="I15" s="74">
        <f>SUM(C15:H15)</f>
        <v>55500235.871675</v>
      </c>
    </row>
    <row r="16" spans="1:14" x14ac:dyDescent="0.25">
      <c r="A16" s="470"/>
      <c r="B16" s="35" t="s">
        <v>106</v>
      </c>
      <c r="C16" s="61">
        <f>'General details'!G96</f>
        <v>0</v>
      </c>
      <c r="D16" s="61">
        <f>'General details'!G97</f>
        <v>0</v>
      </c>
      <c r="E16" s="61">
        <f>'General details'!G98</f>
        <v>100000</v>
      </c>
      <c r="F16" s="61">
        <f>'General details'!G99</f>
        <v>100000</v>
      </c>
      <c r="G16" s="61">
        <f>'General details'!G100</f>
        <v>4000000</v>
      </c>
      <c r="H16" s="61">
        <f>'General details'!G101</f>
        <v>250000</v>
      </c>
      <c r="I16" s="69">
        <f>SUM(C16:H16)</f>
        <v>4450000</v>
      </c>
    </row>
    <row r="17" spans="1:9" x14ac:dyDescent="0.25">
      <c r="A17" s="470"/>
      <c r="B17" s="35" t="s">
        <v>108</v>
      </c>
      <c r="C17" s="61">
        <f>SUM(C15:C16)</f>
        <v>24259875</v>
      </c>
      <c r="D17" s="61">
        <f t="shared" ref="D17" si="13">SUM(D15:D16)</f>
        <v>17665392.105750002</v>
      </c>
      <c r="E17" s="61">
        <f t="shared" ref="E17" si="14">SUM(E15:E16)</f>
        <v>960854.40062500001</v>
      </c>
      <c r="F17" s="61">
        <f t="shared" ref="F17" si="15">SUM(F15:F16)</f>
        <v>2232355</v>
      </c>
      <c r="G17" s="61">
        <f t="shared" ref="G17" si="16">SUM(G15:G16)</f>
        <v>6800000</v>
      </c>
      <c r="H17" s="61">
        <f t="shared" ref="H17" si="17">SUM(H15:H16)</f>
        <v>8031759.3652999997</v>
      </c>
      <c r="I17" s="69">
        <f t="shared" ref="I17" si="18">SUM(I15:I16)</f>
        <v>59950235.871675</v>
      </c>
    </row>
    <row r="18" spans="1:9" x14ac:dyDescent="0.25">
      <c r="A18" s="470"/>
      <c r="B18" s="35" t="s">
        <v>103</v>
      </c>
      <c r="C18" s="61">
        <f t="shared" ref="C18:H18" si="19">C4*C17</f>
        <v>0</v>
      </c>
      <c r="D18" s="61">
        <f>D4*D17</f>
        <v>883269.60528750019</v>
      </c>
      <c r="E18" s="61">
        <f t="shared" si="19"/>
        <v>240213.60015625</v>
      </c>
      <c r="F18" s="61">
        <f t="shared" si="19"/>
        <v>558088.75</v>
      </c>
      <c r="G18" s="61">
        <f t="shared" si="19"/>
        <v>1360000</v>
      </c>
      <c r="H18" s="61">
        <f t="shared" si="19"/>
        <v>1204763.9047949999</v>
      </c>
      <c r="I18" s="69">
        <f>SUM(C18:H18)</f>
        <v>4246335.8602387495</v>
      </c>
    </row>
    <row r="19" spans="1:9" ht="15.75" thickBot="1" x14ac:dyDescent="0.3">
      <c r="A19" s="471"/>
      <c r="B19" s="72" t="s">
        <v>112</v>
      </c>
      <c r="C19" s="76">
        <f t="shared" ref="C19:I19" si="20">C17-C18</f>
        <v>24259875</v>
      </c>
      <c r="D19" s="76">
        <f t="shared" si="20"/>
        <v>16782122.500462502</v>
      </c>
      <c r="E19" s="76">
        <f t="shared" si="20"/>
        <v>720640.80046875007</v>
      </c>
      <c r="F19" s="76">
        <f t="shared" si="20"/>
        <v>1674266.25</v>
      </c>
      <c r="G19" s="76">
        <f t="shared" si="20"/>
        <v>5440000</v>
      </c>
      <c r="H19" s="76">
        <f t="shared" si="20"/>
        <v>6826995.4605049994</v>
      </c>
      <c r="I19" s="76">
        <f t="shared" si="20"/>
        <v>55703900.011436254</v>
      </c>
    </row>
    <row r="20" spans="1:9" x14ac:dyDescent="0.25">
      <c r="A20" s="469">
        <v>3</v>
      </c>
      <c r="B20" s="66" t="s">
        <v>105</v>
      </c>
      <c r="C20" s="73">
        <f>C19</f>
        <v>24259875</v>
      </c>
      <c r="D20" s="73">
        <f t="shared" ref="D20:H20" si="21">D19</f>
        <v>16782122.500462502</v>
      </c>
      <c r="E20" s="73">
        <f t="shared" si="21"/>
        <v>720640.80046875007</v>
      </c>
      <c r="F20" s="73">
        <f t="shared" si="21"/>
        <v>1674266.25</v>
      </c>
      <c r="G20" s="73">
        <f t="shared" si="21"/>
        <v>5440000</v>
      </c>
      <c r="H20" s="73">
        <f t="shared" si="21"/>
        <v>6826995.4605049994</v>
      </c>
      <c r="I20" s="74">
        <f>SUM(C20:H20)</f>
        <v>55703900.011436254</v>
      </c>
    </row>
    <row r="21" spans="1:9" x14ac:dyDescent="0.25">
      <c r="A21" s="470"/>
      <c r="B21" s="35" t="s">
        <v>106</v>
      </c>
      <c r="C21" s="61">
        <f>'General details'!H96</f>
        <v>0</v>
      </c>
      <c r="D21" s="61">
        <f>'General details'!H97</f>
        <v>0</v>
      </c>
      <c r="E21" s="61">
        <f>'General details'!H98</f>
        <v>0</v>
      </c>
      <c r="F21" s="61">
        <f>'General details'!H99</f>
        <v>0</v>
      </c>
      <c r="G21" s="61">
        <f>'General details'!H100</f>
        <v>0</v>
      </c>
      <c r="H21" s="61">
        <f>'General details'!H101</f>
        <v>0</v>
      </c>
      <c r="I21" s="69">
        <f>SUM(C21:H21)</f>
        <v>0</v>
      </c>
    </row>
    <row r="22" spans="1:9" x14ac:dyDescent="0.25">
      <c r="A22" s="470"/>
      <c r="B22" s="35" t="s">
        <v>108</v>
      </c>
      <c r="C22" s="61">
        <f>SUM(C20:C21)</f>
        <v>24259875</v>
      </c>
      <c r="D22" s="61">
        <f t="shared" ref="D22" si="22">SUM(D20:D21)</f>
        <v>16782122.500462502</v>
      </c>
      <c r="E22" s="61">
        <f t="shared" ref="E22" si="23">SUM(E20:E21)</f>
        <v>720640.80046875007</v>
      </c>
      <c r="F22" s="61">
        <f t="shared" ref="F22" si="24">SUM(F20:F21)</f>
        <v>1674266.25</v>
      </c>
      <c r="G22" s="61">
        <f t="shared" ref="G22" si="25">SUM(G20:G21)</f>
        <v>5440000</v>
      </c>
      <c r="H22" s="61">
        <f t="shared" ref="H22" si="26">SUM(H20:H21)</f>
        <v>6826995.4605049994</v>
      </c>
      <c r="I22" s="69">
        <f t="shared" ref="I22" si="27">SUM(I20:I21)</f>
        <v>55703900.011436254</v>
      </c>
    </row>
    <row r="23" spans="1:9" x14ac:dyDescent="0.25">
      <c r="A23" s="470"/>
      <c r="B23" s="35" t="s">
        <v>103</v>
      </c>
      <c r="C23" s="61">
        <f t="shared" ref="C23:H23" si="28">C4*C22</f>
        <v>0</v>
      </c>
      <c r="D23" s="61">
        <f t="shared" si="28"/>
        <v>839106.12502312521</v>
      </c>
      <c r="E23" s="61">
        <f t="shared" si="28"/>
        <v>180160.20011718752</v>
      </c>
      <c r="F23" s="61">
        <f t="shared" si="28"/>
        <v>418566.5625</v>
      </c>
      <c r="G23" s="61">
        <f t="shared" si="28"/>
        <v>1088000</v>
      </c>
      <c r="H23" s="61">
        <f t="shared" si="28"/>
        <v>1024049.3190757498</v>
      </c>
      <c r="I23" s="69">
        <f>SUM(C23:H23)</f>
        <v>3549882.2067160625</v>
      </c>
    </row>
    <row r="24" spans="1:9" ht="15.75" thickBot="1" x14ac:dyDescent="0.3">
      <c r="A24" s="471"/>
      <c r="B24" s="72" t="s">
        <v>113</v>
      </c>
      <c r="C24" s="76">
        <f t="shared" ref="C24:H24" si="29">C22-C23</f>
        <v>24259875</v>
      </c>
      <c r="D24" s="76">
        <f t="shared" si="29"/>
        <v>15943016.375439378</v>
      </c>
      <c r="E24" s="76">
        <f t="shared" si="29"/>
        <v>540480.60035156249</v>
      </c>
      <c r="F24" s="76">
        <f t="shared" si="29"/>
        <v>1255699.6875</v>
      </c>
      <c r="G24" s="76">
        <f t="shared" si="29"/>
        <v>4352000</v>
      </c>
      <c r="H24" s="76">
        <f t="shared" si="29"/>
        <v>5802946.1414292492</v>
      </c>
      <c r="I24" s="77">
        <f>SUM(C24:H24)</f>
        <v>52154017.804720193</v>
      </c>
    </row>
    <row r="25" spans="1:9" x14ac:dyDescent="0.25">
      <c r="A25" s="469">
        <v>4</v>
      </c>
      <c r="B25" s="66" t="s">
        <v>105</v>
      </c>
      <c r="C25" s="73">
        <f>C24</f>
        <v>24259875</v>
      </c>
      <c r="D25" s="73">
        <f t="shared" ref="D25:H25" si="30">D24</f>
        <v>15943016.375439378</v>
      </c>
      <c r="E25" s="73">
        <f t="shared" si="30"/>
        <v>540480.60035156249</v>
      </c>
      <c r="F25" s="73">
        <f t="shared" si="30"/>
        <v>1255699.6875</v>
      </c>
      <c r="G25" s="73">
        <f t="shared" si="30"/>
        <v>4352000</v>
      </c>
      <c r="H25" s="73">
        <f t="shared" si="30"/>
        <v>5802946.1414292492</v>
      </c>
      <c r="I25" s="74">
        <f>SUM(C25:H25)</f>
        <v>52154017.804720193</v>
      </c>
    </row>
    <row r="26" spans="1:9" x14ac:dyDescent="0.25">
      <c r="A26" s="470"/>
      <c r="B26" s="35" t="s">
        <v>106</v>
      </c>
      <c r="C26" s="61">
        <f>'General details'!I96</f>
        <v>0</v>
      </c>
      <c r="D26" s="61">
        <f>'General details'!I97</f>
        <v>0</v>
      </c>
      <c r="E26" s="61">
        <f>'General details'!I98</f>
        <v>0</v>
      </c>
      <c r="F26" s="61">
        <f>'General details'!I99</f>
        <v>0</v>
      </c>
      <c r="G26" s="61">
        <f>'General details'!I100</f>
        <v>0</v>
      </c>
      <c r="H26" s="61">
        <f>'General details'!I101</f>
        <v>0</v>
      </c>
      <c r="I26" s="69">
        <f>SUM(C26:H26)</f>
        <v>0</v>
      </c>
    </row>
    <row r="27" spans="1:9" x14ac:dyDescent="0.25">
      <c r="A27" s="470"/>
      <c r="B27" s="35" t="s">
        <v>108</v>
      </c>
      <c r="C27" s="61">
        <f>SUM(C25:C26)</f>
        <v>24259875</v>
      </c>
      <c r="D27" s="61">
        <f t="shared" ref="D27" si="31">SUM(D25:D26)</f>
        <v>15943016.375439378</v>
      </c>
      <c r="E27" s="61">
        <f t="shared" ref="E27" si="32">SUM(E25:E26)</f>
        <v>540480.60035156249</v>
      </c>
      <c r="F27" s="61">
        <f t="shared" ref="F27" si="33">SUM(F25:F26)</f>
        <v>1255699.6875</v>
      </c>
      <c r="G27" s="61">
        <f t="shared" ref="G27" si="34">SUM(G25:G26)</f>
        <v>4352000</v>
      </c>
      <c r="H27" s="61">
        <f t="shared" ref="H27" si="35">SUM(H25:H26)</f>
        <v>5802946.1414292492</v>
      </c>
      <c r="I27" s="69">
        <f t="shared" ref="I27" si="36">SUM(I25:I26)</f>
        <v>52154017.804720193</v>
      </c>
    </row>
    <row r="28" spans="1:9" x14ac:dyDescent="0.25">
      <c r="A28" s="470"/>
      <c r="B28" s="35" t="s">
        <v>103</v>
      </c>
      <c r="C28" s="61">
        <f t="shared" ref="C28:H28" si="37">C27*C4</f>
        <v>0</v>
      </c>
      <c r="D28" s="61">
        <f t="shared" si="37"/>
        <v>797150.81877196894</v>
      </c>
      <c r="E28" s="61">
        <f t="shared" si="37"/>
        <v>135120.15008789062</v>
      </c>
      <c r="F28" s="61">
        <f t="shared" si="37"/>
        <v>313924.921875</v>
      </c>
      <c r="G28" s="61">
        <f t="shared" si="37"/>
        <v>870400</v>
      </c>
      <c r="H28" s="61">
        <f t="shared" si="37"/>
        <v>870441.9212143874</v>
      </c>
      <c r="I28" s="69">
        <f>SUM(C28:H28)</f>
        <v>2987037.811949247</v>
      </c>
    </row>
    <row r="29" spans="1:9" ht="15.75" thickBot="1" x14ac:dyDescent="0.3">
      <c r="A29" s="471"/>
      <c r="B29" s="72" t="s">
        <v>114</v>
      </c>
      <c r="C29" s="76">
        <f t="shared" ref="C29:H29" si="38">C27-C28</f>
        <v>24259875</v>
      </c>
      <c r="D29" s="76">
        <f t="shared" si="38"/>
        <v>15145865.556667408</v>
      </c>
      <c r="E29" s="76">
        <f t="shared" si="38"/>
        <v>405360.45026367187</v>
      </c>
      <c r="F29" s="76">
        <f t="shared" si="38"/>
        <v>941774.765625</v>
      </c>
      <c r="G29" s="76">
        <f t="shared" si="38"/>
        <v>3481600</v>
      </c>
      <c r="H29" s="76">
        <f t="shared" si="38"/>
        <v>4932504.2202148614</v>
      </c>
      <c r="I29" s="77">
        <f>SUM(C29:H29)</f>
        <v>49166979.99277094</v>
      </c>
    </row>
    <row r="30" spans="1:9" x14ac:dyDescent="0.25">
      <c r="A30" s="469">
        <v>5</v>
      </c>
      <c r="B30" s="66" t="s">
        <v>105</v>
      </c>
      <c r="C30" s="73">
        <f>C29</f>
        <v>24259875</v>
      </c>
      <c r="D30" s="73">
        <f t="shared" ref="D30:H30" si="39">D29</f>
        <v>15145865.556667408</v>
      </c>
      <c r="E30" s="73">
        <f t="shared" si="39"/>
        <v>405360.45026367187</v>
      </c>
      <c r="F30" s="73">
        <f t="shared" si="39"/>
        <v>941774.765625</v>
      </c>
      <c r="G30" s="73">
        <f t="shared" si="39"/>
        <v>3481600</v>
      </c>
      <c r="H30" s="73">
        <f t="shared" si="39"/>
        <v>4932504.2202148614</v>
      </c>
      <c r="I30" s="74">
        <f>SUM(C30:H30)</f>
        <v>49166979.99277094</v>
      </c>
    </row>
    <row r="31" spans="1:9" x14ac:dyDescent="0.25">
      <c r="A31" s="470"/>
      <c r="B31" s="35" t="s">
        <v>106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9">
        <f>SUM(C31:H31)</f>
        <v>0</v>
      </c>
    </row>
    <row r="32" spans="1:9" x14ac:dyDescent="0.25">
      <c r="A32" s="470"/>
      <c r="B32" s="35" t="s">
        <v>108</v>
      </c>
      <c r="C32" s="61">
        <f>SUM(C30:C31)</f>
        <v>24259875</v>
      </c>
      <c r="D32" s="61">
        <f t="shared" ref="D32:I32" si="40">SUM(D30:D31)</f>
        <v>15145865.556667408</v>
      </c>
      <c r="E32" s="61">
        <f t="shared" si="40"/>
        <v>405360.45026367187</v>
      </c>
      <c r="F32" s="61">
        <f t="shared" si="40"/>
        <v>941774.765625</v>
      </c>
      <c r="G32" s="61">
        <f t="shared" si="40"/>
        <v>3481600</v>
      </c>
      <c r="H32" s="61">
        <f t="shared" si="40"/>
        <v>4932504.2202148614</v>
      </c>
      <c r="I32" s="69">
        <f t="shared" si="40"/>
        <v>49166979.99277094</v>
      </c>
    </row>
    <row r="33" spans="1:9" x14ac:dyDescent="0.25">
      <c r="A33" s="470"/>
      <c r="B33" s="35" t="s">
        <v>103</v>
      </c>
      <c r="C33" s="61">
        <f t="shared" ref="C33:H33" si="41">C32*C4</f>
        <v>0</v>
      </c>
      <c r="D33" s="61">
        <f t="shared" si="41"/>
        <v>757293.27783337049</v>
      </c>
      <c r="E33" s="61">
        <f t="shared" si="41"/>
        <v>101340.11256591797</v>
      </c>
      <c r="F33" s="61">
        <f t="shared" si="41"/>
        <v>235443.69140625</v>
      </c>
      <c r="G33" s="61">
        <f t="shared" si="41"/>
        <v>696320</v>
      </c>
      <c r="H33" s="61">
        <f t="shared" si="41"/>
        <v>739875.63303222915</v>
      </c>
      <c r="I33" s="69">
        <f>SUM(C33:H33)</f>
        <v>2530272.7148377676</v>
      </c>
    </row>
    <row r="34" spans="1:9" ht="15.75" thickBot="1" x14ac:dyDescent="0.3">
      <c r="A34" s="471"/>
      <c r="B34" s="72" t="s">
        <v>114</v>
      </c>
      <c r="C34" s="76">
        <f t="shared" ref="C34:H34" si="42">C32-C33</f>
        <v>24259875</v>
      </c>
      <c r="D34" s="76">
        <f t="shared" si="42"/>
        <v>14388572.278834037</v>
      </c>
      <c r="E34" s="76">
        <f t="shared" si="42"/>
        <v>304020.33769775392</v>
      </c>
      <c r="F34" s="76">
        <f t="shared" si="42"/>
        <v>706331.07421875</v>
      </c>
      <c r="G34" s="76">
        <f t="shared" si="42"/>
        <v>2785280</v>
      </c>
      <c r="H34" s="76">
        <f t="shared" si="42"/>
        <v>4192628.5871826322</v>
      </c>
      <c r="I34" s="77">
        <f>SUM(C34:H34)</f>
        <v>46636707.277933173</v>
      </c>
    </row>
  </sheetData>
  <mergeCells count="6">
    <mergeCell ref="A30:A34"/>
    <mergeCell ref="A5:A9"/>
    <mergeCell ref="A10:A14"/>
    <mergeCell ref="A15:A19"/>
    <mergeCell ref="A20:A24"/>
    <mergeCell ref="A25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C3" sqref="C3"/>
    </sheetView>
  </sheetViews>
  <sheetFormatPr defaultRowHeight="15" x14ac:dyDescent="0.25"/>
  <cols>
    <col min="2" max="2" width="13.28515625" bestFit="1" customWidth="1"/>
    <col min="3" max="3" width="14.28515625" bestFit="1" customWidth="1"/>
    <col min="4" max="7" width="13.28515625" bestFit="1" customWidth="1"/>
  </cols>
  <sheetData>
    <row r="2" spans="1:12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</row>
    <row r="3" spans="1:12" x14ac:dyDescent="0.25">
      <c r="A3" t="s">
        <v>484</v>
      </c>
      <c r="B3" s="13">
        <f>+'General details'!I27</f>
        <v>1300000</v>
      </c>
      <c r="C3" s="13">
        <f>+'Cost of Sale'!D18</f>
        <v>1560000</v>
      </c>
      <c r="D3" s="13">
        <f>+'Cost of Sale'!E18</f>
        <v>1833230.832690089</v>
      </c>
      <c r="E3" s="13">
        <f>+'Cost of Sale'!F18</f>
        <v>2155038.9758969708</v>
      </c>
      <c r="F3" s="13">
        <f>+'Cost of Sale'!G18</f>
        <v>2534186.2135113524</v>
      </c>
      <c r="G3" s="13">
        <f>+'Cost of Sale'!H18</f>
        <v>2981036.4192145155</v>
      </c>
    </row>
    <row r="4" spans="1:12" x14ac:dyDescent="0.25">
      <c r="A4" t="s">
        <v>486</v>
      </c>
      <c r="B4" s="13">
        <f>+B3/400</f>
        <v>3250</v>
      </c>
      <c r="C4" s="13">
        <f>+B4*1.1</f>
        <v>3575.0000000000005</v>
      </c>
      <c r="D4" s="13">
        <f t="shared" ref="D4:G4" si="0">+C4*1.1</f>
        <v>3932.5000000000009</v>
      </c>
      <c r="E4" s="13">
        <f t="shared" si="0"/>
        <v>4325.7500000000009</v>
      </c>
      <c r="F4" s="13">
        <f t="shared" si="0"/>
        <v>4758.3250000000016</v>
      </c>
      <c r="G4" s="13">
        <f t="shared" si="0"/>
        <v>5234.1575000000021</v>
      </c>
    </row>
    <row r="5" spans="1:12" x14ac:dyDescent="0.25">
      <c r="A5" t="s">
        <v>485</v>
      </c>
      <c r="B5" s="13">
        <f>+'General details'!Q7</f>
        <v>1022866.676</v>
      </c>
      <c r="C5" s="13">
        <f>+'General details'!R7</f>
        <v>1195181.7161599998</v>
      </c>
      <c r="D5" s="13">
        <f>+'General details'!S7</f>
        <v>1404838.0577456001</v>
      </c>
      <c r="E5" s="13">
        <f>+'General details'!T7</f>
        <v>1651833.318594896</v>
      </c>
      <c r="F5" s="13">
        <f>+'General details'!U7</f>
        <v>1942914.5884735794</v>
      </c>
      <c r="G5" s="13">
        <f>+'General details'!V7</f>
        <v>2286064.957718777</v>
      </c>
      <c r="J5" t="s">
        <v>491</v>
      </c>
    </row>
    <row r="6" spans="1:12" x14ac:dyDescent="0.25">
      <c r="A6" t="s">
        <v>487</v>
      </c>
      <c r="B6" s="448">
        <f>+B5/1000</f>
        <v>1022.866676</v>
      </c>
      <c r="C6" s="448">
        <f t="shared" ref="C6:G6" si="1">+C5/1000</f>
        <v>1195.1817161599997</v>
      </c>
      <c r="D6" s="448">
        <f t="shared" si="1"/>
        <v>1404.8380577456001</v>
      </c>
      <c r="E6" s="448">
        <f t="shared" si="1"/>
        <v>1651.8333185948959</v>
      </c>
      <c r="F6" s="448">
        <f t="shared" si="1"/>
        <v>1942.9145884735794</v>
      </c>
      <c r="G6" s="448">
        <f t="shared" si="1"/>
        <v>2286.0649577187769</v>
      </c>
      <c r="K6" t="s">
        <v>492</v>
      </c>
      <c r="L6">
        <v>60</v>
      </c>
    </row>
    <row r="7" spans="1:12" x14ac:dyDescent="0.25">
      <c r="B7" s="13">
        <f>+B4/B6</f>
        <v>3.1773446884684704</v>
      </c>
      <c r="C7" s="13">
        <f t="shared" ref="C7:G7" si="2">+C4/C6</f>
        <v>2.9911769496324969</v>
      </c>
      <c r="D7" s="13">
        <f t="shared" si="2"/>
        <v>2.7992550303702912</v>
      </c>
      <c r="E7" s="13">
        <f t="shared" si="2"/>
        <v>2.6187569601027465</v>
      </c>
      <c r="F7" s="13">
        <f t="shared" si="2"/>
        <v>2.4490654546674158</v>
      </c>
      <c r="G7" s="13">
        <f t="shared" si="2"/>
        <v>2.2895926392323838</v>
      </c>
      <c r="K7" t="s">
        <v>493</v>
      </c>
      <c r="L7">
        <v>20</v>
      </c>
    </row>
    <row r="8" spans="1:12" x14ac:dyDescent="0.25">
      <c r="A8" t="s">
        <v>488</v>
      </c>
      <c r="B8" t="s">
        <v>489</v>
      </c>
      <c r="K8" t="s">
        <v>494</v>
      </c>
      <c r="L8">
        <v>20</v>
      </c>
    </row>
    <row r="9" spans="1:12" x14ac:dyDescent="0.25">
      <c r="A9" t="s">
        <v>490</v>
      </c>
    </row>
    <row r="10" spans="1:12" x14ac:dyDescent="0.25">
      <c r="A10" t="s">
        <v>403</v>
      </c>
      <c r="B10">
        <f>500000/50</f>
        <v>10000</v>
      </c>
      <c r="C10" s="406">
        <f>+B10*3</f>
        <v>30000</v>
      </c>
      <c r="D10">
        <f>+B10*50</f>
        <v>500000</v>
      </c>
      <c r="E10">
        <f>+D10/1000</f>
        <v>500</v>
      </c>
      <c r="F10">
        <f>+E10*20000</f>
        <v>10000000</v>
      </c>
    </row>
    <row r="11" spans="1:12" x14ac:dyDescent="0.25">
      <c r="A11" t="s">
        <v>60</v>
      </c>
      <c r="B11">
        <f>500000/140</f>
        <v>3571.4285714285716</v>
      </c>
      <c r="C11">
        <f>+B11*3</f>
        <v>10714.285714285714</v>
      </c>
      <c r="D11">
        <f>+B11*50</f>
        <v>178571.42857142858</v>
      </c>
      <c r="E11">
        <f>+D11/1000</f>
        <v>178.57142857142858</v>
      </c>
      <c r="F11">
        <f>+E11*20000</f>
        <v>3571428.5714285718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D128"/>
  <sheetViews>
    <sheetView zoomScaleNormal="100" workbookViewId="0">
      <selection activeCell="F9" sqref="F9"/>
    </sheetView>
  </sheetViews>
  <sheetFormatPr defaultRowHeight="15" x14ac:dyDescent="0.25"/>
  <cols>
    <col min="1" max="1" width="9.140625" customWidth="1"/>
    <col min="2" max="2" width="27.7109375" customWidth="1"/>
    <col min="3" max="3" width="19.28515625" bestFit="1" customWidth="1"/>
    <col min="4" max="5" width="13.28515625" bestFit="1" customWidth="1"/>
    <col min="6" max="6" width="17" bestFit="1" customWidth="1"/>
    <col min="7" max="7" width="16.28515625" customWidth="1"/>
    <col min="8" max="8" width="19.28515625" bestFit="1" customWidth="1"/>
    <col min="9" max="9" width="18.28515625" bestFit="1" customWidth="1"/>
    <col min="10" max="10" width="13.28515625" bestFit="1" customWidth="1"/>
    <col min="11" max="11" width="17.85546875" customWidth="1"/>
    <col min="12" max="12" width="13.140625" bestFit="1" customWidth="1"/>
    <col min="13" max="13" width="14.28515625" bestFit="1" customWidth="1"/>
    <col min="14" max="14" width="13.7109375" bestFit="1" customWidth="1"/>
    <col min="15" max="15" width="10.5703125" bestFit="1" customWidth="1"/>
    <col min="16" max="16" width="15" bestFit="1" customWidth="1"/>
    <col min="17" max="18" width="15" style="363" bestFit="1" customWidth="1"/>
    <col min="19" max="19" width="13.28515625" style="363" bestFit="1" customWidth="1"/>
    <col min="20" max="21" width="13.28515625" bestFit="1" customWidth="1"/>
    <col min="22" max="22" width="13.85546875" bestFit="1" customWidth="1"/>
    <col min="23" max="23" width="14.28515625" bestFit="1" customWidth="1"/>
    <col min="24" max="25" width="11.5703125" customWidth="1"/>
    <col min="26" max="26" width="14.42578125" bestFit="1" customWidth="1"/>
    <col min="27" max="27" width="14.42578125" customWidth="1"/>
    <col min="28" max="28" width="11.5703125" bestFit="1" customWidth="1"/>
    <col min="29" max="29" width="11.5703125" customWidth="1"/>
    <col min="32" max="32" width="14.42578125" bestFit="1" customWidth="1"/>
  </cols>
  <sheetData>
    <row r="1" spans="1:30" ht="18.75" x14ac:dyDescent="0.3">
      <c r="B1" s="474" t="s">
        <v>519</v>
      </c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5"/>
    </row>
    <row r="2" spans="1:30" ht="18.75" x14ac:dyDescent="0.3">
      <c r="B2" s="106" t="s">
        <v>123</v>
      </c>
      <c r="C2" s="238" t="s">
        <v>380</v>
      </c>
      <c r="D2" s="238"/>
      <c r="E2" s="265"/>
      <c r="F2" s="265"/>
      <c r="G2" s="265"/>
      <c r="H2" s="106"/>
      <c r="I2" s="106"/>
      <c r="J2" s="187" t="s">
        <v>195</v>
      </c>
      <c r="K2" s="186"/>
      <c r="L2" s="106"/>
      <c r="M2" s="106"/>
      <c r="N2" s="107"/>
      <c r="P2" t="s">
        <v>394</v>
      </c>
      <c r="Q2" s="368" t="s">
        <v>435</v>
      </c>
      <c r="R2" s="368" t="s">
        <v>436</v>
      </c>
      <c r="S2" s="368" t="s">
        <v>437</v>
      </c>
      <c r="T2" s="368" t="s">
        <v>438</v>
      </c>
      <c r="U2" s="368" t="s">
        <v>439</v>
      </c>
      <c r="V2" s="368" t="s">
        <v>440</v>
      </c>
    </row>
    <row r="3" spans="1:30" x14ac:dyDescent="0.25">
      <c r="B3" s="106" t="s">
        <v>0</v>
      </c>
      <c r="C3" s="238" t="s">
        <v>381</v>
      </c>
      <c r="D3" s="238"/>
      <c r="E3" s="265"/>
      <c r="F3" s="265"/>
      <c r="G3" s="265"/>
      <c r="H3" s="106"/>
      <c r="I3" s="106"/>
      <c r="L3" s="192"/>
      <c r="M3" s="192"/>
      <c r="N3" s="193"/>
      <c r="P3" t="s">
        <v>403</v>
      </c>
      <c r="Q3" s="369">
        <f>+K11</f>
        <v>477975.87599999993</v>
      </c>
      <c r="R3" s="369">
        <f>+Inventories!J5</f>
        <v>554452.01616</v>
      </c>
      <c r="S3" s="369">
        <f>+Inventories!X5</f>
        <v>643164.33874559996</v>
      </c>
      <c r="T3" s="369">
        <f>+Inventories!AL5</f>
        <v>746070.632944896</v>
      </c>
      <c r="U3" s="369">
        <f>+Inventories!AZ5</f>
        <v>865441.9342160793</v>
      </c>
      <c r="V3" s="369">
        <f>+Inventories!BN5</f>
        <v>1003912.643690652</v>
      </c>
      <c r="W3" s="406"/>
      <c r="X3" s="406"/>
      <c r="Y3" s="406"/>
      <c r="Z3" s="406"/>
      <c r="AA3" s="406"/>
      <c r="AB3" s="406"/>
    </row>
    <row r="4" spans="1:30" x14ac:dyDescent="0.25">
      <c r="B4" s="110" t="s">
        <v>260</v>
      </c>
      <c r="C4" s="238" t="s">
        <v>259</v>
      </c>
      <c r="D4" s="265" t="str">
        <f>CONCATENATE((LEFT(C4,4)-57),"-",(RIGHT(C4,4)-57))</f>
        <v>2016-2017</v>
      </c>
      <c r="E4" s="265"/>
      <c r="F4" s="265"/>
      <c r="G4" s="265"/>
      <c r="H4" s="108"/>
      <c r="I4" s="108"/>
      <c r="J4" s="190" t="s">
        <v>193</v>
      </c>
      <c r="K4" s="189" t="str">
        <f>LEFT($C$4,4)</f>
        <v>2073</v>
      </c>
      <c r="L4" s="108"/>
      <c r="M4" s="108"/>
      <c r="N4" s="109"/>
      <c r="P4" t="s">
        <v>60</v>
      </c>
      <c r="Q4" s="369">
        <f t="shared" ref="Q4:Q6" si="0">+K12</f>
        <v>428514</v>
      </c>
      <c r="R4" s="369">
        <f>+Inventories!J6</f>
        <v>503977.67999999993</v>
      </c>
      <c r="S4" s="370">
        <f>+Inventories!X6</f>
        <v>604773.21600000001</v>
      </c>
      <c r="T4" s="369">
        <f>+Inventories!AL6</f>
        <v>725727.85919999995</v>
      </c>
      <c r="U4" s="369">
        <f>+Inventories!AZ6</f>
        <v>870873.43103999994</v>
      </c>
      <c r="V4" s="369">
        <f>+Inventories!BN6</f>
        <v>1045048.1172479999</v>
      </c>
      <c r="W4" s="406"/>
      <c r="X4" s="406"/>
      <c r="Y4" s="406"/>
      <c r="Z4" s="406"/>
      <c r="AA4" s="406"/>
      <c r="AB4" s="406"/>
    </row>
    <row r="5" spans="1:30" x14ac:dyDescent="0.25">
      <c r="B5" s="111"/>
      <c r="C5" s="99"/>
      <c r="D5" s="257"/>
      <c r="E5" s="257"/>
      <c r="F5" s="257"/>
      <c r="G5" s="257"/>
      <c r="H5" s="112"/>
      <c r="I5" s="108"/>
      <c r="J5" s="137" t="s">
        <v>193</v>
      </c>
      <c r="K5" s="189" t="str">
        <f>RIGHT($C$4,4)</f>
        <v>2074</v>
      </c>
      <c r="M5" s="108"/>
      <c r="N5" s="109"/>
      <c r="P5" t="s">
        <v>61</v>
      </c>
      <c r="Q5" s="369">
        <f t="shared" si="0"/>
        <v>112578.8</v>
      </c>
      <c r="R5" s="369">
        <f>+Inventories!J7</f>
        <v>129465.62000000001</v>
      </c>
      <c r="S5" s="369">
        <f>+Inventories!X7</f>
        <v>148885.46300000002</v>
      </c>
      <c r="T5" s="369">
        <f>+Inventories!AL7</f>
        <v>171218.28245</v>
      </c>
      <c r="U5" s="369">
        <f>+Inventories!AZ7</f>
        <v>196901.0248175</v>
      </c>
      <c r="V5" s="369">
        <f>+Inventories!BN7</f>
        <v>226436.17854012499</v>
      </c>
      <c r="W5" s="406"/>
      <c r="X5" s="406"/>
      <c r="Y5" s="406"/>
      <c r="Z5" s="406"/>
      <c r="AA5" s="406"/>
      <c r="AB5" s="406"/>
    </row>
    <row r="6" spans="1:30" x14ac:dyDescent="0.25">
      <c r="B6" s="111"/>
      <c r="C6" s="262"/>
      <c r="D6" s="262"/>
      <c r="E6" s="262"/>
      <c r="F6" s="262"/>
      <c r="G6" s="262"/>
      <c r="I6" s="108"/>
      <c r="J6" s="191" t="s">
        <v>193</v>
      </c>
      <c r="K6" s="108" t="s">
        <v>194</v>
      </c>
      <c r="L6" s="108"/>
      <c r="M6" s="108"/>
      <c r="N6" s="109"/>
      <c r="P6" t="s">
        <v>62</v>
      </c>
      <c r="Q6" s="369">
        <f t="shared" si="0"/>
        <v>3798</v>
      </c>
      <c r="R6" s="369">
        <f>+Inventories!J8</f>
        <v>7286.4</v>
      </c>
      <c r="S6" s="369">
        <f>+Inventories!X8</f>
        <v>8015.04</v>
      </c>
      <c r="T6" s="369">
        <f>+Inventories!AL8</f>
        <v>8816.5439999999999</v>
      </c>
      <c r="U6" s="369">
        <f>+Inventories!AZ8</f>
        <v>9698.1983999999993</v>
      </c>
      <c r="V6" s="369">
        <f>+Inventories!BN8</f>
        <v>10668.018240000001</v>
      </c>
      <c r="W6" s="406"/>
      <c r="X6" s="406"/>
      <c r="Y6" s="406"/>
      <c r="Z6" s="406"/>
      <c r="AA6" s="406"/>
      <c r="AB6" s="406"/>
    </row>
    <row r="7" spans="1:30" x14ac:dyDescent="0.25">
      <c r="B7" s="111"/>
      <c r="H7" s="108"/>
      <c r="I7" s="108"/>
      <c r="J7" s="108"/>
      <c r="K7" s="108"/>
      <c r="L7" s="108"/>
      <c r="M7" s="108"/>
      <c r="N7" s="109"/>
      <c r="Q7" s="369">
        <f>SUM(Q3:Q6)</f>
        <v>1022866.676</v>
      </c>
      <c r="R7" s="369">
        <f>SUM(R3:R6)</f>
        <v>1195181.7161599998</v>
      </c>
      <c r="S7" s="369">
        <f t="shared" ref="S7:V7" si="1">SUM(S3:S6)</f>
        <v>1404838.0577456001</v>
      </c>
      <c r="T7" s="369">
        <f t="shared" si="1"/>
        <v>1651833.318594896</v>
      </c>
      <c r="U7" s="369">
        <f t="shared" si="1"/>
        <v>1942914.5884735794</v>
      </c>
      <c r="V7" s="369">
        <f t="shared" si="1"/>
        <v>2286064.957718777</v>
      </c>
      <c r="W7" s="406"/>
      <c r="X7" s="406"/>
      <c r="Y7" s="406"/>
      <c r="Z7" s="406"/>
      <c r="AA7" s="406"/>
      <c r="AB7" s="406"/>
    </row>
    <row r="8" spans="1:30" x14ac:dyDescent="0.25">
      <c r="B8" s="259" t="s">
        <v>98</v>
      </c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60"/>
      <c r="P8" s="13">
        <f>+(R4-Q4)/Q4</f>
        <v>0.17610551813943054</v>
      </c>
    </row>
    <row r="9" spans="1:30" x14ac:dyDescent="0.25">
      <c r="B9" s="35"/>
      <c r="C9" s="35"/>
      <c r="D9" s="479" t="s">
        <v>382</v>
      </c>
      <c r="E9" s="480"/>
      <c r="F9" s="35"/>
      <c r="G9" s="35"/>
      <c r="H9" s="35"/>
      <c r="I9" s="70"/>
      <c r="J9" s="35"/>
      <c r="K9" s="38"/>
      <c r="L9" s="38"/>
      <c r="M9" s="38"/>
      <c r="N9" s="54" t="s">
        <v>117</v>
      </c>
      <c r="O9" s="28"/>
      <c r="P9" s="28"/>
    </row>
    <row r="10" spans="1:30" ht="30" x14ac:dyDescent="0.25">
      <c r="B10" s="467" t="s">
        <v>1</v>
      </c>
      <c r="C10" s="467"/>
      <c r="D10" s="258" t="s">
        <v>383</v>
      </c>
      <c r="E10" s="258" t="s">
        <v>384</v>
      </c>
      <c r="F10" s="258" t="s">
        <v>385</v>
      </c>
      <c r="G10" s="258" t="s">
        <v>386</v>
      </c>
      <c r="H10" s="342" t="s">
        <v>389</v>
      </c>
      <c r="I10" s="342" t="s">
        <v>387</v>
      </c>
      <c r="J10" s="39" t="s">
        <v>388</v>
      </c>
      <c r="K10" s="342" t="s">
        <v>390</v>
      </c>
      <c r="L10" s="189" t="s">
        <v>391</v>
      </c>
      <c r="M10" s="342" t="s">
        <v>392</v>
      </c>
      <c r="N10" s="55" t="s">
        <v>59</v>
      </c>
      <c r="P10" s="3" t="s">
        <v>58</v>
      </c>
      <c r="Q10" s="364" t="s">
        <v>57</v>
      </c>
      <c r="R10" s="364" t="s">
        <v>55</v>
      </c>
      <c r="S10" s="364" t="s">
        <v>447</v>
      </c>
      <c r="U10" s="360"/>
      <c r="V10" s="360"/>
      <c r="W10" s="360"/>
      <c r="X10" s="360"/>
      <c r="Y10" s="360" t="s">
        <v>404</v>
      </c>
      <c r="Z10" s="360" t="s">
        <v>393</v>
      </c>
      <c r="AA10" s="360" t="s">
        <v>407</v>
      </c>
      <c r="AB10" s="360" t="s">
        <v>401</v>
      </c>
      <c r="AC10" s="360" t="s">
        <v>405</v>
      </c>
      <c r="AD10" s="360" t="s">
        <v>402</v>
      </c>
    </row>
    <row r="11" spans="1:30" x14ac:dyDescent="0.25">
      <c r="A11" s="35">
        <f>Inventories!B5</f>
        <v>0</v>
      </c>
      <c r="B11" s="239" t="s">
        <v>235</v>
      </c>
      <c r="C11" s="239" t="s">
        <v>425</v>
      </c>
      <c r="D11" s="261">
        <v>0.16</v>
      </c>
      <c r="E11" s="261">
        <v>0.15</v>
      </c>
      <c r="F11" s="261">
        <v>0.05</v>
      </c>
      <c r="G11" s="261">
        <v>0.05</v>
      </c>
      <c r="H11" s="341">
        <v>0</v>
      </c>
      <c r="I11" s="341">
        <f>+'Variety-wise details'!H17</f>
        <v>562324.55999999994</v>
      </c>
      <c r="J11" s="240">
        <v>21.5</v>
      </c>
      <c r="K11" s="341">
        <f>+I11-M11</f>
        <v>477975.87599999993</v>
      </c>
      <c r="L11" s="240">
        <v>43</v>
      </c>
      <c r="M11" s="341">
        <f>I11*E11</f>
        <v>84348.683999999994</v>
      </c>
      <c r="N11" s="241">
        <f t="shared" ref="N11" si="2">H11+I11-K11-M11</f>
        <v>0</v>
      </c>
      <c r="P11" s="16">
        <f>L11*K11</f>
        <v>20552962.667999998</v>
      </c>
      <c r="Q11" s="365">
        <f>I11*J11</f>
        <v>12089978.039999999</v>
      </c>
      <c r="R11" s="366">
        <f t="shared" ref="R11:R13" si="3">N11*J11</f>
        <v>0</v>
      </c>
      <c r="S11" s="366">
        <f>M11*0.5*12</f>
        <v>506092.10399999993</v>
      </c>
    </row>
    <row r="12" spans="1:30" x14ac:dyDescent="0.25">
      <c r="A12" s="35">
        <f>Inventories!B6</f>
        <v>1</v>
      </c>
      <c r="B12" s="239" t="s">
        <v>60</v>
      </c>
      <c r="C12" s="239" t="s">
        <v>426</v>
      </c>
      <c r="D12" s="261">
        <v>0.2</v>
      </c>
      <c r="E12" s="261">
        <v>0.1</v>
      </c>
      <c r="F12" s="261">
        <v>0.05</v>
      </c>
      <c r="G12" s="261">
        <v>0.05</v>
      </c>
      <c r="H12" s="341">
        <f>+'Variety-wise details'!G31</f>
        <v>428514</v>
      </c>
      <c r="I12" s="341">
        <f>+'Variety-wise details'!H31</f>
        <v>466646</v>
      </c>
      <c r="J12" s="240">
        <v>30</v>
      </c>
      <c r="K12" s="341">
        <f>+'Variety-wise details'!K31</f>
        <v>428514</v>
      </c>
      <c r="L12" s="240">
        <v>60</v>
      </c>
      <c r="M12" s="341">
        <f>I12*E12</f>
        <v>46664.600000000006</v>
      </c>
      <c r="N12" s="241">
        <f>+I12-M12</f>
        <v>419981.4</v>
      </c>
      <c r="P12" s="16">
        <f>L12*K12</f>
        <v>25710840</v>
      </c>
      <c r="Q12" s="366">
        <f>I12*J12</f>
        <v>13999380</v>
      </c>
      <c r="R12" s="366">
        <f>N12*J12</f>
        <v>12599442</v>
      </c>
      <c r="S12" s="366">
        <f>M12*0.7*15</f>
        <v>489978.30000000005</v>
      </c>
    </row>
    <row r="13" spans="1:30" x14ac:dyDescent="0.25">
      <c r="A13" s="35">
        <f>Inventories!B7</f>
        <v>0</v>
      </c>
      <c r="B13" s="239" t="s">
        <v>61</v>
      </c>
      <c r="C13" s="239" t="s">
        <v>427</v>
      </c>
      <c r="D13" s="261">
        <v>0.15</v>
      </c>
      <c r="E13" s="261">
        <v>0.05</v>
      </c>
      <c r="F13" s="261">
        <v>0.05</v>
      </c>
      <c r="G13" s="261">
        <v>0.05</v>
      </c>
      <c r="H13" s="341">
        <v>0</v>
      </c>
      <c r="I13" s="341">
        <f>+'Variety-wise details'!H36</f>
        <v>118504</v>
      </c>
      <c r="J13" s="240">
        <v>40</v>
      </c>
      <c r="K13" s="341">
        <f>+I13-M13</f>
        <v>112578.8</v>
      </c>
      <c r="L13" s="341">
        <v>60</v>
      </c>
      <c r="M13" s="341">
        <f>I13*E13</f>
        <v>5925.2000000000007</v>
      </c>
      <c r="N13" s="241"/>
      <c r="P13" s="16">
        <f>L13*K13</f>
        <v>6754728</v>
      </c>
      <c r="Q13" s="366">
        <f>I13*J13</f>
        <v>4740160</v>
      </c>
      <c r="R13" s="366">
        <f t="shared" si="3"/>
        <v>0</v>
      </c>
      <c r="S13" s="366">
        <f>M13*0.7*15</f>
        <v>62214.600000000006</v>
      </c>
    </row>
    <row r="14" spans="1:30" x14ac:dyDescent="0.25">
      <c r="A14" s="35">
        <f>Inventories!B8</f>
        <v>1</v>
      </c>
      <c r="B14" s="239" t="s">
        <v>62</v>
      </c>
      <c r="C14" s="239" t="s">
        <v>62</v>
      </c>
      <c r="D14" s="261">
        <v>0.1</v>
      </c>
      <c r="E14" s="261">
        <v>0.1</v>
      </c>
      <c r="F14" s="261">
        <v>0.05</v>
      </c>
      <c r="G14" s="261">
        <v>0.05</v>
      </c>
      <c r="H14" s="341">
        <f>+'Variety-wise details'!G46</f>
        <v>3798</v>
      </c>
      <c r="I14" s="341">
        <f>+'Variety-wise details'!H46</f>
        <v>7360</v>
      </c>
      <c r="J14" s="240">
        <v>80</v>
      </c>
      <c r="K14" s="341">
        <f>+H14</f>
        <v>3798</v>
      </c>
      <c r="L14" s="240">
        <v>130</v>
      </c>
      <c r="M14" s="341">
        <f>I14*E14</f>
        <v>736</v>
      </c>
      <c r="N14" s="241">
        <f>+I14-M14</f>
        <v>6624</v>
      </c>
      <c r="P14" s="16">
        <f>L14*K14</f>
        <v>493740</v>
      </c>
      <c r="Q14" s="366">
        <f>I14*J14</f>
        <v>588800</v>
      </c>
      <c r="R14" s="366">
        <f>N14*J14</f>
        <v>529920</v>
      </c>
      <c r="S14" s="366">
        <f>M14*0.7*15</f>
        <v>7727.9999999999991</v>
      </c>
    </row>
    <row r="15" spans="1:30" x14ac:dyDescent="0.25">
      <c r="A15" s="35"/>
      <c r="B15" s="239"/>
      <c r="C15" s="239"/>
      <c r="D15" s="261"/>
      <c r="E15" s="261"/>
      <c r="F15" s="261"/>
      <c r="G15" s="261"/>
      <c r="H15" s="240"/>
      <c r="I15" s="240"/>
      <c r="J15" s="240"/>
      <c r="K15" s="240"/>
      <c r="L15" s="240"/>
      <c r="M15" s="240"/>
      <c r="N15" s="241"/>
      <c r="P15" s="16"/>
      <c r="Q15" s="366"/>
      <c r="R15" s="366"/>
      <c r="S15" s="366"/>
    </row>
    <row r="16" spans="1:30" x14ac:dyDescent="0.25">
      <c r="A16" s="35"/>
      <c r="B16" s="239"/>
      <c r="C16" s="239"/>
      <c r="D16" s="261"/>
      <c r="E16" s="261"/>
      <c r="F16" s="261"/>
      <c r="G16" s="261"/>
      <c r="H16" s="240"/>
      <c r="I16" s="240"/>
      <c r="J16" s="240"/>
      <c r="K16" s="240"/>
      <c r="L16" s="240"/>
      <c r="M16" s="240"/>
      <c r="N16" s="241"/>
      <c r="P16" s="16"/>
      <c r="Q16" s="366"/>
      <c r="R16" s="366"/>
      <c r="S16" s="366"/>
    </row>
    <row r="17" spans="2:19" x14ac:dyDescent="0.25">
      <c r="B17" s="44" t="s">
        <v>54</v>
      </c>
      <c r="C17" s="25"/>
      <c r="D17" s="25"/>
      <c r="E17" s="25"/>
      <c r="F17" s="25"/>
      <c r="G17" s="25"/>
      <c r="H17" s="16">
        <f>SUM(H11:H16)</f>
        <v>432312</v>
      </c>
      <c r="I17" s="16">
        <f>SUM(I11:I16)</f>
        <v>1154834.56</v>
      </c>
      <c r="J17" s="43"/>
      <c r="K17" s="43"/>
      <c r="L17" s="43"/>
      <c r="M17" s="43"/>
      <c r="N17" s="56"/>
      <c r="P17" s="16">
        <f>SUM(P11:P16)</f>
        <v>53512270.667999998</v>
      </c>
      <c r="Q17" s="16">
        <f>SUM(Q11:Q16)</f>
        <v>31418318.039999999</v>
      </c>
      <c r="R17" s="16">
        <f>SUM(R11:R16)</f>
        <v>13129362</v>
      </c>
      <c r="S17" s="16">
        <f>SUM(S11:S16)</f>
        <v>1066013.004</v>
      </c>
    </row>
    <row r="18" spans="2:19" x14ac:dyDescent="0.25">
      <c r="C18" s="45"/>
      <c r="D18" s="45"/>
      <c r="E18" s="45"/>
      <c r="F18" s="45"/>
      <c r="G18" s="45"/>
      <c r="H18" s="46">
        <f>H12*J12+H14*J14</f>
        <v>13159260</v>
      </c>
      <c r="I18" s="46"/>
      <c r="J18" s="46"/>
      <c r="K18" s="46"/>
      <c r="L18" s="46"/>
      <c r="M18" s="46"/>
      <c r="N18" s="46"/>
      <c r="O18" s="1"/>
      <c r="P18" s="29">
        <f>SUM(P11:P14)</f>
        <v>53512270.667999998</v>
      </c>
      <c r="Q18" s="367">
        <f>+Q17</f>
        <v>31418318.039999999</v>
      </c>
      <c r="R18" s="367">
        <f>+R17</f>
        <v>13129362</v>
      </c>
      <c r="S18" s="367">
        <f>SUM(S11:S14)</f>
        <v>1066013.004</v>
      </c>
    </row>
    <row r="19" spans="2:19" x14ac:dyDescent="0.25">
      <c r="B19" s="47"/>
      <c r="C19" s="40"/>
      <c r="D19" s="40"/>
      <c r="E19" s="40"/>
      <c r="F19" s="40"/>
      <c r="G19" s="40"/>
      <c r="H19" s="35"/>
      <c r="I19" s="35"/>
      <c r="J19" s="35"/>
      <c r="K19" s="35"/>
      <c r="L19" s="35"/>
      <c r="M19" s="35"/>
      <c r="N19" s="57"/>
      <c r="Q19" s="362">
        <f>Q18-Q17</f>
        <v>0</v>
      </c>
      <c r="R19" s="362">
        <f>R18-R17</f>
        <v>0</v>
      </c>
    </row>
    <row r="20" spans="2:19" x14ac:dyDescent="0.25">
      <c r="B20" s="259" t="s">
        <v>63</v>
      </c>
      <c r="C20" s="259"/>
      <c r="D20" s="259"/>
      <c r="E20" s="259"/>
      <c r="F20" s="259"/>
      <c r="G20" s="259"/>
      <c r="H20" s="259"/>
      <c r="I20" s="259"/>
      <c r="J20" s="259"/>
      <c r="K20" s="259"/>
      <c r="L20" s="259"/>
      <c r="M20" s="259"/>
      <c r="N20" s="260"/>
      <c r="R20" s="362">
        <f>R19-Q19</f>
        <v>0</v>
      </c>
    </row>
    <row r="21" spans="2:19" x14ac:dyDescent="0.25">
      <c r="B21" s="48"/>
      <c r="C21" s="40"/>
      <c r="D21" s="40"/>
      <c r="E21" s="40"/>
      <c r="F21" s="35"/>
      <c r="G21" s="35"/>
      <c r="H21" s="35"/>
      <c r="I21" s="189" t="str">
        <f>CONCATENATE((RIGHT($C$4,4)),"  (",(RIGHT($D$4,4)),")")</f>
        <v>2074  (2017)</v>
      </c>
      <c r="J21" s="271"/>
    </row>
    <row r="22" spans="2:19" x14ac:dyDescent="0.25">
      <c r="B22" s="33" t="s">
        <v>64</v>
      </c>
      <c r="C22" s="41"/>
      <c r="D22" s="41" t="s">
        <v>263</v>
      </c>
      <c r="E22" s="41" t="s">
        <v>261</v>
      </c>
      <c r="F22" s="35" t="s">
        <v>262</v>
      </c>
      <c r="G22" s="97" t="s">
        <v>120</v>
      </c>
      <c r="I22" s="49"/>
      <c r="J22" s="49"/>
    </row>
    <row r="23" spans="2:19" x14ac:dyDescent="0.25">
      <c r="B23" s="30" t="s">
        <v>271</v>
      </c>
      <c r="C23" s="41"/>
      <c r="D23" s="294">
        <v>1</v>
      </c>
      <c r="E23" s="294"/>
      <c r="F23" s="278"/>
      <c r="G23" s="295">
        <v>0.1</v>
      </c>
      <c r="H23" s="35"/>
      <c r="I23" s="243">
        <v>0</v>
      </c>
      <c r="J23" s="49">
        <f t="shared" ref="J23:J35" si="4">+I23/$I$35</f>
        <v>0</v>
      </c>
    </row>
    <row r="24" spans="2:19" x14ac:dyDescent="0.25">
      <c r="B24" s="30" t="s">
        <v>272</v>
      </c>
      <c r="C24" s="42"/>
      <c r="D24" s="296">
        <v>1</v>
      </c>
      <c r="E24" s="296"/>
      <c r="F24" s="278"/>
      <c r="G24" s="295">
        <v>0.1</v>
      </c>
      <c r="H24" s="35"/>
      <c r="I24" s="243">
        <f>160000+239500</f>
        <v>399500</v>
      </c>
      <c r="J24" s="359">
        <f>+I24/$I$35</f>
        <v>4.0811173925756304E-2</v>
      </c>
    </row>
    <row r="25" spans="2:19" x14ac:dyDescent="0.25">
      <c r="B25" s="30" t="s">
        <v>273</v>
      </c>
      <c r="C25" s="42"/>
      <c r="D25" s="296">
        <v>4</v>
      </c>
      <c r="E25" s="296"/>
      <c r="F25" s="278"/>
      <c r="G25" s="295">
        <v>0.1</v>
      </c>
      <c r="H25" s="35"/>
      <c r="I25" s="408">
        <f>372000+460500</f>
        <v>832500</v>
      </c>
      <c r="J25" s="359">
        <f t="shared" si="4"/>
        <v>8.5044561434773777E-2</v>
      </c>
    </row>
    <row r="26" spans="2:19" x14ac:dyDescent="0.25">
      <c r="B26" s="30" t="s">
        <v>264</v>
      </c>
      <c r="C26" s="42"/>
      <c r="D26" s="296">
        <v>1</v>
      </c>
      <c r="E26" s="296"/>
      <c r="F26" s="278"/>
      <c r="G26" s="295">
        <v>0.1</v>
      </c>
      <c r="H26" s="35"/>
      <c r="I26" s="243">
        <v>195000</v>
      </c>
      <c r="J26" s="359">
        <f t="shared" si="4"/>
        <v>1.9920347723460522E-2</v>
      </c>
    </row>
    <row r="27" spans="2:19" x14ac:dyDescent="0.25">
      <c r="B27" s="30" t="s">
        <v>68</v>
      </c>
      <c r="C27" s="40"/>
      <c r="D27" s="40"/>
      <c r="E27" s="40"/>
      <c r="F27" s="35"/>
      <c r="G27" s="35" t="s">
        <v>121</v>
      </c>
      <c r="H27" s="35"/>
      <c r="I27" s="243">
        <v>1300000</v>
      </c>
      <c r="J27" s="359">
        <f t="shared" si="4"/>
        <v>0.13280231815640348</v>
      </c>
    </row>
    <row r="28" spans="2:19" x14ac:dyDescent="0.25">
      <c r="B28" s="30" t="s">
        <v>65</v>
      </c>
      <c r="C28" s="35"/>
      <c r="D28" s="35"/>
      <c r="E28" s="35"/>
      <c r="F28" s="35"/>
      <c r="G28" s="35" t="s">
        <v>121</v>
      </c>
      <c r="H28" s="35"/>
      <c r="I28" s="243">
        <f>4800+143660.75</f>
        <v>148460.75</v>
      </c>
      <c r="J28" s="359">
        <f t="shared" si="4"/>
        <v>1.5166101350183292E-2</v>
      </c>
    </row>
    <row r="29" spans="2:19" x14ac:dyDescent="0.25">
      <c r="B29" s="30" t="s">
        <v>400</v>
      </c>
      <c r="C29" s="35"/>
      <c r="D29" s="35"/>
      <c r="E29" s="35"/>
      <c r="F29" s="35"/>
      <c r="G29" s="35" t="s">
        <v>121</v>
      </c>
      <c r="H29" s="35"/>
      <c r="I29" s="371">
        <v>1500000</v>
      </c>
      <c r="J29" s="359">
        <f t="shared" si="4"/>
        <v>0.1532334440266194</v>
      </c>
    </row>
    <row r="30" spans="2:19" x14ac:dyDescent="0.25">
      <c r="B30" s="30" t="s">
        <v>291</v>
      </c>
      <c r="C30" s="35"/>
      <c r="D30" s="35"/>
      <c r="E30" s="35"/>
      <c r="F30" s="35"/>
      <c r="G30" s="35" t="s">
        <v>121</v>
      </c>
      <c r="H30" s="35"/>
      <c r="I30" s="243">
        <v>325153</v>
      </c>
      <c r="J30" s="359">
        <f t="shared" si="4"/>
        <v>3.3216209350391587E-2</v>
      </c>
    </row>
    <row r="31" spans="2:19" x14ac:dyDescent="0.25">
      <c r="B31" s="30" t="s">
        <v>441</v>
      </c>
      <c r="C31" s="35"/>
      <c r="D31" s="35"/>
      <c r="E31" s="35"/>
      <c r="F31" s="35"/>
      <c r="G31" s="35" t="s">
        <v>121</v>
      </c>
      <c r="H31" s="35"/>
      <c r="I31" s="243">
        <v>1400000</v>
      </c>
      <c r="J31" s="359">
        <f t="shared" si="4"/>
        <v>0.14301788109151145</v>
      </c>
    </row>
    <row r="32" spans="2:19" x14ac:dyDescent="0.25">
      <c r="B32" s="30" t="s">
        <v>265</v>
      </c>
      <c r="C32" s="35"/>
      <c r="D32" s="35"/>
      <c r="E32" s="35"/>
      <c r="F32" s="35"/>
      <c r="G32" s="35" t="s">
        <v>121</v>
      </c>
      <c r="H32" s="35"/>
      <c r="I32" s="243">
        <v>2691704</v>
      </c>
      <c r="J32" s="359">
        <f t="shared" si="4"/>
        <v>0.2749727161468184</v>
      </c>
    </row>
    <row r="33" spans="2:13" x14ac:dyDescent="0.25">
      <c r="B33" s="32" t="s">
        <v>266</v>
      </c>
      <c r="C33" s="35"/>
      <c r="D33" s="35"/>
      <c r="E33" s="35"/>
      <c r="F33" s="35"/>
      <c r="G33" s="35" t="s">
        <v>121</v>
      </c>
      <c r="H33" s="35"/>
      <c r="I33" s="243">
        <f>438035+61176+215800</f>
        <v>715011</v>
      </c>
      <c r="J33" s="359">
        <f t="shared" si="4"/>
        <v>7.304239869794478E-2</v>
      </c>
    </row>
    <row r="34" spans="2:13" x14ac:dyDescent="0.25">
      <c r="B34" s="30" t="s">
        <v>67</v>
      </c>
      <c r="C34" s="35"/>
      <c r="D34" s="35"/>
      <c r="E34" s="35"/>
      <c r="F34" s="35"/>
      <c r="G34" s="35" t="s">
        <v>121</v>
      </c>
      <c r="H34" s="35"/>
      <c r="I34" s="243">
        <f>125000+156657</f>
        <v>281657</v>
      </c>
      <c r="J34" s="359">
        <f t="shared" si="4"/>
        <v>2.8772848096137029E-2</v>
      </c>
    </row>
    <row r="35" spans="2:13" x14ac:dyDescent="0.25">
      <c r="B35" s="34" t="s">
        <v>69</v>
      </c>
      <c r="C35" s="50"/>
      <c r="D35" s="50"/>
      <c r="E35" s="50"/>
      <c r="F35" s="45"/>
      <c r="G35" s="45"/>
      <c r="H35" s="45"/>
      <c r="I35" s="51">
        <f>SUM(I23:I34)</f>
        <v>9788985.75</v>
      </c>
      <c r="J35" s="359">
        <f t="shared" si="4"/>
        <v>1</v>
      </c>
      <c r="L35" s="13"/>
    </row>
    <row r="36" spans="2:13" x14ac:dyDescent="0.25">
      <c r="B36" s="33" t="s">
        <v>42</v>
      </c>
      <c r="C36" s="25"/>
      <c r="D36" s="25"/>
      <c r="E36" s="25"/>
      <c r="F36" s="35"/>
      <c r="G36" s="35"/>
      <c r="H36" s="35"/>
      <c r="I36" s="49"/>
      <c r="J36" s="49"/>
    </row>
    <row r="37" spans="2:13" x14ac:dyDescent="0.25">
      <c r="D37" s="41" t="s">
        <v>263</v>
      </c>
      <c r="E37" s="41" t="s">
        <v>261</v>
      </c>
      <c r="F37" s="35" t="s">
        <v>262</v>
      </c>
      <c r="G37" s="256" t="s">
        <v>120</v>
      </c>
      <c r="I37" s="340" t="str">
        <f>I21</f>
        <v>2074  (2017)</v>
      </c>
      <c r="J37" s="35"/>
    </row>
    <row r="38" spans="2:13" x14ac:dyDescent="0.25">
      <c r="B38" s="30" t="s">
        <v>267</v>
      </c>
      <c r="C38" s="35"/>
      <c r="D38" s="278">
        <v>1</v>
      </c>
      <c r="E38" s="278">
        <v>15000</v>
      </c>
      <c r="F38" s="278">
        <v>13</v>
      </c>
      <c r="G38" s="295">
        <v>0.1</v>
      </c>
      <c r="H38" s="35"/>
      <c r="I38" s="243">
        <v>195000</v>
      </c>
      <c r="J38" s="49"/>
      <c r="M38" s="13"/>
    </row>
    <row r="39" spans="2:13" x14ac:dyDescent="0.25">
      <c r="B39" s="30" t="s">
        <v>268</v>
      </c>
      <c r="C39" s="35"/>
      <c r="D39" s="278">
        <v>1</v>
      </c>
      <c r="E39" s="278">
        <v>12000</v>
      </c>
      <c r="F39" s="278">
        <v>13</v>
      </c>
      <c r="G39" s="295">
        <v>0.1</v>
      </c>
      <c r="H39" s="35"/>
      <c r="I39" s="243">
        <v>156000</v>
      </c>
      <c r="J39" s="49"/>
    </row>
    <row r="40" spans="2:13" x14ac:dyDescent="0.25">
      <c r="B40" s="30" t="s">
        <v>269</v>
      </c>
      <c r="C40" s="35"/>
      <c r="D40" s="278">
        <v>1</v>
      </c>
      <c r="E40" s="278">
        <v>15000</v>
      </c>
      <c r="F40" s="278">
        <v>13</v>
      </c>
      <c r="G40" s="295">
        <v>0.1</v>
      </c>
      <c r="H40" s="35"/>
      <c r="I40" s="243">
        <v>195000</v>
      </c>
      <c r="J40" s="49"/>
    </row>
    <row r="41" spans="2:13" x14ac:dyDescent="0.25">
      <c r="B41" s="30" t="s">
        <v>288</v>
      </c>
      <c r="C41" s="35"/>
      <c r="D41" s="40"/>
      <c r="E41" s="40"/>
      <c r="F41" s="40"/>
      <c r="G41" s="242">
        <v>0.1</v>
      </c>
      <c r="H41" s="35"/>
      <c r="I41" s="243">
        <v>115200</v>
      </c>
      <c r="J41" s="49"/>
    </row>
    <row r="42" spans="2:13" x14ac:dyDescent="0.25">
      <c r="B42" s="30" t="s">
        <v>446</v>
      </c>
      <c r="C42" s="35"/>
      <c r="D42" s="40"/>
      <c r="E42" s="40"/>
      <c r="F42" s="40"/>
      <c r="G42" s="242">
        <v>0.1</v>
      </c>
      <c r="H42" s="35"/>
      <c r="I42" s="243">
        <v>500000</v>
      </c>
      <c r="J42" s="49"/>
    </row>
    <row r="43" spans="2:13" x14ac:dyDescent="0.25">
      <c r="B43" s="30" t="s">
        <v>292</v>
      </c>
      <c r="C43" s="35"/>
      <c r="D43" s="40"/>
      <c r="E43" s="40"/>
      <c r="F43" s="40"/>
      <c r="G43" s="242">
        <v>0.1</v>
      </c>
      <c r="H43" s="35"/>
      <c r="I43" s="243">
        <f>59835+5400</f>
        <v>65235</v>
      </c>
      <c r="J43" s="49"/>
    </row>
    <row r="44" spans="2:13" x14ac:dyDescent="0.25">
      <c r="B44" s="30" t="s">
        <v>289</v>
      </c>
      <c r="C44" s="35"/>
      <c r="D44" s="40"/>
      <c r="E44" s="40"/>
      <c r="F44" s="40"/>
      <c r="G44" s="242">
        <v>0.1</v>
      </c>
      <c r="H44" s="35"/>
      <c r="I44" s="243">
        <v>325400</v>
      </c>
      <c r="J44" s="49"/>
    </row>
    <row r="45" spans="2:13" x14ac:dyDescent="0.25">
      <c r="B45" s="30" t="s">
        <v>290</v>
      </c>
      <c r="C45" s="35"/>
      <c r="D45" s="40"/>
      <c r="E45" s="40"/>
      <c r="F45" s="40"/>
      <c r="G45" s="242">
        <v>0.2</v>
      </c>
      <c r="H45" s="35"/>
      <c r="I45" s="243">
        <v>40000</v>
      </c>
      <c r="J45" s="49"/>
    </row>
    <row r="46" spans="2:13" x14ac:dyDescent="0.25">
      <c r="B46" s="30" t="s">
        <v>293</v>
      </c>
      <c r="C46" s="35"/>
      <c r="D46" s="40"/>
      <c r="E46" s="40"/>
      <c r="F46" s="40"/>
      <c r="G46" s="242">
        <v>0.05</v>
      </c>
      <c r="H46" s="35"/>
      <c r="I46" s="408">
        <v>918050</v>
      </c>
      <c r="J46" s="49"/>
    </row>
    <row r="47" spans="2:13" x14ac:dyDescent="0.25">
      <c r="B47" s="30" t="s">
        <v>270</v>
      </c>
      <c r="C47" s="35"/>
      <c r="D47" s="35"/>
      <c r="E47" s="35"/>
      <c r="F47" s="35"/>
      <c r="G47" s="242">
        <v>0.1</v>
      </c>
      <c r="H47" s="35"/>
      <c r="I47" s="243">
        <v>175600</v>
      </c>
      <c r="J47" s="49"/>
    </row>
    <row r="48" spans="2:13" x14ac:dyDescent="0.25">
      <c r="B48" s="34" t="s">
        <v>69</v>
      </c>
      <c r="C48" s="45"/>
      <c r="D48" s="45"/>
      <c r="E48" s="45"/>
      <c r="F48" s="45"/>
      <c r="G48" s="45"/>
      <c r="H48" s="45"/>
      <c r="I48" s="51">
        <f>SUM(I38:I47)</f>
        <v>2685485</v>
      </c>
      <c r="J48" s="51"/>
      <c r="L48" s="13"/>
    </row>
    <row r="49" spans="2:19" x14ac:dyDescent="0.25">
      <c r="B49" s="33" t="s">
        <v>66</v>
      </c>
      <c r="C49" s="35"/>
      <c r="D49" s="266" t="s">
        <v>263</v>
      </c>
      <c r="E49" s="266" t="s">
        <v>261</v>
      </c>
      <c r="F49" s="256" t="s">
        <v>262</v>
      </c>
      <c r="G49" s="256" t="s">
        <v>120</v>
      </c>
      <c r="H49" s="35"/>
      <c r="I49" s="49"/>
      <c r="J49" s="49"/>
    </row>
    <row r="50" spans="2:19" x14ac:dyDescent="0.25">
      <c r="B50" s="30" t="s">
        <v>275</v>
      </c>
      <c r="C50" s="35"/>
      <c r="D50" s="294">
        <v>1</v>
      </c>
      <c r="E50" s="294">
        <v>40000</v>
      </c>
      <c r="F50" s="278">
        <v>12</v>
      </c>
      <c r="G50" s="295">
        <v>0.1</v>
      </c>
      <c r="H50" s="35"/>
      <c r="I50" s="243">
        <v>0</v>
      </c>
      <c r="J50" s="49"/>
      <c r="L50" s="13"/>
    </row>
    <row r="51" spans="2:19" x14ac:dyDescent="0.25">
      <c r="B51" s="34" t="s">
        <v>69</v>
      </c>
      <c r="C51" s="45"/>
      <c r="D51" s="45"/>
      <c r="E51" s="45"/>
      <c r="F51" s="45"/>
      <c r="G51" s="45"/>
      <c r="H51" s="45"/>
      <c r="I51" s="51">
        <f>SUM(I50:I50)</f>
        <v>0</v>
      </c>
      <c r="J51" s="51"/>
    </row>
    <row r="52" spans="2:19" s="23" customFormat="1" x14ac:dyDescent="0.25">
      <c r="B52" s="33"/>
      <c r="C52" s="40"/>
      <c r="D52" s="40"/>
      <c r="E52" s="40"/>
      <c r="F52" s="40"/>
      <c r="G52" s="40"/>
      <c r="H52" s="40"/>
      <c r="I52" s="40"/>
      <c r="J52" s="40"/>
      <c r="K52" s="40"/>
      <c r="L52" s="210"/>
      <c r="M52" s="210"/>
      <c r="N52" s="210"/>
      <c r="Q52" s="363"/>
      <c r="R52" s="363"/>
      <c r="S52" s="363"/>
    </row>
    <row r="53" spans="2:19" s="23" customFormat="1" x14ac:dyDescent="0.25">
      <c r="B53" s="277" t="s">
        <v>299</v>
      </c>
      <c r="C53" s="229"/>
      <c r="D53" s="40"/>
      <c r="E53" s="40"/>
      <c r="F53" s="40"/>
      <c r="G53" s="40"/>
      <c r="H53" s="40"/>
      <c r="I53" s="40"/>
      <c r="J53" s="40"/>
      <c r="K53" s="40"/>
      <c r="L53" s="210"/>
      <c r="M53" s="210"/>
      <c r="N53" s="210"/>
      <c r="Q53" s="363"/>
      <c r="R53" s="363"/>
      <c r="S53" s="363"/>
    </row>
    <row r="54" spans="2:19" s="23" customFormat="1" x14ac:dyDescent="0.25">
      <c r="B54" s="33" t="s">
        <v>73</v>
      </c>
      <c r="C54" s="40"/>
      <c r="D54" s="40"/>
      <c r="E54" s="40"/>
      <c r="F54" s="40"/>
      <c r="G54" s="40"/>
      <c r="H54" s="40"/>
      <c r="I54" s="40"/>
      <c r="J54" s="40"/>
      <c r="K54" s="40"/>
      <c r="L54" s="210"/>
      <c r="M54" s="210"/>
      <c r="N54" s="210"/>
      <c r="Q54" s="363"/>
      <c r="R54" s="363"/>
      <c r="S54" s="363"/>
    </row>
    <row r="55" spans="2:19" x14ac:dyDescent="0.25">
      <c r="B55" s="35" t="s">
        <v>153</v>
      </c>
      <c r="C55" s="247">
        <v>0.05</v>
      </c>
      <c r="D55" s="53"/>
      <c r="F55" s="75"/>
      <c r="G55" s="75"/>
      <c r="H55" s="75"/>
      <c r="I55" s="75"/>
      <c r="J55" s="35"/>
      <c r="N55" s="57"/>
    </row>
    <row r="56" spans="2:19" x14ac:dyDescent="0.25">
      <c r="B56" s="35" t="s">
        <v>179</v>
      </c>
      <c r="C56" s="248">
        <v>5</v>
      </c>
      <c r="D56" s="53"/>
      <c r="F56" s="75"/>
      <c r="G56" s="75"/>
      <c r="H56" s="75"/>
      <c r="I56" s="75"/>
      <c r="J56" s="35"/>
      <c r="N56" s="57"/>
    </row>
    <row r="57" spans="2:19" x14ac:dyDescent="0.25">
      <c r="B57" s="40" t="s">
        <v>180</v>
      </c>
      <c r="C57" s="248">
        <v>4</v>
      </c>
      <c r="D57" s="53"/>
      <c r="F57" s="75"/>
      <c r="G57" s="75"/>
      <c r="H57" s="75"/>
      <c r="I57" s="75"/>
      <c r="J57" s="35"/>
      <c r="N57" s="57"/>
    </row>
    <row r="58" spans="2:19" x14ac:dyDescent="0.25">
      <c r="B58" s="40" t="s">
        <v>181</v>
      </c>
      <c r="C58" s="249">
        <v>43313</v>
      </c>
      <c r="D58" s="462"/>
      <c r="F58" s="75"/>
      <c r="G58" s="75"/>
      <c r="H58" s="75"/>
      <c r="I58" s="75"/>
      <c r="J58" s="35"/>
      <c r="N58" s="57"/>
    </row>
    <row r="59" spans="2:19" x14ac:dyDescent="0.25">
      <c r="B59" s="40" t="s">
        <v>300</v>
      </c>
      <c r="C59" s="319">
        <v>20000000</v>
      </c>
      <c r="J59" s="35"/>
    </row>
    <row r="60" spans="2:19" x14ac:dyDescent="0.25">
      <c r="B60" s="40"/>
      <c r="C60" s="247"/>
      <c r="F60" s="40"/>
      <c r="G60" s="40"/>
      <c r="H60" s="40"/>
      <c r="I60" s="40"/>
      <c r="J60" s="35"/>
      <c r="N60" s="35"/>
    </row>
    <row r="61" spans="2:19" x14ac:dyDescent="0.25">
      <c r="B61" s="33" t="s">
        <v>74</v>
      </c>
      <c r="C61" s="247"/>
      <c r="F61" s="40"/>
      <c r="G61" s="40"/>
      <c r="H61" s="40"/>
      <c r="I61" s="40"/>
      <c r="N61" s="35"/>
    </row>
    <row r="62" spans="2:19" x14ac:dyDescent="0.25">
      <c r="B62" s="40" t="s">
        <v>152</v>
      </c>
      <c r="C62" s="247">
        <v>0.05</v>
      </c>
      <c r="F62" s="40"/>
      <c r="G62" s="40"/>
      <c r="H62" s="40"/>
      <c r="I62" s="40"/>
      <c r="N62" s="57"/>
    </row>
    <row r="63" spans="2:19" x14ac:dyDescent="0.25">
      <c r="B63" s="40" t="s">
        <v>181</v>
      </c>
      <c r="C63" s="249">
        <v>43191</v>
      </c>
      <c r="F63" s="40"/>
      <c r="G63" s="40"/>
      <c r="H63" s="40"/>
      <c r="I63" s="40"/>
      <c r="N63" s="35"/>
    </row>
    <row r="64" spans="2:19" x14ac:dyDescent="0.25">
      <c r="B64" s="40" t="s">
        <v>300</v>
      </c>
      <c r="C64" s="318">
        <v>30000000</v>
      </c>
      <c r="E64" s="13"/>
      <c r="F64" s="40"/>
      <c r="G64" s="40"/>
      <c r="H64" s="40"/>
      <c r="I64" s="40"/>
      <c r="N64" s="35"/>
    </row>
    <row r="65" spans="2:19" x14ac:dyDescent="0.25">
      <c r="B65" s="40"/>
      <c r="C65" s="247"/>
      <c r="F65" s="40"/>
      <c r="G65" s="40"/>
      <c r="H65" s="40"/>
      <c r="I65" s="40"/>
      <c r="N65" s="35"/>
    </row>
    <row r="66" spans="2:19" x14ac:dyDescent="0.25">
      <c r="B66" s="40"/>
      <c r="C66" s="247"/>
      <c r="F66" s="40"/>
      <c r="G66" s="40"/>
      <c r="H66" s="40"/>
      <c r="I66" s="40"/>
      <c r="N66" s="35"/>
    </row>
    <row r="67" spans="2:19" x14ac:dyDescent="0.25">
      <c r="B67" s="34"/>
      <c r="C67" s="45"/>
      <c r="D67" s="45"/>
      <c r="E67" s="45"/>
      <c r="F67" s="45"/>
      <c r="G67" s="45"/>
      <c r="H67" s="45"/>
      <c r="I67" s="45"/>
      <c r="J67" s="45"/>
      <c r="K67" s="45"/>
      <c r="L67" s="51"/>
      <c r="M67" s="51"/>
      <c r="N67" s="51"/>
    </row>
    <row r="68" spans="2:19" x14ac:dyDescent="0.25">
      <c r="B68" s="31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57"/>
    </row>
    <row r="69" spans="2:19" x14ac:dyDescent="0.25">
      <c r="B69" s="259" t="s">
        <v>71</v>
      </c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60"/>
    </row>
    <row r="70" spans="2:19" s="23" customFormat="1" x14ac:dyDescent="0.25">
      <c r="B70" s="52"/>
      <c r="C70" s="468" t="s">
        <v>3</v>
      </c>
      <c r="D70" s="468"/>
      <c r="E70" s="476" t="s">
        <v>2</v>
      </c>
      <c r="F70" s="476"/>
      <c r="G70" s="476"/>
      <c r="H70" s="476"/>
      <c r="I70" s="476"/>
      <c r="N70" s="59"/>
      <c r="Q70" s="363"/>
      <c r="R70" s="363"/>
      <c r="S70" s="363"/>
    </row>
    <row r="71" spans="2:19" x14ac:dyDescent="0.25">
      <c r="B71" s="35"/>
      <c r="C71" s="189" t="str">
        <f>LEFT($C$4,4)</f>
        <v>2073</v>
      </c>
      <c r="D71" s="189" t="str">
        <f>'Balance Sheet'!D7</f>
        <v>2074  (2017)</v>
      </c>
      <c r="E71" s="189" t="str">
        <f>'Balance Sheet'!E7</f>
        <v>2075  (2018)</v>
      </c>
      <c r="F71" s="189" t="str">
        <f>'Balance Sheet'!F7</f>
        <v>2076  (2019)</v>
      </c>
      <c r="G71" s="189" t="str">
        <f>'Balance Sheet'!G7</f>
        <v>2077  (2020)</v>
      </c>
      <c r="H71" s="189" t="str">
        <f>'Balance Sheet'!H7</f>
        <v>2078  (2021)</v>
      </c>
      <c r="I71" s="189" t="str">
        <f>'Balance Sheet'!I7</f>
        <v>2079  (2022)</v>
      </c>
      <c r="N71" s="57"/>
    </row>
    <row r="72" spans="2:19" x14ac:dyDescent="0.25">
      <c r="E72" s="53"/>
      <c r="F72" s="53"/>
      <c r="G72" s="53"/>
      <c r="H72" s="53"/>
      <c r="I72" s="53"/>
      <c r="N72" s="57"/>
    </row>
    <row r="73" spans="2:19" x14ac:dyDescent="0.25">
      <c r="B73" s="35" t="s">
        <v>72</v>
      </c>
      <c r="C73" s="244">
        <v>10000000</v>
      </c>
      <c r="D73" s="245">
        <v>10000000</v>
      </c>
      <c r="E73" s="246">
        <f>+D73</f>
        <v>10000000</v>
      </c>
      <c r="F73" s="246">
        <f>E73</f>
        <v>10000000</v>
      </c>
      <c r="G73" s="246">
        <f>F73</f>
        <v>10000000</v>
      </c>
      <c r="H73" s="246">
        <f>G73</f>
        <v>10000000</v>
      </c>
      <c r="I73" s="246">
        <f>+H73</f>
        <v>10000000</v>
      </c>
      <c r="J73" t="s">
        <v>301</v>
      </c>
      <c r="N73" s="57"/>
    </row>
    <row r="74" spans="2:19" x14ac:dyDescent="0.25">
      <c r="B74" s="40" t="s">
        <v>73</v>
      </c>
      <c r="C74" s="244">
        <f>6990703.89+80729.24</f>
        <v>7071433.1299999999</v>
      </c>
      <c r="D74" s="245">
        <f>5730389.31+2182864.63</f>
        <v>7913253.9399999995</v>
      </c>
      <c r="E74" s="248">
        <f>+D74</f>
        <v>7913253.9399999995</v>
      </c>
      <c r="F74" s="280"/>
      <c r="G74" s="280">
        <v>0</v>
      </c>
      <c r="H74" s="280">
        <v>0</v>
      </c>
      <c r="I74" s="280"/>
      <c r="J74" t="s">
        <v>302</v>
      </c>
      <c r="N74" s="57"/>
    </row>
    <row r="75" spans="2:19" x14ac:dyDescent="0.25">
      <c r="B75" s="35" t="s">
        <v>75</v>
      </c>
      <c r="C75" s="244">
        <v>0</v>
      </c>
      <c r="D75" s="245">
        <v>0</v>
      </c>
      <c r="E75" s="40"/>
      <c r="F75" s="40"/>
      <c r="G75" s="40"/>
      <c r="H75" s="40"/>
      <c r="I75" s="40"/>
      <c r="N75" s="57"/>
    </row>
    <row r="76" spans="2:19" x14ac:dyDescent="0.25">
      <c r="B76" s="35" t="s">
        <v>74</v>
      </c>
      <c r="C76" s="244">
        <v>13392446.33</v>
      </c>
      <c r="D76" s="245">
        <v>13666741.640000001</v>
      </c>
      <c r="E76" s="248">
        <f>D76</f>
        <v>13666741.640000001</v>
      </c>
      <c r="F76" s="248">
        <f>E76</f>
        <v>13666741.640000001</v>
      </c>
      <c r="G76" s="248">
        <f>F76</f>
        <v>13666741.640000001</v>
      </c>
      <c r="H76" s="248">
        <f>G76</f>
        <v>13666741.640000001</v>
      </c>
      <c r="I76" s="248">
        <f>H76</f>
        <v>13666741.640000001</v>
      </c>
      <c r="J76" t="s">
        <v>302</v>
      </c>
      <c r="N76" s="57"/>
    </row>
    <row r="77" spans="2:19" x14ac:dyDescent="0.25">
      <c r="B77" s="35" t="s">
        <v>286</v>
      </c>
      <c r="C77" s="244">
        <v>590261.75</v>
      </c>
      <c r="D77" s="245">
        <v>1706583</v>
      </c>
      <c r="E77" s="40"/>
      <c r="F77" s="40"/>
      <c r="G77" s="40"/>
      <c r="H77" s="40"/>
      <c r="I77" s="40"/>
      <c r="N77" s="57"/>
    </row>
    <row r="78" spans="2:19" x14ac:dyDescent="0.25">
      <c r="B78" s="35" t="s">
        <v>76</v>
      </c>
      <c r="C78" s="244"/>
      <c r="D78" s="245"/>
      <c r="E78" s="40"/>
      <c r="F78" s="40"/>
      <c r="G78" s="40"/>
      <c r="H78" s="40"/>
      <c r="I78" s="40"/>
      <c r="N78" s="57"/>
    </row>
    <row r="79" spans="2:19" x14ac:dyDescent="0.25">
      <c r="B79" s="35" t="s">
        <v>77</v>
      </c>
      <c r="C79" s="244">
        <v>0</v>
      </c>
      <c r="D79" s="245">
        <v>0</v>
      </c>
      <c r="E79" s="40"/>
      <c r="F79" s="40"/>
      <c r="G79" s="40"/>
      <c r="H79" s="40"/>
      <c r="I79" s="40"/>
      <c r="N79" s="57"/>
    </row>
    <row r="80" spans="2:19" x14ac:dyDescent="0.25">
      <c r="B80" s="40" t="s">
        <v>78</v>
      </c>
      <c r="C80" s="244">
        <v>4784099.9000000004</v>
      </c>
      <c r="D80" s="245">
        <v>833352.87</v>
      </c>
      <c r="E80" s="40"/>
      <c r="F80" s="40"/>
      <c r="G80" s="40"/>
      <c r="H80" s="40"/>
      <c r="I80" s="40"/>
      <c r="N80" s="136"/>
    </row>
    <row r="81" spans="2:14" x14ac:dyDescent="0.25">
      <c r="B81" s="35" t="s">
        <v>79</v>
      </c>
      <c r="C81" s="244">
        <v>91302.75</v>
      </c>
      <c r="D81" s="245">
        <v>150000</v>
      </c>
      <c r="E81" s="40"/>
      <c r="F81" s="40"/>
      <c r="G81" s="40"/>
      <c r="H81" s="40"/>
      <c r="I81" s="40"/>
      <c r="N81" s="57"/>
    </row>
    <row r="82" spans="2:14" x14ac:dyDescent="0.25">
      <c r="B82" s="35" t="s">
        <v>80</v>
      </c>
      <c r="C82" s="244">
        <v>6537100</v>
      </c>
      <c r="D82" s="245">
        <v>4285200</v>
      </c>
      <c r="E82" s="40"/>
      <c r="F82" s="40"/>
      <c r="G82" s="40"/>
      <c r="H82" s="40"/>
      <c r="I82" s="40"/>
      <c r="N82" s="57"/>
    </row>
    <row r="83" spans="2:14" x14ac:dyDescent="0.25">
      <c r="B83" s="40" t="s">
        <v>189</v>
      </c>
      <c r="C83" s="244">
        <v>0</v>
      </c>
      <c r="D83" s="245">
        <v>0</v>
      </c>
      <c r="E83" s="40"/>
      <c r="F83" s="40"/>
      <c r="G83" s="40"/>
      <c r="H83" s="40"/>
      <c r="I83" s="40"/>
      <c r="N83" s="57"/>
    </row>
    <row r="84" spans="2:14" x14ac:dyDescent="0.25">
      <c r="B84" s="40" t="s">
        <v>188</v>
      </c>
      <c r="C84" s="250">
        <v>10369136.199999999</v>
      </c>
      <c r="D84" s="245">
        <v>12758649</v>
      </c>
      <c r="E84" s="35"/>
      <c r="F84" s="35"/>
      <c r="G84" s="35"/>
      <c r="H84" s="35"/>
      <c r="I84" s="35"/>
      <c r="N84" s="57"/>
    </row>
    <row r="85" spans="2:14" x14ac:dyDescent="0.25">
      <c r="B85" s="40" t="s">
        <v>192</v>
      </c>
      <c r="C85" s="250">
        <v>11490620.66</v>
      </c>
      <c r="D85" s="245">
        <f>+R17</f>
        <v>13129362</v>
      </c>
      <c r="E85" s="35"/>
      <c r="F85" s="35"/>
      <c r="G85" s="35"/>
      <c r="H85" s="35"/>
      <c r="I85" s="35"/>
      <c r="N85" s="57"/>
    </row>
    <row r="86" spans="2:14" x14ac:dyDescent="0.25">
      <c r="B86" s="40" t="s">
        <v>448</v>
      </c>
      <c r="C86" s="250"/>
      <c r="D86" s="245">
        <f>+S17</f>
        <v>1066013.004</v>
      </c>
      <c r="E86" s="35"/>
      <c r="F86" s="35"/>
      <c r="G86" s="35"/>
      <c r="H86" s="35"/>
      <c r="I86" s="35"/>
      <c r="N86" s="57"/>
    </row>
    <row r="87" spans="2:14" x14ac:dyDescent="0.25">
      <c r="B87" s="40" t="s">
        <v>287</v>
      </c>
      <c r="C87" s="281"/>
      <c r="D87" s="245">
        <v>3929308</v>
      </c>
      <c r="E87" s="35"/>
      <c r="F87" s="35"/>
      <c r="G87" s="35"/>
      <c r="H87" s="35"/>
      <c r="I87" s="35"/>
      <c r="N87" s="57"/>
    </row>
    <row r="88" spans="2:14" x14ac:dyDescent="0.25">
      <c r="B88" s="40" t="s">
        <v>294</v>
      </c>
      <c r="C88" s="281"/>
      <c r="D88" s="245">
        <v>2903961.5</v>
      </c>
      <c r="E88" s="35"/>
      <c r="F88" s="35"/>
      <c r="G88" s="35"/>
      <c r="H88" s="35"/>
      <c r="I88" s="35"/>
      <c r="N88" s="57"/>
    </row>
    <row r="89" spans="2:14" x14ac:dyDescent="0.25">
      <c r="B89" s="40" t="s">
        <v>296</v>
      </c>
      <c r="C89" s="281"/>
      <c r="D89" s="245">
        <v>-114825.25</v>
      </c>
      <c r="E89" s="35"/>
      <c r="F89" s="35"/>
      <c r="G89" s="35"/>
      <c r="H89" s="35"/>
      <c r="I89" s="35"/>
      <c r="N89" s="57"/>
    </row>
    <row r="90" spans="2:14" x14ac:dyDescent="0.25">
      <c r="B90" s="40" t="s">
        <v>191</v>
      </c>
      <c r="C90" s="282">
        <v>0</v>
      </c>
      <c r="D90" s="245">
        <v>477902</v>
      </c>
      <c r="E90" s="35"/>
      <c r="F90" s="35"/>
      <c r="G90" s="35"/>
      <c r="H90" s="35"/>
      <c r="I90" s="35"/>
      <c r="N90" s="57"/>
    </row>
    <row r="91" spans="2:14" x14ac:dyDescent="0.25">
      <c r="B91" s="30" t="s">
        <v>190</v>
      </c>
      <c r="C91" s="251">
        <v>1438555.51</v>
      </c>
      <c r="D91" s="243">
        <v>2015969.3</v>
      </c>
      <c r="E91" s="283">
        <v>0</v>
      </c>
      <c r="F91" s="283">
        <v>0</v>
      </c>
      <c r="G91" s="283">
        <v>0</v>
      </c>
      <c r="H91" s="283">
        <v>0</v>
      </c>
      <c r="I91" s="283">
        <v>0</v>
      </c>
      <c r="J91" t="s">
        <v>305</v>
      </c>
      <c r="N91" s="58"/>
    </row>
    <row r="92" spans="2:14" x14ac:dyDescent="0.25">
      <c r="B92" s="259" t="s">
        <v>95</v>
      </c>
      <c r="C92" s="259"/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60"/>
    </row>
    <row r="93" spans="2:14" x14ac:dyDescent="0.25">
      <c r="B93" s="35"/>
      <c r="C93" s="35"/>
      <c r="D93" s="35"/>
      <c r="E93" s="476" t="s">
        <v>2</v>
      </c>
      <c r="F93" s="476"/>
      <c r="G93" s="476"/>
      <c r="H93" s="476"/>
      <c r="I93" s="476"/>
    </row>
    <row r="94" spans="2:14" x14ac:dyDescent="0.25">
      <c r="B94" s="35"/>
      <c r="C94" s="39" t="s">
        <v>97</v>
      </c>
      <c r="D94" s="39" t="s">
        <v>88</v>
      </c>
      <c r="E94" s="39" t="str">
        <f>E71</f>
        <v>2075  (2018)</v>
      </c>
      <c r="F94" s="308" t="str">
        <f>F71</f>
        <v>2076  (2019)</v>
      </c>
      <c r="G94" s="308" t="str">
        <f>G71</f>
        <v>2077  (2020)</v>
      </c>
      <c r="H94" s="308" t="str">
        <f>H71</f>
        <v>2078  (2021)</v>
      </c>
      <c r="I94" s="308" t="str">
        <f>I71</f>
        <v>2079  (2022)</v>
      </c>
      <c r="J94" s="272" t="s">
        <v>54</v>
      </c>
      <c r="K94" s="477" t="s">
        <v>303</v>
      </c>
      <c r="L94" s="478"/>
    </row>
    <row r="95" spans="2:14" x14ac:dyDescent="0.25">
      <c r="B95" s="35" t="s">
        <v>96</v>
      </c>
      <c r="C95" s="35"/>
      <c r="D95" s="35"/>
      <c r="E95" s="35"/>
      <c r="F95" s="35"/>
      <c r="G95" s="35"/>
      <c r="H95" s="35"/>
      <c r="I95" s="35"/>
      <c r="J95" s="61">
        <f>SUM(E95:I95)</f>
        <v>0</v>
      </c>
      <c r="K95" s="477"/>
      <c r="L95" s="478"/>
    </row>
    <row r="96" spans="2:14" x14ac:dyDescent="0.25">
      <c r="B96" s="36" t="s">
        <v>89</v>
      </c>
      <c r="C96" s="35" t="s">
        <v>471</v>
      </c>
      <c r="D96" s="35"/>
      <c r="E96" s="248">
        <v>20000000</v>
      </c>
      <c r="F96" s="248"/>
      <c r="G96" s="248"/>
      <c r="H96" s="248"/>
      <c r="I96" s="248"/>
      <c r="J96" s="62">
        <f t="shared" ref="J96:J105" si="5">SUM(E96:I96)</f>
        <v>20000000</v>
      </c>
      <c r="K96" s="477"/>
      <c r="L96" s="478"/>
    </row>
    <row r="97" spans="2:14" x14ac:dyDescent="0.25">
      <c r="B97" s="36" t="s">
        <v>90</v>
      </c>
      <c r="C97" s="35" t="s">
        <v>472</v>
      </c>
      <c r="D97" s="35"/>
      <c r="E97" s="248">
        <v>10000000</v>
      </c>
      <c r="F97" s="248">
        <v>1500000</v>
      </c>
      <c r="G97" s="248"/>
      <c r="H97" s="248"/>
      <c r="I97" s="248"/>
      <c r="J97" s="62">
        <f t="shared" si="5"/>
        <v>11500000</v>
      </c>
      <c r="K97" s="477"/>
      <c r="L97" s="478"/>
    </row>
    <row r="98" spans="2:14" x14ac:dyDescent="0.25">
      <c r="B98" s="36" t="s">
        <v>83</v>
      </c>
      <c r="C98" s="40" t="s">
        <v>473</v>
      </c>
      <c r="D98" s="35"/>
      <c r="E98" s="248">
        <v>1000000</v>
      </c>
      <c r="F98" s="248">
        <v>100000</v>
      </c>
      <c r="G98" s="248">
        <v>100000</v>
      </c>
      <c r="H98" s="248"/>
      <c r="I98" s="248"/>
      <c r="J98" s="62"/>
      <c r="K98" s="477"/>
      <c r="L98" s="478"/>
    </row>
    <row r="99" spans="2:14" x14ac:dyDescent="0.25">
      <c r="B99" s="36" t="s">
        <v>107</v>
      </c>
      <c r="C99" s="40" t="s">
        <v>474</v>
      </c>
      <c r="D99" s="35"/>
      <c r="E99" s="248">
        <v>500000</v>
      </c>
      <c r="F99" s="248">
        <v>100000</v>
      </c>
      <c r="G99" s="248">
        <v>100000</v>
      </c>
      <c r="H99" s="248"/>
      <c r="I99" s="248"/>
      <c r="J99" s="62">
        <f t="shared" si="5"/>
        <v>700000</v>
      </c>
      <c r="K99" s="477"/>
      <c r="L99" s="478"/>
    </row>
    <row r="100" spans="2:14" x14ac:dyDescent="0.25">
      <c r="B100" s="36" t="s">
        <v>85</v>
      </c>
      <c r="C100" s="40" t="s">
        <v>475</v>
      </c>
      <c r="D100" s="35"/>
      <c r="E100" s="248"/>
      <c r="F100" s="248">
        <v>3500000</v>
      </c>
      <c r="G100" s="248">
        <v>4000000</v>
      </c>
      <c r="H100" s="248"/>
      <c r="I100" s="248"/>
      <c r="J100" s="62">
        <f t="shared" si="5"/>
        <v>7500000</v>
      </c>
      <c r="K100" s="477"/>
      <c r="L100" s="478"/>
    </row>
    <row r="101" spans="2:14" x14ac:dyDescent="0.25">
      <c r="B101" s="36" t="s">
        <v>91</v>
      </c>
      <c r="C101" s="40" t="s">
        <v>476</v>
      </c>
      <c r="D101" s="35"/>
      <c r="E101" s="248">
        <v>200000</v>
      </c>
      <c r="F101" s="248">
        <v>200000</v>
      </c>
      <c r="G101" s="248">
        <v>250000</v>
      </c>
      <c r="H101" s="248"/>
      <c r="I101" s="248"/>
      <c r="J101" s="62">
        <f t="shared" si="5"/>
        <v>650000</v>
      </c>
      <c r="K101" s="477"/>
      <c r="L101" s="478"/>
    </row>
    <row r="102" spans="2:14" hidden="1" x14ac:dyDescent="0.25">
      <c r="B102" s="36"/>
      <c r="C102" s="35"/>
      <c r="D102" s="35"/>
      <c r="E102" s="62"/>
      <c r="F102" s="62"/>
      <c r="G102" s="62"/>
      <c r="H102" s="62"/>
      <c r="I102" s="62"/>
      <c r="J102" s="62"/>
    </row>
    <row r="103" spans="2:14" hidden="1" x14ac:dyDescent="0.25">
      <c r="B103" s="37" t="s">
        <v>92</v>
      </c>
      <c r="C103" s="35"/>
      <c r="D103" s="35"/>
      <c r="E103" s="62"/>
      <c r="F103" s="62"/>
      <c r="G103" s="62"/>
      <c r="H103" s="62"/>
      <c r="I103" s="62"/>
      <c r="J103" s="62">
        <f t="shared" si="5"/>
        <v>0</v>
      </c>
    </row>
    <row r="104" spans="2:14" hidden="1" x14ac:dyDescent="0.25">
      <c r="B104" s="37" t="s">
        <v>93</v>
      </c>
      <c r="C104" s="35"/>
      <c r="D104" s="35"/>
      <c r="E104" s="62"/>
      <c r="F104" s="62"/>
      <c r="G104" s="62"/>
      <c r="H104" s="62"/>
      <c r="I104" s="62"/>
      <c r="J104" s="62">
        <f t="shared" si="5"/>
        <v>0</v>
      </c>
    </row>
    <row r="105" spans="2:14" hidden="1" x14ac:dyDescent="0.25">
      <c r="B105" s="37" t="s">
        <v>94</v>
      </c>
      <c r="C105" s="35"/>
      <c r="D105" s="35"/>
      <c r="E105" s="62"/>
      <c r="F105" s="62"/>
      <c r="G105" s="62"/>
      <c r="H105" s="62"/>
      <c r="I105" s="62"/>
      <c r="J105" s="62">
        <f t="shared" si="5"/>
        <v>0</v>
      </c>
    </row>
    <row r="106" spans="2:14" x14ac:dyDescent="0.25">
      <c r="B106" s="35"/>
      <c r="C106" s="35"/>
      <c r="D106" s="35"/>
      <c r="E106" s="62"/>
      <c r="F106" s="62"/>
      <c r="G106" s="62"/>
      <c r="H106" s="62"/>
      <c r="I106" s="62"/>
      <c r="J106" s="62"/>
    </row>
    <row r="107" spans="2:14" x14ac:dyDescent="0.25">
      <c r="B107" s="35" t="s">
        <v>151</v>
      </c>
      <c r="C107" s="35"/>
      <c r="D107" s="35"/>
      <c r="E107" s="62">
        <f>$C$59-SUM(E96:E101)</f>
        <v>-11700000</v>
      </c>
      <c r="F107" s="62">
        <f>F74+E107-SUM(F96:F101)</f>
        <v>-17100000</v>
      </c>
      <c r="G107" s="62">
        <f>G74+F107-SUM(G96:G101)</f>
        <v>-21550000</v>
      </c>
      <c r="H107" s="62">
        <f>H74+G107-SUM(H96:H101)</f>
        <v>-21550000</v>
      </c>
      <c r="I107" s="62">
        <f>I74+H107-SUM(I96:I101)</f>
        <v>-21550000</v>
      </c>
      <c r="J107" s="62"/>
      <c r="K107" t="s">
        <v>304</v>
      </c>
    </row>
    <row r="108" spans="2:14" x14ac:dyDescent="0.25"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2:14" x14ac:dyDescent="0.25">
      <c r="N109" s="57"/>
    </row>
    <row r="110" spans="2:14" x14ac:dyDescent="0.25">
      <c r="N110" s="57"/>
    </row>
    <row r="111" spans="2:14" x14ac:dyDescent="0.25">
      <c r="N111" s="57"/>
    </row>
    <row r="112" spans="2:14" x14ac:dyDescent="0.25">
      <c r="N112" s="57"/>
    </row>
    <row r="113" spans="14:14" x14ac:dyDescent="0.25">
      <c r="N113" s="57"/>
    </row>
    <row r="114" spans="14:14" x14ac:dyDescent="0.25">
      <c r="N114" s="57"/>
    </row>
    <row r="115" spans="14:14" x14ac:dyDescent="0.25">
      <c r="N115" s="57"/>
    </row>
    <row r="116" spans="14:14" x14ac:dyDescent="0.25">
      <c r="N116" s="57"/>
    </row>
    <row r="117" spans="14:14" x14ac:dyDescent="0.25">
      <c r="N117" s="57"/>
    </row>
    <row r="118" spans="14:14" x14ac:dyDescent="0.25">
      <c r="N118" s="57"/>
    </row>
    <row r="119" spans="14:14" x14ac:dyDescent="0.25">
      <c r="N119" s="57"/>
    </row>
    <row r="120" spans="14:14" x14ac:dyDescent="0.25">
      <c r="N120" s="57"/>
    </row>
    <row r="121" spans="14:14" x14ac:dyDescent="0.25">
      <c r="N121" s="57"/>
    </row>
    <row r="122" spans="14:14" x14ac:dyDescent="0.25">
      <c r="N122" s="57"/>
    </row>
    <row r="123" spans="14:14" x14ac:dyDescent="0.25">
      <c r="N123" s="57"/>
    </row>
    <row r="124" spans="14:14" x14ac:dyDescent="0.25">
      <c r="N124" s="57"/>
    </row>
    <row r="125" spans="14:14" x14ac:dyDescent="0.25">
      <c r="N125" s="57"/>
    </row>
    <row r="126" spans="14:14" x14ac:dyDescent="0.25">
      <c r="N126" s="57"/>
    </row>
    <row r="127" spans="14:14" x14ac:dyDescent="0.25">
      <c r="N127" s="57"/>
    </row>
    <row r="128" spans="14:14" x14ac:dyDescent="0.25">
      <c r="N128" s="57"/>
    </row>
  </sheetData>
  <sheetProtection selectLockedCells="1"/>
  <mergeCells count="7">
    <mergeCell ref="K94:L101"/>
    <mergeCell ref="D9:E9"/>
    <mergeCell ref="B1:N1"/>
    <mergeCell ref="B10:C10"/>
    <mergeCell ref="E93:I93"/>
    <mergeCell ref="C70:D70"/>
    <mergeCell ref="E70:I7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8"/>
  <sheetViews>
    <sheetView view="pageBreakPreview" topLeftCell="A23" zoomScaleNormal="100" zoomScaleSheetLayoutView="100" workbookViewId="0">
      <selection activeCell="B49" sqref="B49"/>
    </sheetView>
  </sheetViews>
  <sheetFormatPr defaultRowHeight="15" x14ac:dyDescent="0.25"/>
  <cols>
    <col min="1" max="1" width="2.85546875" customWidth="1"/>
    <col min="2" max="2" width="44.42578125" customWidth="1"/>
    <col min="3" max="3" width="14.42578125" hidden="1" customWidth="1"/>
    <col min="4" max="7" width="15.5703125" bestFit="1" customWidth="1"/>
    <col min="8" max="8" width="16.5703125" bestFit="1" customWidth="1"/>
    <col min="9" max="9" width="15.28515625" customWidth="1"/>
    <col min="10" max="10" width="11.5703125" bestFit="1" customWidth="1"/>
  </cols>
  <sheetData>
    <row r="1" spans="1:10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1:10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1:10" x14ac:dyDescent="0.25">
      <c r="A3" s="482" t="s">
        <v>377</v>
      </c>
      <c r="B3" s="482"/>
      <c r="C3" s="482"/>
      <c r="D3" s="482"/>
      <c r="E3" s="482"/>
      <c r="F3" s="482"/>
      <c r="G3" s="482"/>
      <c r="H3" s="482"/>
      <c r="I3" s="482"/>
    </row>
    <row r="4" spans="1:10" x14ac:dyDescent="0.25">
      <c r="B4" s="482" t="str">
        <f>CONCATENATE("Projection on the basis of FY ",'General details'!C4)</f>
        <v>Projection on the basis of FY 2073-2074</v>
      </c>
      <c r="C4" s="482"/>
      <c r="D4" s="482"/>
      <c r="E4" s="482"/>
      <c r="F4" s="482"/>
      <c r="G4" s="482"/>
      <c r="H4" s="482"/>
      <c r="I4" s="482"/>
    </row>
    <row r="6" spans="1:10" x14ac:dyDescent="0.25">
      <c r="C6" s="483" t="s">
        <v>3</v>
      </c>
      <c r="D6" s="483"/>
      <c r="E6" s="481" t="s">
        <v>2</v>
      </c>
      <c r="F6" s="481"/>
      <c r="G6" s="481"/>
      <c r="H6" s="481"/>
      <c r="I6" s="481"/>
    </row>
    <row r="7" spans="1:10" x14ac:dyDescent="0.25">
      <c r="A7" s="4" t="s">
        <v>1</v>
      </c>
      <c r="C7" s="3">
        <f>RIGHT(B4,4)-1</f>
        <v>2073</v>
      </c>
      <c r="D7" s="189" t="str">
        <f>CONCATENATE((RIGHT('General details'!$C$4,4)),"  (",(RIGHT('General details'!$D$4,4)),")")</f>
        <v>2074  (2017)</v>
      </c>
      <c r="E7" s="189" t="str">
        <f>CONCATENATE((RIGHT('General details'!$C$4,4)+1),"  (",(RIGHT('General details'!$D$4,4)+1),")")</f>
        <v>2075  (2018)</v>
      </c>
      <c r="F7" s="189" t="str">
        <f>CONCATENATE((RIGHT('General details'!$C$4,4)+2),"  (",(RIGHT('General details'!$D$4,4)+2),")")</f>
        <v>2076  (2019)</v>
      </c>
      <c r="G7" s="189" t="str">
        <f>CONCATENATE((RIGHT('General details'!$C$4,4)+3),"  (",(RIGHT('General details'!$D$4,4)+3),")")</f>
        <v>2077  (2020)</v>
      </c>
      <c r="H7" s="189" t="str">
        <f>CONCATENATE((RIGHT('General details'!$C$4,4)+4),"  (",(RIGHT('General details'!$D$4,4)+4),")")</f>
        <v>2078  (2021)</v>
      </c>
      <c r="I7" s="189" t="str">
        <f>CONCATENATE((RIGHT('General details'!$C$4,4)+5),"  (",(RIGHT('General details'!$D$4,4)+5),")")</f>
        <v>2079  (2022)</v>
      </c>
    </row>
    <row r="8" spans="1:10" ht="3.75" customHeight="1" x14ac:dyDescent="0.25">
      <c r="A8" s="2"/>
      <c r="C8" s="3"/>
      <c r="D8" s="3"/>
      <c r="E8" s="3"/>
      <c r="F8" s="3"/>
      <c r="G8" s="3"/>
      <c r="H8" s="3"/>
      <c r="I8" s="3"/>
    </row>
    <row r="9" spans="1:10" x14ac:dyDescent="0.25">
      <c r="A9" s="4" t="s">
        <v>33</v>
      </c>
      <c r="C9" s="3"/>
      <c r="D9" s="3"/>
      <c r="E9" s="3"/>
      <c r="F9" s="3"/>
      <c r="G9" s="3"/>
      <c r="H9" s="3"/>
      <c r="I9" s="3"/>
    </row>
    <row r="10" spans="1:10" ht="3.75" customHeight="1" x14ac:dyDescent="0.25">
      <c r="A10" s="2"/>
      <c r="C10" s="3"/>
      <c r="D10" s="3"/>
      <c r="E10" s="3"/>
      <c r="F10" s="3"/>
      <c r="G10" s="3"/>
      <c r="H10" s="3"/>
      <c r="I10" s="3"/>
    </row>
    <row r="11" spans="1:10" x14ac:dyDescent="0.25">
      <c r="A11" s="4" t="s">
        <v>4</v>
      </c>
      <c r="C11" s="10"/>
      <c r="D11" s="10"/>
      <c r="E11" s="10"/>
      <c r="F11" s="10"/>
      <c r="G11" s="10"/>
      <c r="H11" s="10"/>
      <c r="I11" s="10"/>
    </row>
    <row r="12" spans="1:10" x14ac:dyDescent="0.25">
      <c r="B12" s="5" t="s">
        <v>5</v>
      </c>
      <c r="C12" s="115">
        <f>'General details'!C73</f>
        <v>10000000</v>
      </c>
      <c r="D12" s="115">
        <f>Audited!D90</f>
        <v>10000000</v>
      </c>
      <c r="E12" s="16">
        <f>'General details'!E73</f>
        <v>10000000</v>
      </c>
      <c r="F12" s="16">
        <f>'General details'!F73</f>
        <v>10000000</v>
      </c>
      <c r="G12" s="16">
        <f>'General details'!G73</f>
        <v>10000000</v>
      </c>
      <c r="H12" s="16">
        <f>'General details'!H73</f>
        <v>10000000</v>
      </c>
      <c r="I12" s="16">
        <f>'General details'!I73</f>
        <v>10000000</v>
      </c>
    </row>
    <row r="13" spans="1:10" x14ac:dyDescent="0.25">
      <c r="B13" s="6" t="s">
        <v>6</v>
      </c>
      <c r="C13" s="115">
        <f>'General details'!C84</f>
        <v>10369136.199999999</v>
      </c>
      <c r="D13" s="115">
        <f>C13+'Profit or Loss'!D32</f>
        <v>12758649.280000005</v>
      </c>
      <c r="E13" s="16">
        <f>'Profit or Loss'!E32+'Balance Sheet'!D13</f>
        <v>23331650.747883767</v>
      </c>
      <c r="F13" s="16">
        <f>'Profit or Loss'!F32+'Balance Sheet'!E13</f>
        <v>36853716.855911404</v>
      </c>
      <c r="G13" s="16">
        <f>'Profit or Loss'!G32+'Balance Sheet'!F13</f>
        <v>56139199.448631532</v>
      </c>
      <c r="H13" s="16">
        <f>'Profit or Loss'!H32+'Balance Sheet'!G13</f>
        <v>83891675.072880924</v>
      </c>
      <c r="I13" s="16">
        <f>'Profit or Loss'!I32+'Balance Sheet'!H13</f>
        <v>121954153.66859359</v>
      </c>
      <c r="J13" s="17"/>
    </row>
    <row r="14" spans="1:10" x14ac:dyDescent="0.25">
      <c r="A14" s="4" t="s">
        <v>7</v>
      </c>
      <c r="C14" s="138">
        <f>SUM(C12:C13)</f>
        <v>20369136.199999999</v>
      </c>
      <c r="D14" s="138">
        <f t="shared" ref="D14" si="0">SUM(D12:D13)</f>
        <v>22758649.280000005</v>
      </c>
      <c r="E14" s="18">
        <f t="shared" ref="E14:I14" si="1">SUM(E12:E13)</f>
        <v>33331650.747883767</v>
      </c>
      <c r="F14" s="18">
        <f t="shared" si="1"/>
        <v>46853716.855911404</v>
      </c>
      <c r="G14" s="18">
        <f t="shared" si="1"/>
        <v>66139199.448631532</v>
      </c>
      <c r="H14" s="18">
        <f t="shared" si="1"/>
        <v>93891675.072880924</v>
      </c>
      <c r="I14" s="18">
        <f t="shared" si="1"/>
        <v>131954153.66859359</v>
      </c>
    </row>
    <row r="15" spans="1:10" x14ac:dyDescent="0.25">
      <c r="A15" s="4" t="s">
        <v>8</v>
      </c>
      <c r="C15" s="139"/>
      <c r="D15" s="139"/>
      <c r="E15" s="16"/>
      <c r="F15" s="16"/>
      <c r="G15" s="16"/>
      <c r="H15" s="16"/>
      <c r="I15" s="16"/>
    </row>
    <row r="16" spans="1:10" x14ac:dyDescent="0.25">
      <c r="B16" s="6" t="s">
        <v>9</v>
      </c>
      <c r="C16" s="115">
        <f>'General details'!C74</f>
        <v>7071433.1299999999</v>
      </c>
      <c r="D16" s="115">
        <f>Audited!D91</f>
        <v>7913253.9399999995</v>
      </c>
      <c r="E16" s="16">
        <f>'Loan working'!G5+'General details'!E74</f>
        <v>27913253.939999998</v>
      </c>
      <c r="F16" s="16">
        <f>'Loan working'!G6+'General details'!F74</f>
        <v>17307397.828650285</v>
      </c>
      <c r="G16" s="16">
        <f>'Loan working'!G7+'General details'!G74</f>
        <v>13557554.81272766</v>
      </c>
      <c r="H16" s="16">
        <f>'Loan working'!G8+'General details'!H74</f>
        <v>9616674.7809840161</v>
      </c>
      <c r="I16" s="16">
        <f>'Loan working'!G9+'General details'!I74</f>
        <v>5475025.288285289</v>
      </c>
      <c r="J16" s="17"/>
    </row>
    <row r="17" spans="1:10" hidden="1" x14ac:dyDescent="0.25">
      <c r="B17" s="6" t="s">
        <v>10</v>
      </c>
      <c r="C17" s="115"/>
      <c r="D17" s="115"/>
      <c r="E17" s="16"/>
      <c r="F17" s="16"/>
      <c r="G17" s="16"/>
      <c r="H17" s="16"/>
      <c r="I17" s="16"/>
    </row>
    <row r="18" spans="1:10" hidden="1" x14ac:dyDescent="0.25">
      <c r="B18" s="6" t="s">
        <v>11</v>
      </c>
      <c r="C18" s="115"/>
      <c r="D18" s="115"/>
      <c r="E18" s="16"/>
      <c r="F18" s="16"/>
      <c r="G18" s="16"/>
      <c r="H18" s="16"/>
      <c r="I18" s="16"/>
    </row>
    <row r="19" spans="1:10" x14ac:dyDescent="0.25">
      <c r="B19" s="7" t="s">
        <v>12</v>
      </c>
      <c r="C19" s="115"/>
      <c r="D19" s="115"/>
      <c r="E19" s="16"/>
      <c r="F19" s="16"/>
      <c r="G19" s="16"/>
      <c r="H19" s="16"/>
      <c r="I19" s="16"/>
    </row>
    <row r="20" spans="1:10" x14ac:dyDescent="0.25">
      <c r="A20" s="4" t="s">
        <v>13</v>
      </c>
      <c r="C20" s="138">
        <f>SUM(C16:C19)</f>
        <v>7071433.1299999999</v>
      </c>
      <c r="D20" s="138">
        <f t="shared" ref="D20" si="2">SUM(D16:D19)</f>
        <v>7913253.9399999995</v>
      </c>
      <c r="E20" s="18">
        <f t="shared" ref="E20:I20" si="3">SUM(E16:E19)</f>
        <v>27913253.939999998</v>
      </c>
      <c r="F20" s="18">
        <f t="shared" si="3"/>
        <v>17307397.828650285</v>
      </c>
      <c r="G20" s="18">
        <f t="shared" si="3"/>
        <v>13557554.81272766</v>
      </c>
      <c r="H20" s="18">
        <f t="shared" si="3"/>
        <v>9616674.7809840161</v>
      </c>
      <c r="I20" s="18">
        <f t="shared" si="3"/>
        <v>5475025.288285289</v>
      </c>
    </row>
    <row r="21" spans="1:10" x14ac:dyDescent="0.25">
      <c r="A21" s="4" t="s">
        <v>14</v>
      </c>
      <c r="C21" s="139"/>
      <c r="D21" s="139"/>
      <c r="E21" s="16"/>
      <c r="F21" s="16"/>
      <c r="G21" s="16"/>
      <c r="H21" s="16"/>
      <c r="I21" s="16"/>
    </row>
    <row r="22" spans="1:10" x14ac:dyDescent="0.25">
      <c r="B22" s="6" t="s">
        <v>15</v>
      </c>
      <c r="C22" s="115">
        <f>'General details'!C76</f>
        <v>13392446.33</v>
      </c>
      <c r="D22" s="115">
        <f>Audited!D93</f>
        <v>13666741.640000001</v>
      </c>
      <c r="E22" s="16">
        <f>'General details'!E76+'General details'!$C$64</f>
        <v>43666741.640000001</v>
      </c>
      <c r="F22" s="16">
        <f>'General details'!F76+'General details'!$C$64</f>
        <v>43666741.640000001</v>
      </c>
      <c r="G22" s="16">
        <f>'General details'!G76+'General details'!$C$64</f>
        <v>43666741.640000001</v>
      </c>
      <c r="H22" s="16">
        <f>'General details'!H76+'General details'!$C$64</f>
        <v>43666741.640000001</v>
      </c>
      <c r="I22" s="16">
        <f>'General details'!I76+'General details'!$C$64</f>
        <v>43666741.640000001</v>
      </c>
    </row>
    <row r="23" spans="1:10" x14ac:dyDescent="0.25">
      <c r="B23" s="8" t="s">
        <v>16</v>
      </c>
      <c r="C23" s="115">
        <f>'General details'!C77</f>
        <v>590261.75</v>
      </c>
      <c r="D23" s="115">
        <f>Audited!D94</f>
        <v>1706583</v>
      </c>
      <c r="E23" s="135">
        <f>D23+D23*Inventories!E14</f>
        <v>2047899.6</v>
      </c>
      <c r="F23" s="135">
        <f>E23+E23*Inventories!F14</f>
        <v>2406585.0570344231</v>
      </c>
      <c r="G23" s="135">
        <f>F23+F23*Inventories!H14</f>
        <v>2829040.6773870615</v>
      </c>
      <c r="H23" s="135">
        <f>G23+G23*Inventories!J14</f>
        <v>3326768.5467791106</v>
      </c>
      <c r="I23" s="135">
        <f>H23+H23*Inventories!K14</f>
        <v>3913373.9041633578</v>
      </c>
      <c r="J23" s="17"/>
    </row>
    <row r="24" spans="1:10" x14ac:dyDescent="0.25">
      <c r="B24" s="8" t="s">
        <v>37</v>
      </c>
      <c r="C24" s="115">
        <f>'General details'!C78</f>
        <v>0</v>
      </c>
      <c r="D24" s="115">
        <f>Audited!D95</f>
        <v>0</v>
      </c>
      <c r="E24" s="16">
        <f>D24</f>
        <v>0</v>
      </c>
      <c r="F24" s="16">
        <f>E24</f>
        <v>0</v>
      </c>
      <c r="G24" s="16">
        <f t="shared" ref="G24:I25" si="4">F24</f>
        <v>0</v>
      </c>
      <c r="H24" s="16">
        <f t="shared" si="4"/>
        <v>0</v>
      </c>
      <c r="I24" s="16">
        <f t="shared" si="4"/>
        <v>0</v>
      </c>
    </row>
    <row r="25" spans="1:10" x14ac:dyDescent="0.25">
      <c r="B25" s="8" t="s">
        <v>17</v>
      </c>
      <c r="C25" s="115">
        <f>'General details'!C79</f>
        <v>0</v>
      </c>
      <c r="D25" s="115">
        <f>Audited!D96</f>
        <v>0</v>
      </c>
      <c r="E25" s="16">
        <f>D25</f>
        <v>0</v>
      </c>
      <c r="F25" s="16">
        <f t="shared" ref="F25" si="5">E25</f>
        <v>0</v>
      </c>
      <c r="G25" s="16">
        <f t="shared" si="4"/>
        <v>0</v>
      </c>
      <c r="H25" s="16">
        <f t="shared" si="4"/>
        <v>0</v>
      </c>
      <c r="I25" s="16">
        <f t="shared" si="4"/>
        <v>0</v>
      </c>
    </row>
    <row r="26" spans="1:10" x14ac:dyDescent="0.25">
      <c r="A26" s="9" t="s">
        <v>18</v>
      </c>
      <c r="C26" s="138">
        <f>SUM(C22:C25)</f>
        <v>13982708.08</v>
      </c>
      <c r="D26" s="138">
        <f t="shared" ref="D26" si="6">SUM(D22:D25)</f>
        <v>15373324.640000001</v>
      </c>
      <c r="E26" s="18">
        <f t="shared" ref="E26:I26" si="7">SUM(E22:E25)</f>
        <v>45714641.240000002</v>
      </c>
      <c r="F26" s="18">
        <f>SUM(F22:F25)</f>
        <v>46073326.697034426</v>
      </c>
      <c r="G26" s="18">
        <f t="shared" si="7"/>
        <v>46495782.317387059</v>
      </c>
      <c r="H26" s="18">
        <f t="shared" si="7"/>
        <v>46993510.186779112</v>
      </c>
      <c r="I26" s="18">
        <f t="shared" si="7"/>
        <v>47580115.544163361</v>
      </c>
    </row>
    <row r="27" spans="1:10" x14ac:dyDescent="0.25">
      <c r="A27" s="14" t="s">
        <v>19</v>
      </c>
      <c r="B27" s="1"/>
      <c r="C27" s="140">
        <f>C26+C20+C14</f>
        <v>41423277.409999996</v>
      </c>
      <c r="D27" s="140">
        <f t="shared" ref="D27" si="8">D26+D20+D14</f>
        <v>46045227.859999999</v>
      </c>
      <c r="E27" s="19">
        <f>E26+E20+E14</f>
        <v>106959545.92788377</v>
      </c>
      <c r="F27" s="19">
        <f t="shared" ref="F27:I27" si="9">F26+F20+F14</f>
        <v>110234441.38159612</v>
      </c>
      <c r="G27" s="19">
        <f t="shared" si="9"/>
        <v>126192536.57874626</v>
      </c>
      <c r="H27" s="19">
        <f t="shared" si="9"/>
        <v>150501860.04064405</v>
      </c>
      <c r="I27" s="19">
        <f t="shared" si="9"/>
        <v>185009294.50104225</v>
      </c>
    </row>
    <row r="28" spans="1:10" ht="5.25" customHeight="1" x14ac:dyDescent="0.25">
      <c r="C28" s="141"/>
      <c r="D28" s="141"/>
      <c r="E28" s="17"/>
      <c r="F28" s="17"/>
      <c r="G28" s="17"/>
      <c r="H28" s="17"/>
      <c r="I28" s="17"/>
    </row>
    <row r="29" spans="1:10" x14ac:dyDescent="0.25">
      <c r="A29" s="4" t="s">
        <v>20</v>
      </c>
      <c r="C29" s="141"/>
      <c r="D29" s="141"/>
      <c r="E29" s="17"/>
      <c r="F29" s="17"/>
      <c r="G29" s="17"/>
      <c r="H29" s="17"/>
      <c r="I29" s="17"/>
    </row>
    <row r="30" spans="1:10" ht="6" customHeight="1" x14ac:dyDescent="0.25">
      <c r="B30" s="4"/>
      <c r="C30" s="141"/>
      <c r="D30" s="141"/>
      <c r="E30" s="17"/>
      <c r="F30" s="17"/>
      <c r="G30" s="17"/>
      <c r="H30" s="17"/>
      <c r="I30" s="17"/>
    </row>
    <row r="31" spans="1:10" x14ac:dyDescent="0.25">
      <c r="A31" s="4" t="s">
        <v>21</v>
      </c>
      <c r="C31" s="141"/>
      <c r="D31" s="141"/>
      <c r="E31" s="17"/>
      <c r="F31" s="17"/>
      <c r="G31" s="17"/>
      <c r="H31" s="17"/>
      <c r="I31" s="17"/>
    </row>
    <row r="32" spans="1:10" x14ac:dyDescent="0.25">
      <c r="B32" s="6" t="s">
        <v>22</v>
      </c>
      <c r="C32" s="115" t="e">
        <f>'General details'!#REF!</f>
        <v>#REF!</v>
      </c>
      <c r="D32" s="115">
        <f>Audited!E120</f>
        <v>26144670.870000001</v>
      </c>
      <c r="E32" s="16">
        <f>FA!I9</f>
        <v>54100981.470500007</v>
      </c>
      <c r="F32" s="16">
        <f>FA!I14</f>
        <v>55500235.871675</v>
      </c>
      <c r="G32" s="16">
        <f>FA!I19</f>
        <v>55703900.011436254</v>
      </c>
      <c r="H32" s="16">
        <f>FA!I24</f>
        <v>52154017.804720193</v>
      </c>
      <c r="I32" s="16">
        <f>FA!I29</f>
        <v>49166979.99277094</v>
      </c>
      <c r="J32" s="17"/>
    </row>
    <row r="33" spans="1:9" hidden="1" x14ac:dyDescent="0.25">
      <c r="B33" s="6" t="s">
        <v>23</v>
      </c>
      <c r="C33" s="115"/>
      <c r="D33" s="115"/>
      <c r="E33" s="16"/>
      <c r="F33" s="16"/>
      <c r="G33" s="16"/>
      <c r="H33" s="16"/>
      <c r="I33" s="16"/>
    </row>
    <row r="34" spans="1:9" hidden="1" x14ac:dyDescent="0.25">
      <c r="B34" s="7" t="s">
        <v>24</v>
      </c>
      <c r="C34" s="115"/>
      <c r="D34" s="115"/>
      <c r="E34" s="16"/>
      <c r="F34" s="16"/>
      <c r="G34" s="16"/>
      <c r="H34" s="16"/>
      <c r="I34" s="16"/>
    </row>
    <row r="35" spans="1:9" hidden="1" x14ac:dyDescent="0.25">
      <c r="B35" s="7" t="s">
        <v>25</v>
      </c>
      <c r="C35" s="115"/>
      <c r="D35" s="115"/>
      <c r="E35" s="16"/>
      <c r="F35" s="16"/>
      <c r="G35" s="16"/>
      <c r="H35" s="16"/>
      <c r="I35" s="16"/>
    </row>
    <row r="36" spans="1:9" x14ac:dyDescent="0.25">
      <c r="B36" s="7" t="s">
        <v>26</v>
      </c>
      <c r="C36" s="115">
        <f>'General details'!C83</f>
        <v>0</v>
      </c>
      <c r="D36" s="115">
        <f>Audited!D100</f>
        <v>0</v>
      </c>
      <c r="E36" s="16">
        <f>D36</f>
        <v>0</v>
      </c>
      <c r="F36" s="16">
        <f t="shared" ref="F36:I36" si="10">E36</f>
        <v>0</v>
      </c>
      <c r="G36" s="16">
        <f t="shared" si="10"/>
        <v>0</v>
      </c>
      <c r="H36" s="16">
        <f t="shared" si="10"/>
        <v>0</v>
      </c>
      <c r="I36" s="16">
        <f t="shared" si="10"/>
        <v>0</v>
      </c>
    </row>
    <row r="37" spans="1:9" x14ac:dyDescent="0.25">
      <c r="A37" s="4" t="s">
        <v>27</v>
      </c>
      <c r="C37" s="138" t="e">
        <f>SUM(C32:C36)</f>
        <v>#REF!</v>
      </c>
      <c r="D37" s="138">
        <f t="shared" ref="D37" si="11">SUM(D32:D36)</f>
        <v>26144670.870000001</v>
      </c>
      <c r="E37" s="18">
        <f t="shared" ref="E37:I37" si="12">SUM(E32:E36)</f>
        <v>54100981.470500007</v>
      </c>
      <c r="F37" s="18">
        <f t="shared" si="12"/>
        <v>55500235.871675</v>
      </c>
      <c r="G37" s="18">
        <f t="shared" si="12"/>
        <v>55703900.011436254</v>
      </c>
      <c r="H37" s="18">
        <f t="shared" si="12"/>
        <v>52154017.804720193</v>
      </c>
      <c r="I37" s="18">
        <f t="shared" si="12"/>
        <v>49166979.99277094</v>
      </c>
    </row>
    <row r="38" spans="1:9" x14ac:dyDescent="0.25">
      <c r="A38" s="11" t="s">
        <v>28</v>
      </c>
      <c r="B38" s="4"/>
      <c r="C38" s="139"/>
      <c r="D38" s="139"/>
      <c r="E38" s="16"/>
      <c r="F38" s="16"/>
      <c r="G38" s="16"/>
      <c r="H38" s="16"/>
      <c r="I38" s="16"/>
    </row>
    <row r="39" spans="1:9" x14ac:dyDescent="0.25">
      <c r="B39" s="8" t="s">
        <v>29</v>
      </c>
      <c r="C39" s="115">
        <f>'General details'!C80</f>
        <v>4784099.9000000004</v>
      </c>
      <c r="D39" s="115">
        <f>'Cash Flow'!D50</f>
        <v>833352.85000000615</v>
      </c>
      <c r="E39" s="115">
        <f>'Cash Flow'!E50</f>
        <v>31134611.547383774</v>
      </c>
      <c r="F39" s="115">
        <f>'Cash Flow'!F50</f>
        <v>31288014.05834914</v>
      </c>
      <c r="G39" s="115">
        <f>'Cash Flow'!G50</f>
        <v>45119001.529537931</v>
      </c>
      <c r="H39" s="115">
        <f>'Cash Flow'!H50</f>
        <v>70822623.067571282</v>
      </c>
      <c r="I39" s="115">
        <f>'Cash Flow'!I50</f>
        <v>105893051.48609936</v>
      </c>
    </row>
    <row r="40" spans="1:9" x14ac:dyDescent="0.25">
      <c r="B40" s="7" t="s">
        <v>30</v>
      </c>
      <c r="C40" s="115">
        <f>'General details'!C85</f>
        <v>11490620.66</v>
      </c>
      <c r="D40" s="115">
        <f>Audited!N47</f>
        <v>14632004.15</v>
      </c>
      <c r="E40" s="16">
        <f>Inventories!R10</f>
        <v>16431712.919999998</v>
      </c>
      <c r="F40" s="16">
        <f>Inventories!AF10</f>
        <v>17253298.566</v>
      </c>
      <c r="G40" s="16">
        <f>Inventories!AT10</f>
        <v>18115963.4943</v>
      </c>
      <c r="H40" s="16">
        <f>Inventories!BH10</f>
        <v>19021761.669015002</v>
      </c>
      <c r="I40" s="16">
        <f>Inventories!BV10</f>
        <v>19972849.752465751</v>
      </c>
    </row>
    <row r="41" spans="1:9" x14ac:dyDescent="0.25">
      <c r="B41" s="7" t="s">
        <v>36</v>
      </c>
      <c r="C41" s="115">
        <f>'General details'!C81</f>
        <v>91302.75</v>
      </c>
      <c r="D41" s="115">
        <f>Audited!D98</f>
        <v>150000</v>
      </c>
      <c r="E41" s="16">
        <f>D41</f>
        <v>150000</v>
      </c>
      <c r="F41" s="16">
        <f t="shared" ref="F41:I41" si="13">E41</f>
        <v>150000</v>
      </c>
      <c r="G41" s="16">
        <f t="shared" si="13"/>
        <v>150000</v>
      </c>
      <c r="H41" s="16">
        <f t="shared" si="13"/>
        <v>150000</v>
      </c>
      <c r="I41" s="16">
        <f t="shared" si="13"/>
        <v>150000</v>
      </c>
    </row>
    <row r="42" spans="1:9" x14ac:dyDescent="0.25">
      <c r="B42" s="8" t="s">
        <v>31</v>
      </c>
      <c r="C42" s="115">
        <f>'General details'!C82</f>
        <v>6537100</v>
      </c>
      <c r="D42" s="115">
        <f>Audited!D99</f>
        <v>4285200</v>
      </c>
      <c r="E42" s="16">
        <f>D42+D42*Inventories!E14</f>
        <v>5142240</v>
      </c>
      <c r="F42" s="16">
        <f>E42+E42*Inventories!F14</f>
        <v>6042892.895571976</v>
      </c>
      <c r="G42" s="16">
        <f>F42+F42*Inventories!H14</f>
        <v>7103671.5534720756</v>
      </c>
      <c r="H42" s="16">
        <f>G42+G42*Inventories!J14</f>
        <v>8353457.5093375724</v>
      </c>
      <c r="I42" s="16">
        <f>H42+H42*Inventories!K14</f>
        <v>9826413.2797061838</v>
      </c>
    </row>
    <row r="43" spans="1:9" x14ac:dyDescent="0.25">
      <c r="A43" s="4" t="s">
        <v>32</v>
      </c>
      <c r="B43" s="11"/>
      <c r="C43" s="138">
        <f>SUM(C39:C42)</f>
        <v>22903123.310000002</v>
      </c>
      <c r="D43" s="138">
        <f t="shared" ref="D43" si="14">SUM(D39:D42)</f>
        <v>19900557.000000007</v>
      </c>
      <c r="E43" s="18">
        <f t="shared" ref="E43:I43" si="15">SUM(E39:E42)</f>
        <v>52858564.467383772</v>
      </c>
      <c r="F43" s="18">
        <f t="shared" si="15"/>
        <v>54734205.519921117</v>
      </c>
      <c r="G43" s="18">
        <f t="shared" si="15"/>
        <v>70488636.577310011</v>
      </c>
      <c r="H43" s="18">
        <f t="shared" si="15"/>
        <v>98347842.245923862</v>
      </c>
      <c r="I43" s="18">
        <f t="shared" si="15"/>
        <v>135842314.5182713</v>
      </c>
    </row>
    <row r="44" spans="1:9" x14ac:dyDescent="0.25">
      <c r="A44" s="15" t="s">
        <v>34</v>
      </c>
      <c r="B44" s="1"/>
      <c r="C44" s="19" t="e">
        <f>C43+C37</f>
        <v>#REF!</v>
      </c>
      <c r="D44" s="19">
        <f t="shared" ref="D44" si="16">D43+D37</f>
        <v>46045227.870000005</v>
      </c>
      <c r="E44" s="19">
        <f>E43+E37</f>
        <v>106959545.93788378</v>
      </c>
      <c r="F44" s="19">
        <f t="shared" ref="F44:I44" si="17">F43+F37</f>
        <v>110234441.39159611</v>
      </c>
      <c r="G44" s="19">
        <f t="shared" si="17"/>
        <v>126192536.58874626</v>
      </c>
      <c r="H44" s="19">
        <f t="shared" si="17"/>
        <v>150501860.05064404</v>
      </c>
      <c r="I44" s="19">
        <f t="shared" si="17"/>
        <v>185009294.51104224</v>
      </c>
    </row>
    <row r="45" spans="1:9" x14ac:dyDescent="0.25">
      <c r="D45" s="17"/>
    </row>
    <row r="46" spans="1:9" x14ac:dyDescent="0.25">
      <c r="C46" s="13"/>
    </row>
    <row r="47" spans="1:9" x14ac:dyDescent="0.25">
      <c r="B47" s="12" t="s">
        <v>35</v>
      </c>
      <c r="C47" s="13" t="e">
        <f>C44-C27</f>
        <v>#REF!</v>
      </c>
      <c r="D47" s="13">
        <f>D44-D27</f>
        <v>1.000000536441803E-2</v>
      </c>
      <c r="E47" s="13">
        <f t="shared" ref="E47:I47" si="18">E44-E27</f>
        <v>1.000000536441803E-2</v>
      </c>
      <c r="F47" s="13">
        <f t="shared" si="18"/>
        <v>9.9999904632568359E-3</v>
      </c>
      <c r="G47" s="13">
        <f t="shared" si="18"/>
        <v>1.000000536441803E-2</v>
      </c>
      <c r="H47" s="13">
        <f t="shared" si="18"/>
        <v>9.9999904632568359E-3</v>
      </c>
      <c r="I47" s="13">
        <f t="shared" si="18"/>
        <v>9.9999904632568359E-3</v>
      </c>
    </row>
    <row r="48" spans="1:9" x14ac:dyDescent="0.25">
      <c r="D48" s="17"/>
      <c r="F48" s="13"/>
      <c r="G48" s="13"/>
    </row>
  </sheetData>
  <sheetProtection selectLockedCells="1" selectUnlockedCells="1"/>
  <mergeCells count="6">
    <mergeCell ref="E6:I6"/>
    <mergeCell ref="B1:I1"/>
    <mergeCell ref="B2:I2"/>
    <mergeCell ref="B4:I4"/>
    <mergeCell ref="C6:D6"/>
    <mergeCell ref="A3:I3"/>
  </mergeCells>
  <conditionalFormatting sqref="A1:I2 A4:I11 A3 A12:C44 E12:I44">
    <cfRule type="expression" dxfId="12" priority="2">
      <formula>D$39&lt;0</formula>
    </cfRule>
  </conditionalFormatting>
  <conditionalFormatting sqref="D12:D44">
    <cfRule type="expression" dxfId="11" priority="1">
      <formula>G$39&lt;0</formula>
    </cfRule>
  </conditionalFormatting>
  <pageMargins left="0.7" right="0.7" top="0.75" bottom="0.75" header="0.3" footer="0.3"/>
  <pageSetup scale="77" orientation="landscape" r:id="rId1"/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8"/>
  <sheetViews>
    <sheetView view="pageBreakPreview" zoomScale="112" zoomScaleNormal="100" zoomScaleSheetLayoutView="112" workbookViewId="0">
      <selection activeCell="B1" sqref="B1:I1"/>
    </sheetView>
  </sheetViews>
  <sheetFormatPr defaultRowHeight="15" x14ac:dyDescent="0.25"/>
  <cols>
    <col min="1" max="1" width="2.85546875" customWidth="1"/>
    <col min="2" max="2" width="44.42578125" customWidth="1"/>
    <col min="3" max="3" width="12.42578125" style="23" hidden="1" customWidth="1"/>
    <col min="4" max="4" width="12" style="23" customWidth="1"/>
    <col min="5" max="5" width="11.7109375" bestFit="1" customWidth="1"/>
    <col min="6" max="6" width="14" bestFit="1" customWidth="1"/>
    <col min="7" max="7" width="12.85546875" customWidth="1"/>
    <col min="8" max="8" width="14" customWidth="1"/>
    <col min="9" max="9" width="15.42578125" customWidth="1"/>
  </cols>
  <sheetData>
    <row r="1" spans="1:15" x14ac:dyDescent="0.25">
      <c r="B1" s="482" t="str">
        <f>'General details'!C2</f>
        <v>Unique Seed Company Pvt. Ltd.</v>
      </c>
      <c r="C1" s="482"/>
      <c r="D1" s="482"/>
      <c r="E1" s="482"/>
      <c r="F1" s="482"/>
      <c r="G1" s="482"/>
      <c r="H1" s="482"/>
      <c r="I1" s="482"/>
    </row>
    <row r="2" spans="1:15" x14ac:dyDescent="0.25">
      <c r="B2" s="482" t="str">
        <f>'General details'!C3</f>
        <v>Dhangadhi, Kailali</v>
      </c>
      <c r="C2" s="482"/>
      <c r="D2" s="482"/>
      <c r="E2" s="482"/>
      <c r="F2" s="482"/>
      <c r="G2" s="482"/>
      <c r="H2" s="482"/>
      <c r="I2" s="482"/>
    </row>
    <row r="3" spans="1:15" x14ac:dyDescent="0.25">
      <c r="A3" s="482" t="s">
        <v>378</v>
      </c>
      <c r="B3" s="482"/>
      <c r="C3" s="482"/>
      <c r="D3" s="482"/>
      <c r="E3" s="482"/>
      <c r="F3" s="482"/>
      <c r="G3" s="482"/>
      <c r="H3" s="482"/>
      <c r="I3" s="482"/>
    </row>
    <row r="4" spans="1:15" x14ac:dyDescent="0.25">
      <c r="B4" s="482" t="str">
        <f>'Balance Sheet'!B4:I4</f>
        <v>Projection on the basis of FY 2073-2074</v>
      </c>
      <c r="C4" s="482"/>
      <c r="D4" s="482"/>
      <c r="E4" s="482"/>
      <c r="F4" s="482"/>
      <c r="G4" s="482"/>
      <c r="H4" s="482"/>
      <c r="I4" s="482"/>
    </row>
    <row r="5" spans="1:15" x14ac:dyDescent="0.25">
      <c r="C5"/>
      <c r="D5"/>
    </row>
    <row r="6" spans="1:15" x14ac:dyDescent="0.25">
      <c r="C6" s="483" t="s">
        <v>3</v>
      </c>
      <c r="D6" s="483"/>
      <c r="E6" s="481" t="s">
        <v>2</v>
      </c>
      <c r="F6" s="481"/>
      <c r="G6" s="481"/>
      <c r="H6" s="481"/>
      <c r="I6" s="481"/>
      <c r="J6" s="13"/>
    </row>
    <row r="7" spans="1:15" x14ac:dyDescent="0.25">
      <c r="A7" s="4" t="s">
        <v>1</v>
      </c>
      <c r="C7" s="3">
        <f>RIGHT(B4,4)-1</f>
        <v>2073</v>
      </c>
      <c r="D7" s="3" t="str">
        <f>'Balance Sheet'!D7</f>
        <v>2074  (2017)</v>
      </c>
      <c r="E7" s="273" t="str">
        <f>'Balance Sheet'!E7</f>
        <v>2075  (2018)</v>
      </c>
      <c r="F7" s="273" t="str">
        <f>'Balance Sheet'!F7</f>
        <v>2076  (2019)</v>
      </c>
      <c r="G7" s="273" t="str">
        <f>'Balance Sheet'!G7</f>
        <v>2077  (2020)</v>
      </c>
      <c r="H7" s="273" t="str">
        <f>'Balance Sheet'!H7</f>
        <v>2078  (2021)</v>
      </c>
      <c r="I7" s="273" t="str">
        <f>'Balance Sheet'!I7</f>
        <v>2079  (2022)</v>
      </c>
    </row>
    <row r="8" spans="1:15" x14ac:dyDescent="0.25">
      <c r="B8" s="24" t="s">
        <v>38</v>
      </c>
      <c r="C8" s="115" t="e">
        <f>'General details'!#REF!</f>
        <v>#REF!</v>
      </c>
      <c r="D8" s="115">
        <f>Audited!L47</f>
        <v>61331072.480000004</v>
      </c>
      <c r="E8" s="16">
        <f>Inventories!M10</f>
        <v>65935030.029624</v>
      </c>
      <c r="F8" s="16">
        <f>Inventories!AA10</f>
        <v>81494090.612932026</v>
      </c>
      <c r="G8" s="16">
        <f>Inventories!AO10</f>
        <v>100764260.0687968</v>
      </c>
      <c r="H8" s="16">
        <f>Inventories!BC10</f>
        <v>124639513.62329516</v>
      </c>
      <c r="I8" s="16">
        <f>Inventories!BQ10</f>
        <v>154231152.66444665</v>
      </c>
      <c r="J8" s="13"/>
      <c r="K8" s="13"/>
      <c r="L8" s="13"/>
    </row>
    <row r="9" spans="1:15" x14ac:dyDescent="0.25">
      <c r="B9" s="25" t="s">
        <v>39</v>
      </c>
      <c r="C9" s="115" t="e">
        <f>'General details'!#REF!</f>
        <v>#REF!</v>
      </c>
      <c r="D9" s="115">
        <f>'Cost of Sale'!B10</f>
        <v>51915951.259999998</v>
      </c>
      <c r="E9" s="16">
        <f>'Cost of Sale'!D10</f>
        <v>48722993.382719994</v>
      </c>
      <c r="F9" s="16">
        <f>'Cost of Sale'!E10</f>
        <v>60720051.14967078</v>
      </c>
      <c r="G9" s="16">
        <f>'Cost of Sale'!F10</f>
        <v>74182578.92632553</v>
      </c>
      <c r="H9" s="16">
        <f>'Cost of Sale'!G10</f>
        <v>90702060.099654987</v>
      </c>
      <c r="I9" s="16">
        <f>'Cost of Sale'!H10</f>
        <v>110988072.64353646</v>
      </c>
      <c r="J9" s="188"/>
      <c r="K9" s="188"/>
      <c r="L9" s="188"/>
      <c r="M9" s="188"/>
      <c r="N9" s="188"/>
      <c r="O9" s="188"/>
    </row>
    <row r="10" spans="1:15" ht="3" customHeight="1" x14ac:dyDescent="0.25">
      <c r="A10" s="4"/>
      <c r="B10" s="24"/>
      <c r="C10" s="113"/>
      <c r="D10" s="113"/>
      <c r="E10" s="18"/>
      <c r="F10" s="18"/>
      <c r="G10" s="18"/>
      <c r="H10" s="18"/>
      <c r="I10" s="18"/>
    </row>
    <row r="11" spans="1:15" x14ac:dyDescent="0.25">
      <c r="A11" s="26" t="s">
        <v>40</v>
      </c>
      <c r="C11" s="113" t="e">
        <f>SUM(C8:C9)</f>
        <v>#REF!</v>
      </c>
      <c r="D11" s="113">
        <f>D8-D9</f>
        <v>9415121.2200000063</v>
      </c>
      <c r="E11" s="20">
        <f t="shared" ref="E11:I11" si="0">E8-E9</f>
        <v>17212036.646904007</v>
      </c>
      <c r="F11" s="20">
        <f t="shared" si="0"/>
        <v>20774039.463261247</v>
      </c>
      <c r="G11" s="20">
        <f t="shared" si="0"/>
        <v>26581681.142471269</v>
      </c>
      <c r="H11" s="20">
        <f t="shared" si="0"/>
        <v>33937453.523640171</v>
      </c>
      <c r="I11" s="20">
        <f t="shared" si="0"/>
        <v>43243080.020910189</v>
      </c>
      <c r="K11" s="102"/>
    </row>
    <row r="12" spans="1:15" ht="3" customHeight="1" x14ac:dyDescent="0.25">
      <c r="B12" s="26"/>
      <c r="C12" s="115"/>
      <c r="D12" s="115"/>
      <c r="E12" s="16"/>
      <c r="F12" s="16"/>
      <c r="G12" s="16"/>
      <c r="H12" s="16"/>
      <c r="I12" s="16"/>
    </row>
    <row r="13" spans="1:15" x14ac:dyDescent="0.25">
      <c r="B13" s="24" t="s">
        <v>41</v>
      </c>
      <c r="C13" s="115"/>
      <c r="D13" s="115">
        <f>Audited!D103</f>
        <v>3929308</v>
      </c>
      <c r="E13" s="16">
        <f>('General details'!D86+'General details'!D87)*1.15</f>
        <v>5744619.1545999991</v>
      </c>
      <c r="F13" s="16">
        <f>+E13*1.15</f>
        <v>6606312.0277899988</v>
      </c>
      <c r="G13" s="16">
        <f>+F13*1.15</f>
        <v>7597258.8319584979</v>
      </c>
      <c r="H13" s="16">
        <f>+G13*1.15</f>
        <v>8736847.6567522716</v>
      </c>
      <c r="I13" s="16">
        <f>+H13*1.15</f>
        <v>10047374.805265112</v>
      </c>
    </row>
    <row r="14" spans="1:15" x14ac:dyDescent="0.25">
      <c r="B14" s="24" t="s">
        <v>42</v>
      </c>
      <c r="C14" s="115" t="e">
        <f>'General details'!#REF!</f>
        <v>#REF!</v>
      </c>
      <c r="D14" s="115">
        <f>'Cost of Sale'!B50</f>
        <v>3060985</v>
      </c>
      <c r="E14" s="115">
        <f>'Cost of Sale'!D50</f>
        <v>2912131</v>
      </c>
      <c r="F14" s="115">
        <f>'Cost of Sale'!E50</f>
        <v>3159946.4750000006</v>
      </c>
      <c r="G14" s="115">
        <f>'Cost of Sale'!F50</f>
        <v>3431093.6162500004</v>
      </c>
      <c r="H14" s="115">
        <f>'Cost of Sale'!G50</f>
        <v>3727977.0963125005</v>
      </c>
      <c r="I14" s="115">
        <f>'Cost of Sale'!H50</f>
        <v>4053274.4303031261</v>
      </c>
    </row>
    <row r="15" spans="1:15" x14ac:dyDescent="0.25">
      <c r="B15" s="24" t="s">
        <v>295</v>
      </c>
      <c r="C15" s="115"/>
      <c r="D15" s="115">
        <f>Audited!D104</f>
        <v>2903961.5</v>
      </c>
      <c r="E15" s="115">
        <f>D15</f>
        <v>2903961.5</v>
      </c>
      <c r="F15" s="115">
        <f>E15</f>
        <v>2903961.5</v>
      </c>
      <c r="G15" s="115">
        <f>F15</f>
        <v>2903961.5</v>
      </c>
      <c r="H15" s="115">
        <f>G15</f>
        <v>2903961.5</v>
      </c>
      <c r="I15" s="115">
        <f>H15</f>
        <v>2903961.5</v>
      </c>
    </row>
    <row r="16" spans="1:15" x14ac:dyDescent="0.25">
      <c r="B16" s="24" t="s">
        <v>70</v>
      </c>
      <c r="C16" s="115" t="e">
        <f>'General details'!#REF!</f>
        <v>#REF!</v>
      </c>
      <c r="D16" s="115">
        <f>'Cost of Sale'!B59</f>
        <v>0</v>
      </c>
      <c r="E16" s="115">
        <f>'Cost of Sale'!D59</f>
        <v>649000.00000000012</v>
      </c>
      <c r="F16" s="115">
        <f>'Cost of Sale'!E59</f>
        <v>713900.00000000023</v>
      </c>
      <c r="G16" s="115">
        <f>'Cost of Sale'!F59</f>
        <v>785290.00000000023</v>
      </c>
      <c r="H16" s="115">
        <f>'Cost of Sale'!G59</f>
        <v>863819.00000000035</v>
      </c>
      <c r="I16" s="115">
        <f>'Cost of Sale'!H59</f>
        <v>950200.90000000037</v>
      </c>
    </row>
    <row r="17" spans="1:15" ht="3" customHeight="1" x14ac:dyDescent="0.25">
      <c r="A17" s="4"/>
      <c r="B17" s="24"/>
      <c r="C17" s="113"/>
      <c r="D17" s="113"/>
      <c r="E17" s="18"/>
      <c r="F17" s="18"/>
      <c r="G17" s="18"/>
      <c r="H17" s="18"/>
      <c r="I17" s="18"/>
    </row>
    <row r="18" spans="1:15" x14ac:dyDescent="0.25">
      <c r="A18" s="26" t="s">
        <v>43</v>
      </c>
      <c r="C18" s="113" t="e">
        <f>C11+C13-C14-C16</f>
        <v>#REF!</v>
      </c>
      <c r="D18" s="113">
        <f>D11+D13-D14-D16-D15</f>
        <v>7379482.7200000063</v>
      </c>
      <c r="E18" s="113">
        <f t="shared" ref="E18:I18" si="1">E11+E13-E14-E16-E15</f>
        <v>16491563.301504005</v>
      </c>
      <c r="F18" s="113">
        <f t="shared" si="1"/>
        <v>20602543.516051244</v>
      </c>
      <c r="G18" s="113">
        <f t="shared" si="1"/>
        <v>27058594.858179763</v>
      </c>
      <c r="H18" s="113">
        <f t="shared" si="1"/>
        <v>35178543.584079944</v>
      </c>
      <c r="I18" s="113">
        <f t="shared" si="1"/>
        <v>45383017.995872177</v>
      </c>
      <c r="J18" s="102"/>
      <c r="K18" s="102"/>
      <c r="L18" s="102"/>
      <c r="M18" s="102"/>
      <c r="N18" s="102"/>
      <c r="O18" s="102"/>
    </row>
    <row r="19" spans="1:15" ht="2.25" customHeight="1" x14ac:dyDescent="0.25">
      <c r="B19" s="26"/>
      <c r="C19" s="115"/>
      <c r="D19" s="115"/>
      <c r="E19" s="16"/>
      <c r="F19" s="16"/>
      <c r="G19" s="16"/>
      <c r="H19" s="16"/>
      <c r="I19" s="16"/>
    </row>
    <row r="20" spans="1:15" x14ac:dyDescent="0.25">
      <c r="B20" s="24" t="s">
        <v>44</v>
      </c>
      <c r="C20" s="115">
        <f>'General details'!C91</f>
        <v>1438555.51</v>
      </c>
      <c r="D20" s="115">
        <f>Audited!D108</f>
        <v>2015969.3</v>
      </c>
      <c r="E20" s="16">
        <f>'Loan working'!F5+'Loan working'!C16+'General details'!E91</f>
        <v>1500000</v>
      </c>
      <c r="F20" s="16">
        <f>'Loan working'!F6+'Loan working'!C17+'General details'!F91</f>
        <v>2216621.2065585474</v>
      </c>
      <c r="G20" s="16">
        <f>'Loan working'!F7+'Loan working'!C18+'General details'!G91</f>
        <v>2295788.1546217282</v>
      </c>
      <c r="H20" s="16">
        <f>'Loan working'!F8+'Loan working'!C19+'General details'!H91</f>
        <v>2104751.1388007062</v>
      </c>
      <c r="I20" s="16">
        <f>'Loan working'!F9+'Loan working'!C20+'General details'!I91</f>
        <v>1903981.6778456247</v>
      </c>
    </row>
    <row r="21" spans="1:15" x14ac:dyDescent="0.25">
      <c r="B21" s="24" t="s">
        <v>45</v>
      </c>
      <c r="C21" s="115"/>
      <c r="D21" s="115"/>
      <c r="E21" s="16"/>
      <c r="F21" s="16"/>
      <c r="G21" s="16"/>
      <c r="H21" s="16"/>
      <c r="I21" s="16"/>
    </row>
    <row r="22" spans="1:15" x14ac:dyDescent="0.25">
      <c r="B22" s="24" t="s">
        <v>297</v>
      </c>
      <c r="C22" s="115"/>
      <c r="D22" s="115">
        <f>Audited!D106</f>
        <v>-114825.25</v>
      </c>
      <c r="E22" s="16"/>
      <c r="F22" s="16"/>
      <c r="G22" s="16"/>
      <c r="H22" s="16"/>
      <c r="I22" s="16"/>
    </row>
    <row r="23" spans="1:15" x14ac:dyDescent="0.25">
      <c r="B23" s="24" t="s">
        <v>46</v>
      </c>
      <c r="C23" s="115" t="e">
        <f>'General details'!#REF!</f>
        <v>#REF!</v>
      </c>
      <c r="D23" s="115">
        <f>Audited!E122</f>
        <v>2859175.09</v>
      </c>
      <c r="E23" s="16">
        <f>FA!I8</f>
        <v>3743689.3995000003</v>
      </c>
      <c r="F23" s="16">
        <f>FA!I13</f>
        <v>4000745.5988249993</v>
      </c>
      <c r="G23" s="16">
        <f>FA!I18</f>
        <v>4246335.8602387495</v>
      </c>
      <c r="H23" s="16">
        <f>FA!I23</f>
        <v>3549882.2067160625</v>
      </c>
      <c r="I23" s="16">
        <f>FA!I28</f>
        <v>2987037.811949247</v>
      </c>
    </row>
    <row r="24" spans="1:15" x14ac:dyDescent="0.25">
      <c r="A24" s="26" t="s">
        <v>47</v>
      </c>
      <c r="C24" s="115" t="e">
        <f>C18-SUM(C20:C23)</f>
        <v>#REF!</v>
      </c>
      <c r="D24" s="115">
        <f>D18-D20-D23+D22</f>
        <v>2389513.0800000066</v>
      </c>
      <c r="E24" s="115">
        <f t="shared" ref="E24:I24" si="2">E18-E20-E23+E22</f>
        <v>11247873.902004004</v>
      </c>
      <c r="F24" s="115">
        <f t="shared" si="2"/>
        <v>14385176.710667696</v>
      </c>
      <c r="G24" s="115">
        <f t="shared" si="2"/>
        <v>20516470.843319286</v>
      </c>
      <c r="H24" s="115">
        <f t="shared" si="2"/>
        <v>29523910.238563173</v>
      </c>
      <c r="I24" s="115">
        <f t="shared" si="2"/>
        <v>40491998.506077304</v>
      </c>
    </row>
    <row r="25" spans="1:15" x14ac:dyDescent="0.25">
      <c r="A25" s="14"/>
      <c r="B25" s="24" t="s">
        <v>48</v>
      </c>
      <c r="C25" s="113"/>
      <c r="D25" s="113"/>
      <c r="E25" s="20"/>
      <c r="F25" s="20"/>
      <c r="G25" s="20"/>
      <c r="H25" s="20"/>
      <c r="I25" s="20"/>
    </row>
    <row r="26" spans="1:15" ht="3" customHeight="1" x14ac:dyDescent="0.25">
      <c r="C26" s="142"/>
      <c r="D26" s="142"/>
      <c r="E26" s="22"/>
      <c r="F26" s="22"/>
      <c r="G26" s="22"/>
      <c r="H26" s="22"/>
      <c r="I26" s="22"/>
    </row>
    <row r="27" spans="1:15" x14ac:dyDescent="0.25">
      <c r="A27" s="26" t="s">
        <v>49</v>
      </c>
      <c r="C27" s="143" t="e">
        <f>C24</f>
        <v>#REF!</v>
      </c>
      <c r="D27" s="143">
        <f>D24</f>
        <v>2389513.0800000066</v>
      </c>
      <c r="E27" s="27">
        <f>E24</f>
        <v>11247873.902004004</v>
      </c>
      <c r="F27" s="27">
        <f t="shared" ref="F27:I27" si="3">F24</f>
        <v>14385176.710667696</v>
      </c>
      <c r="G27" s="27">
        <f t="shared" si="3"/>
        <v>20516470.843319286</v>
      </c>
      <c r="H27" s="27">
        <f t="shared" si="3"/>
        <v>29523910.238563173</v>
      </c>
      <c r="I27" s="27">
        <f t="shared" si="3"/>
        <v>40491998.506077304</v>
      </c>
      <c r="J27" s="102"/>
      <c r="K27" s="102"/>
      <c r="L27" s="102"/>
      <c r="M27" s="102"/>
      <c r="N27" s="102"/>
      <c r="O27" s="102"/>
    </row>
    <row r="28" spans="1:15" ht="2.25" customHeight="1" x14ac:dyDescent="0.25">
      <c r="C28" s="142"/>
      <c r="D28" s="142"/>
      <c r="E28" s="22"/>
      <c r="F28" s="22"/>
      <c r="G28" s="22"/>
      <c r="H28" s="22"/>
      <c r="I28" s="22"/>
    </row>
    <row r="29" spans="1:15" x14ac:dyDescent="0.25">
      <c r="A29" s="4"/>
      <c r="B29" s="24" t="s">
        <v>50</v>
      </c>
      <c r="C29" s="142">
        <f>'General details'!C90</f>
        <v>0</v>
      </c>
      <c r="D29" s="142">
        <f>Audited!D107</f>
        <v>0</v>
      </c>
      <c r="E29" s="185">
        <f>E27*6%</f>
        <v>674872.43412024016</v>
      </c>
      <c r="F29" s="185">
        <f>F27*6%</f>
        <v>863110.60264006176</v>
      </c>
      <c r="G29" s="185">
        <f>G27*6%</f>
        <v>1230988.2505991571</v>
      </c>
      <c r="H29" s="185">
        <f>H27*6%</f>
        <v>1771434.6143137903</v>
      </c>
      <c r="I29" s="185">
        <f>I27*6%</f>
        <v>2429519.9103646381</v>
      </c>
    </row>
    <row r="30" spans="1:15" x14ac:dyDescent="0.25">
      <c r="B30" s="24" t="s">
        <v>51</v>
      </c>
      <c r="C30" s="115"/>
      <c r="D30" s="115"/>
      <c r="E30" s="21"/>
      <c r="F30" s="21"/>
      <c r="G30" s="21"/>
      <c r="H30" s="21"/>
      <c r="I30" s="21"/>
    </row>
    <row r="31" spans="1:15" hidden="1" x14ac:dyDescent="0.25">
      <c r="B31" s="24" t="s">
        <v>52</v>
      </c>
      <c r="C31" s="115"/>
      <c r="D31" s="115"/>
      <c r="E31" s="21"/>
      <c r="F31" s="21"/>
      <c r="G31" s="21"/>
      <c r="H31" s="21"/>
      <c r="I31" s="21"/>
    </row>
    <row r="32" spans="1:15" x14ac:dyDescent="0.25">
      <c r="A32" s="26" t="s">
        <v>53</v>
      </c>
      <c r="C32" s="113" t="e">
        <f>C27-SUM(C29:C31)</f>
        <v>#REF!</v>
      </c>
      <c r="D32" s="113">
        <f t="shared" ref="D32" si="4">D27-SUM(D29:D31)</f>
        <v>2389513.0800000066</v>
      </c>
      <c r="E32" s="113">
        <f t="shared" ref="E32:I32" si="5">E27-SUM(E29:E31)</f>
        <v>10573001.467883764</v>
      </c>
      <c r="F32" s="113">
        <f t="shared" si="5"/>
        <v>13522066.108027633</v>
      </c>
      <c r="G32" s="113">
        <f t="shared" si="5"/>
        <v>19285482.592720129</v>
      </c>
      <c r="H32" s="113">
        <f t="shared" si="5"/>
        <v>27752475.624249384</v>
      </c>
      <c r="I32" s="113">
        <f t="shared" si="5"/>
        <v>38062478.595712669</v>
      </c>
      <c r="J32" s="114"/>
    </row>
    <row r="33" spans="1:9" x14ac:dyDescent="0.25">
      <c r="C33" s="115"/>
      <c r="D33" s="115"/>
      <c r="E33" s="21"/>
      <c r="F33" s="21"/>
      <c r="G33" s="21"/>
      <c r="H33" s="21"/>
      <c r="I33" s="21"/>
    </row>
    <row r="34" spans="1:9" x14ac:dyDescent="0.25">
      <c r="A34" s="4"/>
      <c r="C34" s="113"/>
      <c r="D34" s="144"/>
      <c r="E34" s="20"/>
      <c r="F34" s="20"/>
      <c r="G34" s="20"/>
      <c r="H34" s="20"/>
      <c r="I34" s="20"/>
    </row>
    <row r="35" spans="1:9" x14ac:dyDescent="0.25">
      <c r="A35" s="11"/>
      <c r="C35" s="115"/>
      <c r="D35" s="145"/>
      <c r="E35" s="104"/>
      <c r="F35" s="104"/>
      <c r="G35" s="104"/>
      <c r="H35" s="104"/>
      <c r="I35" s="104"/>
    </row>
    <row r="36" spans="1:9" x14ac:dyDescent="0.25">
      <c r="B36" s="8"/>
      <c r="C36" s="115"/>
      <c r="D36" s="115"/>
      <c r="E36" s="21"/>
      <c r="F36" s="21"/>
      <c r="G36" s="21"/>
      <c r="H36" s="21"/>
      <c r="I36" s="21"/>
    </row>
    <row r="37" spans="1:9" x14ac:dyDescent="0.25">
      <c r="B37" s="7"/>
      <c r="C37" s="115"/>
      <c r="D37" s="115"/>
      <c r="E37" s="21"/>
      <c r="F37" s="21"/>
      <c r="G37" s="21"/>
      <c r="H37" s="21"/>
      <c r="I37" s="21"/>
    </row>
    <row r="38" spans="1:9" x14ac:dyDescent="0.25">
      <c r="B38" s="7"/>
      <c r="C38" s="115"/>
      <c r="D38" s="115"/>
      <c r="E38" s="21"/>
      <c r="F38" s="21"/>
      <c r="G38" s="21"/>
      <c r="H38" s="21"/>
      <c r="I38" s="21"/>
    </row>
    <row r="39" spans="1:9" x14ac:dyDescent="0.25">
      <c r="B39" s="8"/>
      <c r="C39" s="115"/>
      <c r="D39" s="115"/>
      <c r="E39" s="21"/>
      <c r="F39" s="21"/>
      <c r="G39" s="21"/>
      <c r="H39" s="21"/>
      <c r="I39" s="21"/>
    </row>
    <row r="40" spans="1:9" x14ac:dyDescent="0.25">
      <c r="A40" s="4"/>
      <c r="B40" s="11"/>
      <c r="C40" s="113"/>
      <c r="D40" s="113"/>
      <c r="E40" s="20"/>
      <c r="F40" s="20"/>
      <c r="G40" s="20"/>
      <c r="H40" s="20"/>
      <c r="I40" s="20"/>
    </row>
    <row r="41" spans="1:9" x14ac:dyDescent="0.25">
      <c r="A41" s="4"/>
      <c r="B41" s="23"/>
      <c r="C41" s="113"/>
      <c r="D41" s="113"/>
      <c r="E41" s="20"/>
      <c r="F41" s="20"/>
      <c r="G41" s="20"/>
      <c r="H41" s="20"/>
      <c r="I41" s="20"/>
    </row>
    <row r="42" spans="1:9" x14ac:dyDescent="0.25">
      <c r="C42" s="146"/>
      <c r="D42" s="146"/>
    </row>
    <row r="43" spans="1:9" x14ac:dyDescent="0.25">
      <c r="C43" s="146"/>
      <c r="D43" s="146"/>
    </row>
    <row r="44" spans="1:9" x14ac:dyDescent="0.25">
      <c r="B44" s="12"/>
      <c r="C44" s="147"/>
      <c r="D44" s="147"/>
      <c r="E44" s="13"/>
      <c r="F44" s="13"/>
      <c r="G44" s="13"/>
      <c r="H44" s="13"/>
      <c r="I44" s="13"/>
    </row>
    <row r="45" spans="1:9" x14ac:dyDescent="0.25">
      <c r="C45" s="146"/>
      <c r="D45" s="146"/>
    </row>
    <row r="46" spans="1:9" x14ac:dyDescent="0.25">
      <c r="B46" s="4"/>
      <c r="C46" s="146"/>
      <c r="D46" s="146"/>
    </row>
    <row r="47" spans="1:9" x14ac:dyDescent="0.25">
      <c r="C47" s="146"/>
      <c r="D47" s="146"/>
    </row>
    <row r="48" spans="1:9" x14ac:dyDescent="0.25">
      <c r="C48" s="146"/>
      <c r="D48" s="146"/>
    </row>
  </sheetData>
  <sheetProtection selectLockedCells="1" selectUnlockedCells="1"/>
  <mergeCells count="6">
    <mergeCell ref="B1:I1"/>
    <mergeCell ref="B2:I2"/>
    <mergeCell ref="B4:I4"/>
    <mergeCell ref="C6:D6"/>
    <mergeCell ref="E6:I6"/>
    <mergeCell ref="A3:I3"/>
  </mergeCells>
  <conditionalFormatting sqref="A3">
    <cfRule type="expression" dxfId="10" priority="1">
      <formula>D$39&lt;0</formula>
    </cfRule>
  </conditionalFormatting>
  <pageMargins left="0.7" right="0.7" top="0.75" bottom="0.75" header="0.3" footer="0.3"/>
  <pageSetup scale="86" orientation="landscape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53"/>
  <sheetViews>
    <sheetView view="pageBreakPreview" topLeftCell="A30" zoomScale="98" zoomScaleNormal="100" zoomScaleSheetLayoutView="98" workbookViewId="0">
      <selection activeCell="E17" sqref="E17"/>
    </sheetView>
  </sheetViews>
  <sheetFormatPr defaultRowHeight="15" x14ac:dyDescent="0.25"/>
  <cols>
    <col min="1" max="1" width="1.85546875" customWidth="1"/>
    <col min="2" max="2" width="57.7109375" customWidth="1"/>
    <col min="3" max="3" width="13.140625" hidden="1" customWidth="1"/>
    <col min="4" max="4" width="15.28515625" bestFit="1" customWidth="1"/>
    <col min="5" max="5" width="16.42578125" bestFit="1" customWidth="1"/>
    <col min="6" max="7" width="15.28515625" bestFit="1" customWidth="1"/>
    <col min="8" max="9" width="15.7109375" bestFit="1" customWidth="1"/>
    <col min="11" max="11" width="11.5703125" bestFit="1" customWidth="1"/>
  </cols>
  <sheetData>
    <row r="1" spans="1:11" x14ac:dyDescent="0.25">
      <c r="A1" s="482" t="str">
        <f>'General details'!C2</f>
        <v>Unique Seed Company Pvt. Ltd.</v>
      </c>
      <c r="B1" s="482"/>
      <c r="C1" s="482"/>
      <c r="D1" s="482"/>
      <c r="E1" s="482"/>
      <c r="F1" s="482"/>
      <c r="G1" s="482"/>
      <c r="H1" s="482"/>
      <c r="I1" s="482"/>
    </row>
    <row r="2" spans="1:11" x14ac:dyDescent="0.25">
      <c r="A2" s="482" t="str">
        <f>'General details'!C3</f>
        <v>Dhangadhi, Kailali</v>
      </c>
      <c r="B2" s="482"/>
      <c r="C2" s="482"/>
      <c r="D2" s="482"/>
      <c r="E2" s="482"/>
      <c r="F2" s="482"/>
      <c r="G2" s="482"/>
      <c r="H2" s="482"/>
      <c r="I2" s="482"/>
    </row>
    <row r="3" spans="1:11" x14ac:dyDescent="0.25">
      <c r="A3" s="482" t="s">
        <v>379</v>
      </c>
      <c r="B3" s="482"/>
      <c r="C3" s="482"/>
      <c r="D3" s="482"/>
      <c r="E3" s="482"/>
      <c r="F3" s="482"/>
      <c r="G3" s="482"/>
      <c r="H3" s="482"/>
      <c r="I3" s="482"/>
    </row>
    <row r="4" spans="1:11" x14ac:dyDescent="0.25">
      <c r="A4" s="350"/>
      <c r="B4" s="482" t="str">
        <f>'Profit or Loss'!B4:I4</f>
        <v>Projection on the basis of FY 2073-2074</v>
      </c>
      <c r="C4" s="482"/>
      <c r="D4" s="482"/>
      <c r="E4" s="482"/>
      <c r="F4" s="482"/>
      <c r="G4" s="482"/>
      <c r="H4" s="482"/>
      <c r="I4" s="482"/>
    </row>
    <row r="6" spans="1:11" x14ac:dyDescent="0.25">
      <c r="C6" s="483" t="s">
        <v>3</v>
      </c>
      <c r="D6" s="483"/>
      <c r="E6" s="481" t="s">
        <v>2</v>
      </c>
      <c r="F6" s="481"/>
      <c r="G6" s="481"/>
      <c r="H6" s="481"/>
      <c r="I6" s="481"/>
    </row>
    <row r="7" spans="1:11" x14ac:dyDescent="0.25">
      <c r="A7" s="2" t="s">
        <v>124</v>
      </c>
      <c r="C7" s="98" t="e">
        <f>RIGHT(A4,4)-1</f>
        <v>#VALUE!</v>
      </c>
      <c r="D7" s="98" t="str">
        <f>'Profit or Loss'!D7</f>
        <v>2074  (2017)</v>
      </c>
      <c r="E7" s="273" t="str">
        <f>'Profit or Loss'!E7</f>
        <v>2075  (2018)</v>
      </c>
      <c r="F7" s="273" t="str">
        <f>'Profit or Loss'!F7</f>
        <v>2076  (2019)</v>
      </c>
      <c r="G7" s="273" t="str">
        <f>'Profit or Loss'!G7</f>
        <v>2077  (2020)</v>
      </c>
      <c r="H7" s="273" t="str">
        <f>'Profit or Loss'!H7</f>
        <v>2078  (2021)</v>
      </c>
      <c r="I7" s="273" t="str">
        <f>'Profit or Loss'!I7</f>
        <v>2079  (2022)</v>
      </c>
    </row>
    <row r="8" spans="1:11" x14ac:dyDescent="0.25">
      <c r="A8" s="117"/>
      <c r="B8" s="116"/>
      <c r="C8" s="116"/>
      <c r="D8" s="116"/>
      <c r="E8" s="116"/>
      <c r="F8" s="118"/>
    </row>
    <row r="9" spans="1:11" x14ac:dyDescent="0.25">
      <c r="A9" s="119" t="s">
        <v>125</v>
      </c>
      <c r="B9" s="120"/>
      <c r="C9" s="120"/>
      <c r="D9" s="120"/>
      <c r="E9" s="120"/>
      <c r="F9" s="121"/>
    </row>
    <row r="10" spans="1:11" x14ac:dyDescent="0.25">
      <c r="A10" s="119" t="s">
        <v>126</v>
      </c>
      <c r="B10" s="120"/>
      <c r="C10" s="120"/>
      <c r="D10" s="120"/>
      <c r="E10" s="120"/>
      <c r="F10" s="121"/>
    </row>
    <row r="11" spans="1:11" x14ac:dyDescent="0.25">
      <c r="A11" s="120" t="s">
        <v>127</v>
      </c>
      <c r="B11" s="120"/>
      <c r="C11" s="122" t="e">
        <f>'Profit or Loss'!C27</f>
        <v>#REF!</v>
      </c>
      <c r="D11" s="122">
        <f>'Profit or Loss'!D27</f>
        <v>2389513.0800000066</v>
      </c>
      <c r="E11" s="122">
        <f>'Profit or Loss'!E27</f>
        <v>11247873.902004004</v>
      </c>
      <c r="F11" s="122">
        <f>'Profit or Loss'!F27</f>
        <v>14385176.710667696</v>
      </c>
      <c r="G11" s="122">
        <f>'Profit or Loss'!G27</f>
        <v>20516470.843319286</v>
      </c>
      <c r="H11" s="122">
        <f>'Profit or Loss'!H27</f>
        <v>29523910.238563173</v>
      </c>
      <c r="I11" s="122">
        <f>'Profit or Loss'!I27</f>
        <v>40491998.506077304</v>
      </c>
    </row>
    <row r="12" spans="1:11" x14ac:dyDescent="0.25">
      <c r="A12" s="120" t="s">
        <v>126</v>
      </c>
      <c r="B12" s="120"/>
      <c r="C12" s="120"/>
      <c r="D12" s="122"/>
      <c r="E12" s="120"/>
    </row>
    <row r="13" spans="1:11" x14ac:dyDescent="0.25">
      <c r="A13" s="123" t="s">
        <v>128</v>
      </c>
      <c r="B13" s="120"/>
      <c r="C13" s="120"/>
      <c r="D13" s="124"/>
      <c r="E13" s="120"/>
    </row>
    <row r="14" spans="1:11" x14ac:dyDescent="0.25">
      <c r="A14" s="125" t="s">
        <v>126</v>
      </c>
      <c r="B14" s="120"/>
      <c r="C14" s="120"/>
      <c r="D14" s="124"/>
      <c r="E14" s="120"/>
      <c r="K14" s="13"/>
    </row>
    <row r="15" spans="1:11" hidden="1" x14ac:dyDescent="0.25">
      <c r="A15" s="120" t="s">
        <v>46</v>
      </c>
      <c r="B15" s="120"/>
      <c r="C15" s="126" t="e">
        <f>'Profit or Loss'!C23</f>
        <v>#REF!</v>
      </c>
      <c r="D15" s="126">
        <f>'Profit or Loss'!D23</f>
        <v>2859175.09</v>
      </c>
      <c r="E15" s="126">
        <f>'Profit or Loss'!E23</f>
        <v>3743689.3995000003</v>
      </c>
      <c r="F15" s="126">
        <f>'Profit or Loss'!F23</f>
        <v>4000745.5988249993</v>
      </c>
      <c r="G15" s="126">
        <f>'Profit or Loss'!G23</f>
        <v>4246335.8602387495</v>
      </c>
      <c r="H15" s="126">
        <f>'Profit or Loss'!H23</f>
        <v>3549882.2067160625</v>
      </c>
      <c r="I15" s="126">
        <f>'Profit or Loss'!I23</f>
        <v>2987037.811949247</v>
      </c>
    </row>
    <row r="16" spans="1:11" x14ac:dyDescent="0.25">
      <c r="A16" s="120" t="s">
        <v>129</v>
      </c>
      <c r="B16" s="120"/>
      <c r="C16" s="126">
        <f>'Profit or Loss'!C29</f>
        <v>0</v>
      </c>
      <c r="D16" s="126">
        <f>'Profit or Loss'!D29</f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</row>
    <row r="17" spans="1:9" x14ac:dyDescent="0.25">
      <c r="A17" s="120" t="s">
        <v>298</v>
      </c>
      <c r="B17" s="120"/>
      <c r="C17" s="126"/>
      <c r="D17" s="126">
        <f>-'General details'!D89</f>
        <v>114825.25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</row>
    <row r="18" spans="1:9" x14ac:dyDescent="0.25">
      <c r="A18" s="120" t="s">
        <v>44</v>
      </c>
      <c r="B18" s="120"/>
      <c r="C18" s="126">
        <f>'Profit or Loss'!C20</f>
        <v>1438555.51</v>
      </c>
      <c r="D18" s="126">
        <f>'Profit or Loss'!D20</f>
        <v>2015969.3</v>
      </c>
      <c r="E18" s="126">
        <f>'Profit or Loss'!E20</f>
        <v>1500000</v>
      </c>
      <c r="F18" s="126">
        <f>'Profit or Loss'!F20</f>
        <v>2216621.2065585474</v>
      </c>
      <c r="G18" s="126">
        <f>'Profit or Loss'!G20</f>
        <v>2295788.1546217282</v>
      </c>
      <c r="H18" s="126">
        <f>'Profit or Loss'!H20</f>
        <v>2104751.1388007062</v>
      </c>
      <c r="I18" s="126">
        <f>'Profit or Loss'!I20</f>
        <v>1903981.6778456247</v>
      </c>
    </row>
    <row r="19" spans="1:9" x14ac:dyDescent="0.25">
      <c r="A19" s="120" t="s">
        <v>126</v>
      </c>
      <c r="B19" s="120"/>
      <c r="C19" s="120"/>
      <c r="D19" s="126"/>
      <c r="E19" s="120"/>
    </row>
    <row r="20" spans="1:9" x14ac:dyDescent="0.25">
      <c r="A20" s="119" t="s">
        <v>130</v>
      </c>
      <c r="B20" s="120"/>
      <c r="C20" s="127" t="e">
        <f>SUM(C11:C18)</f>
        <v>#REF!</v>
      </c>
      <c r="D20" s="127">
        <f>SUM(D11:D18)</f>
        <v>7379482.7200000063</v>
      </c>
      <c r="E20" s="127">
        <f>SUM(E11:E18)</f>
        <v>16491563.301504005</v>
      </c>
      <c r="F20" s="127">
        <f t="shared" ref="F20:I20" si="0">SUM(F11:F18)</f>
        <v>20602543.516051244</v>
      </c>
      <c r="G20" s="127">
        <f t="shared" si="0"/>
        <v>27058594.858179763</v>
      </c>
      <c r="H20" s="127">
        <f t="shared" si="0"/>
        <v>35178543.584079936</v>
      </c>
      <c r="I20" s="127">
        <f t="shared" si="0"/>
        <v>45383017.995872177</v>
      </c>
    </row>
    <row r="21" spans="1:9" x14ac:dyDescent="0.25">
      <c r="A21" s="120" t="s">
        <v>126</v>
      </c>
      <c r="B21" s="120"/>
      <c r="C21" s="120"/>
      <c r="D21" s="124"/>
      <c r="E21" s="120"/>
    </row>
    <row r="22" spans="1:9" x14ac:dyDescent="0.25">
      <c r="A22" s="120" t="s">
        <v>147</v>
      </c>
      <c r="B22" s="120"/>
      <c r="C22" s="120"/>
      <c r="D22" s="126">
        <f>-('Balance Sheet'!D40-'Balance Sheet'!C40)</f>
        <v>-3141383.49</v>
      </c>
      <c r="E22" s="126">
        <f>-('Balance Sheet'!E40-'Balance Sheet'!D40)</f>
        <v>-1799708.7699999977</v>
      </c>
      <c r="F22" s="126">
        <f>-('Balance Sheet'!F40-'Balance Sheet'!E40)</f>
        <v>-821585.64600000158</v>
      </c>
      <c r="G22" s="126">
        <f>-('Balance Sheet'!G40-'Balance Sheet'!F40)</f>
        <v>-862664.92830000073</v>
      </c>
      <c r="H22" s="126">
        <f>-('Balance Sheet'!H40-'Balance Sheet'!G40)</f>
        <v>-905798.17471500114</v>
      </c>
      <c r="I22" s="126">
        <f>-('Balance Sheet'!I40-'Balance Sheet'!H40)</f>
        <v>-951088.08345074952</v>
      </c>
    </row>
    <row r="23" spans="1:9" x14ac:dyDescent="0.25">
      <c r="A23" s="120" t="s">
        <v>148</v>
      </c>
      <c r="B23" s="120"/>
      <c r="C23" s="120"/>
      <c r="D23" s="126">
        <f>-('Balance Sheet'!D42-'Balance Sheet'!C42+'Balance Sheet'!D41-'Balance Sheet'!C41)</f>
        <v>2193202.75</v>
      </c>
      <c r="E23" s="126">
        <f>-('Balance Sheet'!E42-'Balance Sheet'!D42+'Balance Sheet'!E41-'Balance Sheet'!D41)</f>
        <v>-857040</v>
      </c>
      <c r="F23" s="126">
        <f>-('Balance Sheet'!F42-'Balance Sheet'!E42+'Balance Sheet'!F41-'Balance Sheet'!E41)</f>
        <v>-900652.89557197597</v>
      </c>
      <c r="G23" s="126">
        <f>-('Balance Sheet'!G42-'Balance Sheet'!F42+'Balance Sheet'!G41-'Balance Sheet'!F41)</f>
        <v>-1060778.6579000996</v>
      </c>
      <c r="H23" s="126">
        <f>-('Balance Sheet'!H42-'Balance Sheet'!G42+'Balance Sheet'!H41-'Balance Sheet'!G41)</f>
        <v>-1249785.9558654968</v>
      </c>
      <c r="I23" s="126">
        <f>-('Balance Sheet'!I42-'Balance Sheet'!H42+'Balance Sheet'!I41-'Balance Sheet'!H41)</f>
        <v>-1472955.7703686114</v>
      </c>
    </row>
    <row r="24" spans="1:9" x14ac:dyDescent="0.25">
      <c r="A24" s="120" t="s">
        <v>149</v>
      </c>
      <c r="B24" s="120"/>
      <c r="C24" s="120"/>
      <c r="D24" s="124">
        <f>'Balance Sheet'!D23-'Balance Sheet'!C23+'Balance Sheet'!D24-'Balance Sheet'!C24</f>
        <v>1116321.25</v>
      </c>
      <c r="E24" s="124">
        <f>'Balance Sheet'!E23-'Balance Sheet'!D23+'Balance Sheet'!E24-'Balance Sheet'!D24</f>
        <v>341316.60000000009</v>
      </c>
      <c r="F24" s="124">
        <f>'Balance Sheet'!F23-'Balance Sheet'!E23+'Balance Sheet'!F24-'Balance Sheet'!E24</f>
        <v>358685.45703442302</v>
      </c>
      <c r="G24" s="124">
        <f>'Balance Sheet'!G23-'Balance Sheet'!F23+'Balance Sheet'!G24-'Balance Sheet'!F24</f>
        <v>422455.62035263842</v>
      </c>
      <c r="H24" s="124">
        <f>'Balance Sheet'!H23-'Balance Sheet'!G23+'Balance Sheet'!H24-'Balance Sheet'!G24</f>
        <v>497727.86939204903</v>
      </c>
      <c r="I24" s="124">
        <f>'Balance Sheet'!I23-'Balance Sheet'!H23+'Balance Sheet'!I24-'Balance Sheet'!H24</f>
        <v>586605.35738424724</v>
      </c>
    </row>
    <row r="25" spans="1:9" x14ac:dyDescent="0.25">
      <c r="A25" s="120" t="s">
        <v>131</v>
      </c>
      <c r="B25" s="120"/>
      <c r="C25" s="120"/>
      <c r="D25" s="124">
        <f>'Profit or Loss'!D29</f>
        <v>0</v>
      </c>
      <c r="E25" s="124">
        <f>-'Profit or Loss'!E29</f>
        <v>-674872.43412024016</v>
      </c>
      <c r="F25" s="124">
        <f>-'Profit or Loss'!F29</f>
        <v>-863110.60264006176</v>
      </c>
      <c r="G25" s="124">
        <f>-'Profit or Loss'!G29</f>
        <v>-1230988.2505991571</v>
      </c>
      <c r="H25" s="124">
        <f>-'Profit or Loss'!H29</f>
        <v>-1771434.6143137903</v>
      </c>
      <c r="I25" s="124">
        <f>-'Profit or Loss'!I29</f>
        <v>-2429519.9103646381</v>
      </c>
    </row>
    <row r="26" spans="1:9" x14ac:dyDescent="0.25">
      <c r="A26" s="120" t="s">
        <v>132</v>
      </c>
      <c r="B26" s="120"/>
      <c r="C26" s="120"/>
      <c r="D26" s="124">
        <f>'Profit or Loss'!D30</f>
        <v>0</v>
      </c>
      <c r="E26" s="124">
        <f>'Profit or Loss'!E30</f>
        <v>0</v>
      </c>
      <c r="F26" s="124">
        <f>'Profit or Loss'!F30</f>
        <v>0</v>
      </c>
      <c r="G26" s="124">
        <f>'Profit or Loss'!G30</f>
        <v>0</v>
      </c>
      <c r="H26" s="124">
        <f>'Profit or Loss'!H30</f>
        <v>0</v>
      </c>
      <c r="I26" s="124">
        <f>'Profit or Loss'!I30</f>
        <v>0</v>
      </c>
    </row>
    <row r="27" spans="1:9" x14ac:dyDescent="0.25">
      <c r="A27" s="120" t="s">
        <v>133</v>
      </c>
      <c r="B27" s="120"/>
      <c r="C27" s="120"/>
      <c r="D27" s="124">
        <f>-D18</f>
        <v>-2015969.3</v>
      </c>
      <c r="E27" s="124">
        <f t="shared" ref="E27:I27" si="1">-E18</f>
        <v>-1500000</v>
      </c>
      <c r="F27" s="124">
        <f t="shared" si="1"/>
        <v>-2216621.2065585474</v>
      </c>
      <c r="G27" s="124">
        <f t="shared" si="1"/>
        <v>-2295788.1546217282</v>
      </c>
      <c r="H27" s="124">
        <f t="shared" si="1"/>
        <v>-2104751.1388007062</v>
      </c>
      <c r="I27" s="124">
        <f t="shared" si="1"/>
        <v>-1903981.6778456247</v>
      </c>
    </row>
    <row r="28" spans="1:9" x14ac:dyDescent="0.25">
      <c r="A28" s="119"/>
      <c r="B28" s="120"/>
      <c r="C28" s="120"/>
      <c r="D28" s="128"/>
      <c r="E28" s="120"/>
    </row>
    <row r="29" spans="1:9" x14ac:dyDescent="0.25">
      <c r="A29" s="119" t="s">
        <v>134</v>
      </c>
      <c r="B29" s="119"/>
      <c r="C29" s="120"/>
      <c r="D29" s="127">
        <f t="shared" ref="D29:I29" si="2">SUM(D20:D27)</f>
        <v>5531653.9300000062</v>
      </c>
      <c r="E29" s="127">
        <f t="shared" si="2"/>
        <v>12001258.697383767</v>
      </c>
      <c r="F29" s="127">
        <f t="shared" si="2"/>
        <v>16159258.622315079</v>
      </c>
      <c r="G29" s="127">
        <f t="shared" si="2"/>
        <v>22030830.487111416</v>
      </c>
      <c r="H29" s="127">
        <f t="shared" si="2"/>
        <v>29644501.569776997</v>
      </c>
      <c r="I29" s="127">
        <f t="shared" si="2"/>
        <v>39212077.911226802</v>
      </c>
    </row>
    <row r="30" spans="1:9" x14ac:dyDescent="0.25">
      <c r="A30" s="119" t="s">
        <v>126</v>
      </c>
      <c r="B30" s="120"/>
      <c r="C30" s="120"/>
      <c r="D30" s="129"/>
      <c r="E30" s="120"/>
    </row>
    <row r="31" spans="1:9" x14ac:dyDescent="0.25">
      <c r="A31" s="119" t="s">
        <v>135</v>
      </c>
      <c r="B31" s="120"/>
      <c r="C31" s="120"/>
      <c r="D31" s="130"/>
      <c r="E31" s="120"/>
    </row>
    <row r="32" spans="1:9" x14ac:dyDescent="0.25">
      <c r="A32" s="119" t="s">
        <v>126</v>
      </c>
      <c r="B32" s="120"/>
      <c r="C32" s="120"/>
      <c r="D32" s="124"/>
      <c r="E32" s="120"/>
    </row>
    <row r="33" spans="1:9" x14ac:dyDescent="0.25">
      <c r="A33" s="120" t="s">
        <v>136</v>
      </c>
      <c r="B33" s="120"/>
      <c r="C33" s="120"/>
      <c r="D33" s="124">
        <f>-Audited!E124</f>
        <v>-10598517.1</v>
      </c>
      <c r="E33" s="134">
        <f>-FA!I6</f>
        <v>-31700000</v>
      </c>
      <c r="F33" s="13">
        <f>-FA!I11</f>
        <v>-5400000</v>
      </c>
      <c r="G33" s="13">
        <f>-FA!I16</f>
        <v>-4450000</v>
      </c>
      <c r="H33" s="13">
        <f>-FA!I21</f>
        <v>0</v>
      </c>
      <c r="I33" s="13">
        <f>-FA!I26</f>
        <v>0</v>
      </c>
    </row>
    <row r="34" spans="1:9" x14ac:dyDescent="0.25">
      <c r="A34" s="120" t="s">
        <v>137</v>
      </c>
      <c r="B34" s="120"/>
      <c r="C34" s="120"/>
      <c r="D34" s="124">
        <v>0</v>
      </c>
      <c r="E34" s="124">
        <v>0</v>
      </c>
      <c r="F34" s="10">
        <v>0</v>
      </c>
      <c r="G34" s="10">
        <v>0</v>
      </c>
      <c r="H34" s="10">
        <v>0</v>
      </c>
      <c r="I34" s="10">
        <v>0</v>
      </c>
    </row>
    <row r="35" spans="1:9" x14ac:dyDescent="0.25">
      <c r="A35" s="120" t="s">
        <v>126</v>
      </c>
      <c r="B35" s="120"/>
      <c r="C35" s="120"/>
      <c r="D35" s="131"/>
      <c r="E35" s="120"/>
    </row>
    <row r="36" spans="1:9" x14ac:dyDescent="0.25">
      <c r="A36" s="119" t="s">
        <v>138</v>
      </c>
      <c r="B36" s="119"/>
      <c r="C36" s="120"/>
      <c r="D36" s="127">
        <f t="shared" ref="D36:I36" si="3">SUM(D33:D35)</f>
        <v>-10598517.1</v>
      </c>
      <c r="E36" s="127">
        <f t="shared" si="3"/>
        <v>-31700000</v>
      </c>
      <c r="F36" s="127">
        <f t="shared" si="3"/>
        <v>-5400000</v>
      </c>
      <c r="G36" s="127">
        <f t="shared" si="3"/>
        <v>-4450000</v>
      </c>
      <c r="H36" s="127">
        <f t="shared" si="3"/>
        <v>0</v>
      </c>
      <c r="I36" s="127">
        <f t="shared" si="3"/>
        <v>0</v>
      </c>
    </row>
    <row r="37" spans="1:9" x14ac:dyDescent="0.25">
      <c r="A37" s="120" t="s">
        <v>126</v>
      </c>
      <c r="B37" s="120"/>
      <c r="C37" s="120"/>
      <c r="D37" s="130"/>
      <c r="E37" s="120"/>
    </row>
    <row r="38" spans="1:9" x14ac:dyDescent="0.25">
      <c r="A38" s="119" t="s">
        <v>139</v>
      </c>
      <c r="B38" s="120"/>
      <c r="C38" s="120"/>
      <c r="D38" s="124"/>
      <c r="E38" s="120"/>
    </row>
    <row r="39" spans="1:9" x14ac:dyDescent="0.25">
      <c r="A39" s="119"/>
      <c r="B39" s="120"/>
      <c r="C39" s="120"/>
      <c r="D39" s="124"/>
      <c r="E39" s="120"/>
    </row>
    <row r="40" spans="1:9" x14ac:dyDescent="0.25">
      <c r="A40" s="120" t="s">
        <v>140</v>
      </c>
      <c r="B40" s="120"/>
      <c r="C40" s="120"/>
      <c r="D40" s="124">
        <f>'General details'!D73-'General details'!C73</f>
        <v>0</v>
      </c>
      <c r="E40" s="124">
        <f>'General details'!E73-'General details'!D73</f>
        <v>0</v>
      </c>
      <c r="F40" s="124">
        <f>'General details'!F73-'General details'!E73</f>
        <v>0</v>
      </c>
      <c r="G40" s="124">
        <f>'General details'!G73-'General details'!F73</f>
        <v>0</v>
      </c>
      <c r="H40" s="124">
        <f>'General details'!H73-'General details'!G73</f>
        <v>0</v>
      </c>
      <c r="I40" s="124">
        <f>'General details'!I73-'General details'!H73</f>
        <v>0</v>
      </c>
    </row>
    <row r="41" spans="1:9" x14ac:dyDescent="0.25">
      <c r="A41" s="120" t="s">
        <v>141</v>
      </c>
      <c r="B41" s="120"/>
      <c r="C41" s="120"/>
      <c r="D41" s="124">
        <f>'Balance Sheet'!D16-'Balance Sheet'!C16+'Balance Sheet'!D22-'Balance Sheet'!C22</f>
        <v>1116116.1199999992</v>
      </c>
      <c r="E41" s="124">
        <f>'Balance Sheet'!E16-'Balance Sheet'!D16+'Balance Sheet'!E22-'Balance Sheet'!D22</f>
        <v>50000000</v>
      </c>
      <c r="F41" s="124">
        <f>'Balance Sheet'!F16-'Balance Sheet'!E16+'Balance Sheet'!F22-'Balance Sheet'!E22</f>
        <v>-10605856.111349713</v>
      </c>
      <c r="G41" s="124">
        <f>'Balance Sheet'!G16-'Balance Sheet'!F16+'Balance Sheet'!G22-'Balance Sheet'!F22</f>
        <v>-3749843.0159226209</v>
      </c>
      <c r="H41" s="124">
        <f>'Balance Sheet'!H16-'Balance Sheet'!G16+'Balance Sheet'!H22-'Balance Sheet'!G22</f>
        <v>-3940880.0317436457</v>
      </c>
      <c r="I41" s="124">
        <f>'Balance Sheet'!I16-'Balance Sheet'!H16+'Balance Sheet'!I22-'Balance Sheet'!H22</f>
        <v>-4141649.492698729</v>
      </c>
    </row>
    <row r="42" spans="1:9" x14ac:dyDescent="0.25">
      <c r="A42" s="120" t="s">
        <v>142</v>
      </c>
      <c r="B42" s="120"/>
      <c r="C42" s="120"/>
      <c r="D42" s="130">
        <v>0</v>
      </c>
      <c r="E42" s="124">
        <v>0</v>
      </c>
      <c r="F42" s="10">
        <v>0</v>
      </c>
      <c r="G42" s="124">
        <v>0</v>
      </c>
      <c r="H42" s="124">
        <v>0</v>
      </c>
      <c r="I42" s="124">
        <v>0</v>
      </c>
    </row>
    <row r="43" spans="1:9" x14ac:dyDescent="0.25">
      <c r="A43" s="120"/>
      <c r="B43" s="120"/>
      <c r="C43" s="120"/>
      <c r="D43" s="130"/>
      <c r="E43" s="120"/>
    </row>
    <row r="44" spans="1:9" x14ac:dyDescent="0.25">
      <c r="A44" s="119" t="s">
        <v>143</v>
      </c>
      <c r="B44" s="120"/>
      <c r="C44" s="120"/>
      <c r="D44" s="127">
        <f>SUM(D40:D42)</f>
        <v>1116116.1199999992</v>
      </c>
      <c r="E44" s="127">
        <f t="shared" ref="E44:I44" si="4">SUM(E40:E42)</f>
        <v>50000000</v>
      </c>
      <c r="F44" s="127">
        <f t="shared" si="4"/>
        <v>-10605856.111349713</v>
      </c>
      <c r="G44" s="127">
        <f t="shared" si="4"/>
        <v>-3749843.0159226209</v>
      </c>
      <c r="H44" s="127">
        <f t="shared" si="4"/>
        <v>-3940880.0317436457</v>
      </c>
      <c r="I44" s="127">
        <f t="shared" si="4"/>
        <v>-4141649.492698729</v>
      </c>
    </row>
    <row r="45" spans="1:9" x14ac:dyDescent="0.25">
      <c r="A45" s="120" t="s">
        <v>126</v>
      </c>
      <c r="B45" s="120"/>
      <c r="C45" s="120"/>
      <c r="D45" s="130"/>
      <c r="E45" s="120"/>
    </row>
    <row r="46" spans="1:9" x14ac:dyDescent="0.25">
      <c r="A46" s="119" t="s">
        <v>144</v>
      </c>
      <c r="B46" s="120"/>
      <c r="C46" s="132"/>
      <c r="D46" s="129">
        <f>D29+D36+D44</f>
        <v>-3950747.0499999942</v>
      </c>
      <c r="E46" s="129">
        <f>E29+E36+E44</f>
        <v>30301258.697383769</v>
      </c>
      <c r="F46" s="129">
        <f t="shared" ref="F46:I46" si="5">F29+F36+F44</f>
        <v>153402.51096536592</v>
      </c>
      <c r="G46" s="129">
        <f t="shared" si="5"/>
        <v>13830987.471188795</v>
      </c>
      <c r="H46" s="129">
        <f t="shared" si="5"/>
        <v>25703621.538033351</v>
      </c>
      <c r="I46" s="129">
        <f t="shared" si="5"/>
        <v>35070428.418528073</v>
      </c>
    </row>
    <row r="47" spans="1:9" x14ac:dyDescent="0.25">
      <c r="A47" s="119" t="s">
        <v>126</v>
      </c>
      <c r="B47" s="120"/>
      <c r="C47" s="120"/>
      <c r="D47" s="130"/>
      <c r="E47" s="120"/>
    </row>
    <row r="48" spans="1:9" x14ac:dyDescent="0.25">
      <c r="A48" s="119" t="s">
        <v>145</v>
      </c>
      <c r="B48" s="120"/>
      <c r="C48" s="120"/>
      <c r="D48" s="124">
        <f>'Balance Sheet'!C39</f>
        <v>4784099.9000000004</v>
      </c>
      <c r="E48" s="134">
        <f>D50</f>
        <v>833352.85000000615</v>
      </c>
      <c r="F48" s="134">
        <f t="shared" ref="F48:I48" si="6">E50</f>
        <v>31134611.547383774</v>
      </c>
      <c r="G48" s="134">
        <f t="shared" si="6"/>
        <v>31288014.05834914</v>
      </c>
      <c r="H48" s="134">
        <f t="shared" si="6"/>
        <v>45119001.529537931</v>
      </c>
      <c r="I48" s="134">
        <f t="shared" si="6"/>
        <v>70822623.067571282</v>
      </c>
    </row>
    <row r="49" spans="1:9" x14ac:dyDescent="0.25">
      <c r="A49" s="120" t="s">
        <v>126</v>
      </c>
      <c r="B49" s="120"/>
      <c r="C49" s="120"/>
      <c r="D49" s="124"/>
      <c r="E49" s="120"/>
    </row>
    <row r="50" spans="1:9" ht="15.75" thickBot="1" x14ac:dyDescent="0.3">
      <c r="A50" s="119" t="s">
        <v>146</v>
      </c>
      <c r="B50" s="120"/>
      <c r="C50" s="120"/>
      <c r="D50" s="133">
        <f>D46+D48</f>
        <v>833352.85000000615</v>
      </c>
      <c r="E50" s="133">
        <f t="shared" ref="E50:I50" si="7">E46+E48</f>
        <v>31134611.547383774</v>
      </c>
      <c r="F50" s="133">
        <f t="shared" si="7"/>
        <v>31288014.05834914</v>
      </c>
      <c r="G50" s="133">
        <f t="shared" si="7"/>
        <v>45119001.529537931</v>
      </c>
      <c r="H50" s="133">
        <f t="shared" si="7"/>
        <v>70822623.067571282</v>
      </c>
      <c r="I50" s="133">
        <f t="shared" si="7"/>
        <v>105893051.48609936</v>
      </c>
    </row>
    <row r="51" spans="1:9" ht="15.75" thickTop="1" x14ac:dyDescent="0.25"/>
    <row r="52" spans="1:9" x14ac:dyDescent="0.25">
      <c r="D52" s="13"/>
      <c r="E52" s="13"/>
    </row>
    <row r="53" spans="1:9" x14ac:dyDescent="0.25">
      <c r="E53" s="13"/>
    </row>
  </sheetData>
  <sheetProtection selectLockedCells="1" selectUnlockedCells="1"/>
  <mergeCells count="6">
    <mergeCell ref="A1:I1"/>
    <mergeCell ref="A2:I2"/>
    <mergeCell ref="C6:D6"/>
    <mergeCell ref="E6:I6"/>
    <mergeCell ref="A3:I3"/>
    <mergeCell ref="B4:I4"/>
  </mergeCells>
  <conditionalFormatting sqref="F1:I2 F5:I50">
    <cfRule type="expression" dxfId="9" priority="2">
      <formula>J$49&lt;0</formula>
    </cfRule>
  </conditionalFormatting>
  <conditionalFormatting sqref="A1:E2 A5:E50 A4:B4">
    <cfRule type="expression" dxfId="8" priority="10">
      <formula>E$50&lt;0</formula>
    </cfRule>
  </conditionalFormatting>
  <pageMargins left="0.7" right="0.7" top="0.75" bottom="0.75" header="0.3" footer="0.3"/>
  <pageSetup scale="7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06D0E0-9A0D-4D4C-A20B-87492F23B8F0}">
            <xm:f>'Balance Sheet'!D$39&lt;0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S27"/>
  <sheetViews>
    <sheetView topLeftCell="H1" zoomScale="112" zoomScaleNormal="112" workbookViewId="0">
      <selection activeCell="K10" sqref="K10"/>
    </sheetView>
  </sheetViews>
  <sheetFormatPr defaultRowHeight="15" x14ac:dyDescent="0.25"/>
  <cols>
    <col min="2" max="2" width="11.85546875" customWidth="1"/>
    <col min="3" max="3" width="12.42578125" customWidth="1"/>
    <col min="4" max="4" width="15.140625" customWidth="1"/>
    <col min="5" max="5" width="14.28515625" customWidth="1"/>
    <col min="6" max="6" width="15.28515625" customWidth="1"/>
    <col min="7" max="7" width="13.85546875" customWidth="1"/>
    <col min="8" max="9" width="14.28515625" customWidth="1"/>
    <col min="10" max="10" width="9.85546875" customWidth="1"/>
    <col min="11" max="11" width="14.28515625" bestFit="1" customWidth="1"/>
    <col min="12" max="12" width="11.5703125" customWidth="1"/>
    <col min="13" max="13" width="15" customWidth="1"/>
    <col min="14" max="14" width="14.28515625" customWidth="1"/>
    <col min="16" max="16" width="12.85546875" customWidth="1"/>
    <col min="17" max="17" width="10.85546875" customWidth="1"/>
    <col min="18" max="19" width="12" bestFit="1" customWidth="1"/>
  </cols>
  <sheetData>
    <row r="3" spans="1:19" x14ac:dyDescent="0.25">
      <c r="A3" t="s">
        <v>110</v>
      </c>
      <c r="B3" s="352" t="s">
        <v>394</v>
      </c>
      <c r="C3" s="352" t="s">
        <v>406</v>
      </c>
      <c r="D3" s="352" t="s">
        <v>465</v>
      </c>
      <c r="E3" s="352" t="s">
        <v>464</v>
      </c>
      <c r="F3" s="352" t="s">
        <v>393</v>
      </c>
      <c r="G3" s="352" t="s">
        <v>466</v>
      </c>
      <c r="H3" s="352" t="s">
        <v>401</v>
      </c>
      <c r="I3" s="352" t="s">
        <v>467</v>
      </c>
      <c r="J3" s="352" t="s">
        <v>402</v>
      </c>
      <c r="K3" s="352" t="s">
        <v>457</v>
      </c>
      <c r="L3" s="352" t="s">
        <v>462</v>
      </c>
      <c r="M3" s="352" t="s">
        <v>458</v>
      </c>
      <c r="N3" s="352" t="s">
        <v>463</v>
      </c>
      <c r="O3" s="352" t="s">
        <v>459</v>
      </c>
      <c r="P3" s="352" t="s">
        <v>460</v>
      </c>
      <c r="Q3" s="352" t="s">
        <v>461</v>
      </c>
      <c r="R3" s="414" t="s">
        <v>477</v>
      </c>
      <c r="S3" s="414" t="s">
        <v>478</v>
      </c>
    </row>
    <row r="4" spans="1:19" x14ac:dyDescent="0.25">
      <c r="A4">
        <v>0</v>
      </c>
      <c r="B4" s="355" t="s">
        <v>403</v>
      </c>
      <c r="C4" s="395">
        <f>+'General details'!K11/1000</f>
        <v>477.97587599999991</v>
      </c>
      <c r="D4" s="395">
        <f>+'General details'!P11</f>
        <v>20552962.667999998</v>
      </c>
      <c r="E4" s="395">
        <f>+D4/C4</f>
        <v>43000</v>
      </c>
      <c r="F4" s="395">
        <f>+'Cost of Sale'!B10*0.36</f>
        <v>18689742.453599997</v>
      </c>
      <c r="G4" s="395">
        <f>+F4/C4</f>
        <v>39101.853026574085</v>
      </c>
      <c r="H4" s="395">
        <f>+D4-F4</f>
        <v>1863220.2144000009</v>
      </c>
      <c r="I4" s="395">
        <f>+H4/C4</f>
        <v>3898.1469734259167</v>
      </c>
      <c r="J4" s="395">
        <f>+(H4/D4)*100</f>
        <v>9.0654580777346894</v>
      </c>
      <c r="K4" s="395">
        <f>+'Cost of Sale'!B50*0.4+F4</f>
        <v>19914136.453599997</v>
      </c>
      <c r="L4" s="401">
        <f>+K4/C4</f>
        <v>41663.476031999577</v>
      </c>
      <c r="M4" s="401">
        <f>+D4-K4</f>
        <v>638826.21440000087</v>
      </c>
      <c r="N4" s="401">
        <f>+M4/C4</f>
        <v>1336.523968000429</v>
      </c>
      <c r="O4" s="390">
        <f>+(M4/D4)*100</f>
        <v>3.108195274419602</v>
      </c>
      <c r="P4" s="390">
        <f>+G4+(L4/C4)</f>
        <v>39189.019509495076</v>
      </c>
      <c r="Q4" s="447">
        <f>+P4/0.9</f>
        <v>43543.355010550084</v>
      </c>
      <c r="R4" s="406">
        <f>+P4*1.2</f>
        <v>47026.823411394093</v>
      </c>
      <c r="S4" s="428">
        <f>+P4*1.3</f>
        <v>50945.725362343597</v>
      </c>
    </row>
    <row r="5" spans="1:19" x14ac:dyDescent="0.25">
      <c r="A5">
        <v>0</v>
      </c>
      <c r="B5" s="355" t="s">
        <v>60</v>
      </c>
      <c r="C5" s="395">
        <f>+'General details'!K12/1000</f>
        <v>428.51400000000001</v>
      </c>
      <c r="D5" s="395">
        <f>+'General details'!P12</f>
        <v>25710840</v>
      </c>
      <c r="E5" s="395">
        <f t="shared" ref="E5:E7" si="0">+D5/C5</f>
        <v>60000</v>
      </c>
      <c r="F5" s="395">
        <f>+'Cost of Sale'!B10*0.51</f>
        <v>26477135.1426</v>
      </c>
      <c r="G5" s="395">
        <f t="shared" ref="G5:G27" si="1">+F5/C5</f>
        <v>61788.261626457941</v>
      </c>
      <c r="H5" s="395">
        <f t="shared" ref="H5:H6" si="2">+D5-F5</f>
        <v>-766295.1425999999</v>
      </c>
      <c r="I5" s="395">
        <f t="shared" ref="I5:I27" si="3">+H5/C5</f>
        <v>-1788.2616264579451</v>
      </c>
      <c r="J5" s="395">
        <f t="shared" ref="J5:J27" si="4">+(H5/D5)*100</f>
        <v>-2.9804360440965754</v>
      </c>
      <c r="K5" s="395">
        <f>+'Cost of Sale'!B51*0.4+F5</f>
        <v>26477135.1426</v>
      </c>
      <c r="L5" s="401">
        <f t="shared" ref="L5:L27" si="5">+K5/C5</f>
        <v>61788.261626457941</v>
      </c>
      <c r="M5" s="401">
        <f>+D5-K5</f>
        <v>-766295.1425999999</v>
      </c>
      <c r="N5" s="401">
        <f t="shared" ref="N5:N27" si="6">+M5/C5</f>
        <v>-1788.2616264579451</v>
      </c>
      <c r="O5" s="390">
        <f>+(M5/D5)*100</f>
        <v>-2.9804360440965754</v>
      </c>
      <c r="P5" s="390">
        <f>+G5+(L5/C5)</f>
        <v>61932.45355863859</v>
      </c>
      <c r="Q5" s="390">
        <f t="shared" ref="Q5:Q27" si="7">+P5/0.9</f>
        <v>68813.837287376213</v>
      </c>
      <c r="R5" s="406">
        <f t="shared" ref="R5:R27" si="8">+P5*1.2</f>
        <v>74318.944270366308</v>
      </c>
      <c r="S5" s="428">
        <f t="shared" ref="S5:S27" si="9">+P5*1.3</f>
        <v>80512.189626230174</v>
      </c>
    </row>
    <row r="6" spans="1:19" x14ac:dyDescent="0.25">
      <c r="A6">
        <v>0</v>
      </c>
      <c r="B6" s="355" t="s">
        <v>61</v>
      </c>
      <c r="C6" s="395">
        <f>+'General details'!K13/1000</f>
        <v>112.5788</v>
      </c>
      <c r="D6" s="395">
        <f>+'General details'!P13</f>
        <v>6754728</v>
      </c>
      <c r="E6" s="395">
        <f t="shared" si="0"/>
        <v>60000</v>
      </c>
      <c r="F6" s="395">
        <f>+'Cost of Sale'!B10*0.13</f>
        <v>6749073.6638000002</v>
      </c>
      <c r="G6" s="395">
        <f t="shared" si="1"/>
        <v>59949.774414010455</v>
      </c>
      <c r="H6" s="395">
        <f t="shared" si="2"/>
        <v>5654.3361999997869</v>
      </c>
      <c r="I6" s="395">
        <f t="shared" si="3"/>
        <v>50.225585989544982</v>
      </c>
      <c r="J6" s="395">
        <f t="shared" si="4"/>
        <v>8.3709309982574975E-2</v>
      </c>
      <c r="K6" s="395">
        <f>+'Cost of Sale'!B52*0.15+F6</f>
        <v>6749073.6638000002</v>
      </c>
      <c r="L6" s="401">
        <f t="shared" si="5"/>
        <v>59949.774414010455</v>
      </c>
      <c r="M6" s="401">
        <f>+D6-K6</f>
        <v>5654.3361999997869</v>
      </c>
      <c r="N6" s="401">
        <f t="shared" si="6"/>
        <v>50.225585989544982</v>
      </c>
      <c r="O6" s="390">
        <f>+(M6/D6)*100</f>
        <v>8.3709309982574975E-2</v>
      </c>
      <c r="P6" s="390">
        <f>+G6+(L6/C6)</f>
        <v>60482.288301296612</v>
      </c>
      <c r="Q6" s="427">
        <f t="shared" si="7"/>
        <v>67202.542556996239</v>
      </c>
      <c r="R6" s="406">
        <f t="shared" si="8"/>
        <v>72578.745961555935</v>
      </c>
      <c r="S6" s="406">
        <f t="shared" si="9"/>
        <v>78626.974791685599</v>
      </c>
    </row>
    <row r="7" spans="1:19" x14ac:dyDescent="0.25">
      <c r="A7">
        <v>0</v>
      </c>
      <c r="B7" s="355" t="s">
        <v>62</v>
      </c>
      <c r="C7" s="395">
        <f>+'General details'!K14/1000</f>
        <v>3.798</v>
      </c>
      <c r="D7" s="395">
        <f>+'General details'!P14</f>
        <v>493740</v>
      </c>
      <c r="E7" s="395">
        <f t="shared" si="0"/>
        <v>130000</v>
      </c>
      <c r="F7" s="395">
        <f>+'Cost of Sale'!B10*0.01</f>
        <v>519159.51260000002</v>
      </c>
      <c r="G7" s="395">
        <f t="shared" si="1"/>
        <v>136692.86798314902</v>
      </c>
      <c r="H7" s="395">
        <f>+D7-F7</f>
        <v>-25419.512600000016</v>
      </c>
      <c r="I7" s="395">
        <f t="shared" si="3"/>
        <v>-6692.8679831490299</v>
      </c>
      <c r="J7" s="395">
        <f t="shared" si="4"/>
        <v>-5.1483599870377157</v>
      </c>
      <c r="K7" s="395">
        <f>+'Cost of Sale'!B53*0.05+F7</f>
        <v>519159.51260000002</v>
      </c>
      <c r="L7" s="401">
        <f t="shared" si="5"/>
        <v>136692.86798314902</v>
      </c>
      <c r="M7" s="401">
        <f>+D7-K7</f>
        <v>-25419.512600000016</v>
      </c>
      <c r="N7" s="401">
        <f t="shared" si="6"/>
        <v>-6692.8679831490299</v>
      </c>
      <c r="O7" s="390">
        <f>+(M7/D7)*100</f>
        <v>-5.1483599870377157</v>
      </c>
      <c r="P7" s="390">
        <f>+G7+(L7/C7)</f>
        <v>172683.61784706399</v>
      </c>
      <c r="Q7" s="390">
        <f t="shared" si="7"/>
        <v>191870.68649673776</v>
      </c>
      <c r="R7" s="406">
        <f t="shared" si="8"/>
        <v>207220.34141647679</v>
      </c>
      <c r="S7" s="406">
        <f t="shared" si="9"/>
        <v>224488.70320118318</v>
      </c>
    </row>
    <row r="8" spans="1:19" s="363" customFormat="1" x14ac:dyDescent="0.25">
      <c r="A8" s="363">
        <v>1</v>
      </c>
      <c r="B8" s="356" t="s">
        <v>403</v>
      </c>
      <c r="C8" s="403">
        <f>+Inventories!J5/1000</f>
        <v>554.45201615999997</v>
      </c>
      <c r="D8" s="362">
        <f>+Inventories!M5</f>
        <v>25033508.529624</v>
      </c>
      <c r="E8" s="403">
        <f>+D8/C8</f>
        <v>45150</v>
      </c>
      <c r="F8" s="403">
        <f>+'Cost of Sale'!$D$10*0.365</f>
        <v>17783892.584692799</v>
      </c>
      <c r="G8" s="404">
        <f t="shared" si="1"/>
        <v>32074.71894116234</v>
      </c>
      <c r="H8" s="404">
        <f t="shared" ref="H8:H27" si="10">+D8-F8</f>
        <v>7249615.9449312016</v>
      </c>
      <c r="I8" s="404">
        <f t="shared" si="3"/>
        <v>13075.281058837663</v>
      </c>
      <c r="J8" s="404">
        <f t="shared" si="4"/>
        <v>28.959647970847534</v>
      </c>
      <c r="K8" s="403">
        <f>+'Cost of Sale'!$B$50*0.4+F8</f>
        <v>19008286.584692799</v>
      </c>
      <c r="L8" s="405">
        <f t="shared" si="5"/>
        <v>34283.014635494656</v>
      </c>
      <c r="M8" s="405">
        <f t="shared" ref="M8:M27" si="11">+D8-K8</f>
        <v>6025221.9449312016</v>
      </c>
      <c r="N8" s="405">
        <f t="shared" si="6"/>
        <v>10866.985364505346</v>
      </c>
      <c r="O8" s="402">
        <f t="shared" ref="O8:O27" si="12">+(M8/D8)*100</f>
        <v>24.068627606877843</v>
      </c>
      <c r="P8" s="402">
        <f t="shared" ref="P8:P27" si="13">+G8+(L8/C8)</f>
        <v>32136.551189285325</v>
      </c>
      <c r="Q8" s="402">
        <f t="shared" si="7"/>
        <v>35707.279099205916</v>
      </c>
      <c r="R8" s="415">
        <f t="shared" si="8"/>
        <v>38563.861427142387</v>
      </c>
      <c r="S8" s="415">
        <f>+P8*1.3</f>
        <v>41777.516546070925</v>
      </c>
    </row>
    <row r="9" spans="1:19" s="363" customFormat="1" x14ac:dyDescent="0.25">
      <c r="A9" s="363">
        <v>1</v>
      </c>
      <c r="B9" s="356" t="s">
        <v>60</v>
      </c>
      <c r="C9" s="403">
        <f>+Inventories!J6/1000</f>
        <v>503.97767999999991</v>
      </c>
      <c r="D9" s="362">
        <f>+Inventories!M6</f>
        <v>31750593.839999996</v>
      </c>
      <c r="E9" s="403">
        <f t="shared" ref="E9:E27" si="14">+D9/C9</f>
        <v>63000.000000000007</v>
      </c>
      <c r="F9" s="403">
        <f>+'Cost of Sale'!$D$10*0.5</f>
        <v>24361496.691359997</v>
      </c>
      <c r="G9" s="404">
        <f t="shared" si="1"/>
        <v>48338.443661552636</v>
      </c>
      <c r="H9" s="404">
        <f t="shared" si="10"/>
        <v>7389097.1486399993</v>
      </c>
      <c r="I9" s="404">
        <f t="shared" si="3"/>
        <v>14661.55633844737</v>
      </c>
      <c r="J9" s="404">
        <f t="shared" si="4"/>
        <v>23.272311648329158</v>
      </c>
      <c r="K9" s="403">
        <f>+'Cost of Sale'!$B$50*0.45+F9</f>
        <v>25738939.941359997</v>
      </c>
      <c r="L9" s="405">
        <f t="shared" si="5"/>
        <v>51071.587022187174</v>
      </c>
      <c r="M9" s="405">
        <f t="shared" si="11"/>
        <v>6011653.8986399993</v>
      </c>
      <c r="N9" s="405">
        <f t="shared" si="6"/>
        <v>11928.412977812828</v>
      </c>
      <c r="O9" s="402">
        <f t="shared" si="12"/>
        <v>18.933988853671156</v>
      </c>
      <c r="P9" s="402">
        <f t="shared" si="13"/>
        <v>48439.780663267054</v>
      </c>
      <c r="Q9" s="402">
        <f t="shared" si="7"/>
        <v>53821.978514741168</v>
      </c>
      <c r="R9" s="415">
        <f t="shared" si="8"/>
        <v>58127.736795920464</v>
      </c>
      <c r="S9" s="415">
        <f t="shared" si="9"/>
        <v>62971.714862247172</v>
      </c>
    </row>
    <row r="10" spans="1:19" s="363" customFormat="1" x14ac:dyDescent="0.25">
      <c r="A10" s="363">
        <v>1</v>
      </c>
      <c r="B10" s="356" t="s">
        <v>61</v>
      </c>
      <c r="C10" s="403">
        <f>+Inventories!J7/1000</f>
        <v>129.46562</v>
      </c>
      <c r="D10" s="362">
        <f>+Inventories!M7</f>
        <v>8156334.0600000005</v>
      </c>
      <c r="E10" s="403">
        <f t="shared" si="14"/>
        <v>63000</v>
      </c>
      <c r="F10" s="403">
        <f>+'Cost of Sale'!$D$10*0.13</f>
        <v>6333989.1397535997</v>
      </c>
      <c r="G10" s="404">
        <f t="shared" si="1"/>
        <v>48924.101547218481</v>
      </c>
      <c r="H10" s="404">
        <f t="shared" si="10"/>
        <v>1822344.9202464009</v>
      </c>
      <c r="I10" s="404">
        <f t="shared" si="3"/>
        <v>14075.898452781525</v>
      </c>
      <c r="J10" s="404">
        <f t="shared" si="4"/>
        <v>22.342695956796071</v>
      </c>
      <c r="K10" s="403">
        <f>+'Cost of Sale'!$B$50*0.14+F10</f>
        <v>6762527.0397536</v>
      </c>
      <c r="L10" s="405">
        <f t="shared" si="5"/>
        <v>52234.153281416329</v>
      </c>
      <c r="M10" s="405">
        <f t="shared" si="11"/>
        <v>1393807.0202464005</v>
      </c>
      <c r="N10" s="405">
        <f t="shared" si="6"/>
        <v>10765.846718583671</v>
      </c>
      <c r="O10" s="402">
        <f t="shared" si="12"/>
        <v>17.088645585053445</v>
      </c>
      <c r="P10" s="402">
        <f t="shared" si="13"/>
        <v>49327.56119373635</v>
      </c>
      <c r="Q10" s="402">
        <f t="shared" si="7"/>
        <v>54808.401326373722</v>
      </c>
      <c r="R10" s="415">
        <f t="shared" si="8"/>
        <v>59193.073432483616</v>
      </c>
      <c r="S10" s="415">
        <f t="shared" si="9"/>
        <v>64125.829551857256</v>
      </c>
    </row>
    <row r="11" spans="1:19" s="363" customFormat="1" x14ac:dyDescent="0.25">
      <c r="A11" s="363">
        <v>1</v>
      </c>
      <c r="B11" s="356" t="s">
        <v>62</v>
      </c>
      <c r="C11" s="403">
        <f>+Inventories!J8/1000</f>
        <v>7.2863999999999995</v>
      </c>
      <c r="D11" s="362">
        <f>+Inventories!M8</f>
        <v>994593.6</v>
      </c>
      <c r="E11" s="403">
        <f t="shared" si="14"/>
        <v>136500</v>
      </c>
      <c r="F11" s="403">
        <f>+'Cost of Sale'!$D$10*0.015</f>
        <v>730844.90074079984</v>
      </c>
      <c r="G11" s="404">
        <f t="shared" si="1"/>
        <v>100302.60495454544</v>
      </c>
      <c r="H11" s="405">
        <f>+D11-F11</f>
        <v>263748.69925920013</v>
      </c>
      <c r="I11" s="404">
        <f t="shared" si="3"/>
        <v>36197.395045454563</v>
      </c>
      <c r="J11" s="404">
        <f t="shared" si="4"/>
        <v>26.51823812853814</v>
      </c>
      <c r="K11" s="403">
        <f>+'Cost of Sale'!$B$50*0.01+F11</f>
        <v>761454.75074079982</v>
      </c>
      <c r="L11" s="405">
        <f t="shared" si="5"/>
        <v>104503.56153118136</v>
      </c>
      <c r="M11" s="405">
        <f t="shared" si="11"/>
        <v>233138.84925920016</v>
      </c>
      <c r="N11" s="405">
        <f t="shared" si="6"/>
        <v>31996.438468818644</v>
      </c>
      <c r="O11" s="402">
        <f t="shared" si="12"/>
        <v>23.440614262870803</v>
      </c>
      <c r="P11" s="402">
        <f t="shared" si="13"/>
        <v>114644.88118576819</v>
      </c>
      <c r="Q11" s="402">
        <f t="shared" si="7"/>
        <v>127383.2013175202</v>
      </c>
      <c r="R11" s="415">
        <f t="shared" si="8"/>
        <v>137573.85742292181</v>
      </c>
      <c r="S11" s="415">
        <f t="shared" si="9"/>
        <v>149038.34554149865</v>
      </c>
    </row>
    <row r="12" spans="1:19" s="197" customFormat="1" x14ac:dyDescent="0.25">
      <c r="A12" s="197">
        <v>2</v>
      </c>
      <c r="B12" s="416" t="s">
        <v>403</v>
      </c>
      <c r="C12" s="417">
        <f>+Inventories!X5/1000</f>
        <v>643.16433874559993</v>
      </c>
      <c r="D12" s="418">
        <f>+Inventories!AA5</f>
        <v>30490813.389082029</v>
      </c>
      <c r="E12" s="417">
        <f t="shared" si="14"/>
        <v>47407.5</v>
      </c>
      <c r="F12" s="417">
        <f>+'Cost of Sale'!$E$10*0.365</f>
        <v>22162818.669629835</v>
      </c>
      <c r="G12" s="419">
        <f t="shared" si="1"/>
        <v>34459.029107327755</v>
      </c>
      <c r="H12" s="420">
        <f>+D12-F12</f>
        <v>8327994.7194521949</v>
      </c>
      <c r="I12" s="419">
        <f t="shared" si="3"/>
        <v>12948.470892672249</v>
      </c>
      <c r="J12" s="419">
        <f t="shared" si="4"/>
        <v>27.313127443278486</v>
      </c>
      <c r="K12" s="417">
        <f>+'Cost of Sale'!$D$50*0.4+F12</f>
        <v>23327671.069629833</v>
      </c>
      <c r="L12" s="420">
        <f t="shared" si="5"/>
        <v>36270.156263836267</v>
      </c>
      <c r="M12" s="420">
        <f t="shared" si="11"/>
        <v>7163142.3194521964</v>
      </c>
      <c r="N12" s="420">
        <f t="shared" si="6"/>
        <v>11137.343736163732</v>
      </c>
      <c r="O12" s="421">
        <f t="shared" si="12"/>
        <v>23.49278855911772</v>
      </c>
      <c r="P12" s="421">
        <f t="shared" si="13"/>
        <v>34515.422402289623</v>
      </c>
      <c r="Q12" s="421">
        <f t="shared" si="7"/>
        <v>38350.469335877358</v>
      </c>
      <c r="R12" s="422">
        <f t="shared" si="8"/>
        <v>41418.506882747548</v>
      </c>
      <c r="S12" s="415">
        <f>+P12*1.3</f>
        <v>44870.04912297651</v>
      </c>
    </row>
    <row r="13" spans="1:19" s="197" customFormat="1" x14ac:dyDescent="0.25">
      <c r="A13" s="197">
        <v>2</v>
      </c>
      <c r="B13" s="416" t="s">
        <v>60</v>
      </c>
      <c r="C13" s="417">
        <f>+Inventories!X6/1000</f>
        <v>604.77321600000005</v>
      </c>
      <c r="D13" s="418">
        <f>+Inventories!AA6</f>
        <v>40005748.238400005</v>
      </c>
      <c r="E13" s="417">
        <f t="shared" si="14"/>
        <v>66150</v>
      </c>
      <c r="F13" s="417">
        <f>+'Cost of Sale'!$E$10*0.5</f>
        <v>30360025.57483539</v>
      </c>
      <c r="G13" s="419">
        <f t="shared" si="1"/>
        <v>50200.678157736715</v>
      </c>
      <c r="H13" s="419">
        <f t="shared" si="10"/>
        <v>9645722.663564615</v>
      </c>
      <c r="I13" s="419">
        <f t="shared" si="3"/>
        <v>15949.321842263289</v>
      </c>
      <c r="J13" s="419">
        <f t="shared" si="4"/>
        <v>24.110841787246091</v>
      </c>
      <c r="K13" s="417">
        <f>+'Cost of Sale'!$D$50*0.45+F13</f>
        <v>31670484.524835389</v>
      </c>
      <c r="L13" s="420">
        <f t="shared" si="5"/>
        <v>52367.538255588668</v>
      </c>
      <c r="M13" s="420">
        <f t="shared" si="11"/>
        <v>8335263.7135646157</v>
      </c>
      <c r="N13" s="420">
        <f t="shared" si="6"/>
        <v>13782.461744411337</v>
      </c>
      <c r="O13" s="421">
        <f t="shared" si="12"/>
        <v>20.835165146502398</v>
      </c>
      <c r="P13" s="421">
        <f t="shared" si="13"/>
        <v>50287.268530574242</v>
      </c>
      <c r="Q13" s="421">
        <f t="shared" si="7"/>
        <v>55874.742811749158</v>
      </c>
      <c r="R13" s="422">
        <f t="shared" si="8"/>
        <v>60344.722236689086</v>
      </c>
      <c r="S13" s="415">
        <f t="shared" si="9"/>
        <v>65373.449089746515</v>
      </c>
    </row>
    <row r="14" spans="1:19" s="197" customFormat="1" x14ac:dyDescent="0.25">
      <c r="A14" s="197">
        <v>2</v>
      </c>
      <c r="B14" s="416" t="s">
        <v>61</v>
      </c>
      <c r="C14" s="417">
        <f>+Inventories!X7/1000</f>
        <v>148.88546300000002</v>
      </c>
      <c r="D14" s="418">
        <f>+Inventories!AA7</f>
        <v>9848773.3774500024</v>
      </c>
      <c r="E14" s="417">
        <f t="shared" si="14"/>
        <v>66150.000000000015</v>
      </c>
      <c r="F14" s="417">
        <f>+'Cost of Sale'!$E$10*0.13</f>
        <v>7893606.6494572014</v>
      </c>
      <c r="G14" s="419">
        <f t="shared" si="1"/>
        <v>53017.981006360576</v>
      </c>
      <c r="H14" s="419">
        <f t="shared" si="10"/>
        <v>1955166.727992801</v>
      </c>
      <c r="I14" s="419">
        <f t="shared" si="3"/>
        <v>13132.018993639431</v>
      </c>
      <c r="J14" s="419">
        <f t="shared" si="4"/>
        <v>19.851880564836627</v>
      </c>
      <c r="K14" s="417">
        <f>+'Cost of Sale'!$D$50*0.14+F14</f>
        <v>8301304.9894572012</v>
      </c>
      <c r="L14" s="420">
        <f t="shared" si="5"/>
        <v>55756.316447477482</v>
      </c>
      <c r="M14" s="420">
        <f t="shared" si="11"/>
        <v>1547468.3879928011</v>
      </c>
      <c r="N14" s="420">
        <f t="shared" si="6"/>
        <v>10393.683552522525</v>
      </c>
      <c r="O14" s="421">
        <f t="shared" si="12"/>
        <v>15.712295619837526</v>
      </c>
      <c r="P14" s="421">
        <f t="shared" si="13"/>
        <v>53392.472345702939</v>
      </c>
      <c r="Q14" s="421">
        <f t="shared" si="7"/>
        <v>59324.969273003262</v>
      </c>
      <c r="R14" s="422">
        <f t="shared" si="8"/>
        <v>64070.966814843523</v>
      </c>
      <c r="S14" s="415">
        <f t="shared" si="9"/>
        <v>69410.214049413829</v>
      </c>
    </row>
    <row r="15" spans="1:19" s="197" customFormat="1" x14ac:dyDescent="0.25">
      <c r="A15" s="197">
        <v>2</v>
      </c>
      <c r="B15" s="416" t="s">
        <v>62</v>
      </c>
      <c r="C15" s="417">
        <f>+Inventories!X8/1000</f>
        <v>8.0150400000000008</v>
      </c>
      <c r="D15" s="418">
        <f>+Inventories!AA8</f>
        <v>1148755.6080000002</v>
      </c>
      <c r="E15" s="417">
        <f t="shared" si="14"/>
        <v>143325.00000000003</v>
      </c>
      <c r="F15" s="417">
        <f>+'Cost of Sale'!$E$10*0.015</f>
        <v>910800.7672450617</v>
      </c>
      <c r="G15" s="419">
        <f t="shared" si="1"/>
        <v>113636.45936203208</v>
      </c>
      <c r="H15" s="419">
        <f t="shared" si="10"/>
        <v>237954.84075493854</v>
      </c>
      <c r="I15" s="419">
        <f t="shared" si="3"/>
        <v>29688.540637967937</v>
      </c>
      <c r="J15" s="419">
        <f t="shared" si="4"/>
        <v>20.714139639258981</v>
      </c>
      <c r="K15" s="417">
        <f>+'Cost of Sale'!$D$50*0.01+F15</f>
        <v>939922.07724506175</v>
      </c>
      <c r="L15" s="420">
        <f t="shared" si="5"/>
        <v>117269.79244583454</v>
      </c>
      <c r="M15" s="420">
        <f t="shared" si="11"/>
        <v>208833.53075493849</v>
      </c>
      <c r="N15" s="420">
        <f t="shared" si="6"/>
        <v>26055.207554165478</v>
      </c>
      <c r="O15" s="421">
        <f t="shared" si="12"/>
        <v>18.179108706900731</v>
      </c>
      <c r="P15" s="421">
        <f t="shared" si="13"/>
        <v>128267.67672911129</v>
      </c>
      <c r="Q15" s="421">
        <f t="shared" si="7"/>
        <v>142519.64081012364</v>
      </c>
      <c r="R15" s="422">
        <f t="shared" si="8"/>
        <v>153921.21207493354</v>
      </c>
      <c r="S15" s="415">
        <f t="shared" si="9"/>
        <v>166747.97974784469</v>
      </c>
    </row>
    <row r="16" spans="1:19" s="413" customFormat="1" x14ac:dyDescent="0.25">
      <c r="A16" s="413">
        <v>3</v>
      </c>
      <c r="B16" s="412" t="s">
        <v>403</v>
      </c>
      <c r="C16" s="423">
        <f>+Inventories!AL5/1000</f>
        <v>746.07063294489603</v>
      </c>
      <c r="D16" s="424">
        <f>+Inventories!AO5</f>
        <v>37137810.707901917</v>
      </c>
      <c r="E16" s="423">
        <f t="shared" si="14"/>
        <v>49777.875</v>
      </c>
      <c r="F16" s="423">
        <f>+'Cost of Sale'!$F$10*0.365</f>
        <v>27076641.308108818</v>
      </c>
      <c r="G16" s="425">
        <f t="shared" si="1"/>
        <v>36292.329589802619</v>
      </c>
      <c r="H16" s="425">
        <f t="shared" si="10"/>
        <v>10061169.3997931</v>
      </c>
      <c r="I16" s="425">
        <f t="shared" si="3"/>
        <v>13485.545410197383</v>
      </c>
      <c r="J16" s="425">
        <f t="shared" si="4"/>
        <v>27.091444562865298</v>
      </c>
      <c r="K16" s="423">
        <f>+'Cost of Sale'!$E$50*0.4+F16</f>
        <v>28340619.898108818</v>
      </c>
      <c r="L16" s="426">
        <f t="shared" si="5"/>
        <v>37986.510454435789</v>
      </c>
      <c r="M16" s="426">
        <f t="shared" si="11"/>
        <v>8797190.8097930998</v>
      </c>
      <c r="N16" s="426">
        <f t="shared" si="6"/>
        <v>11791.364545564214</v>
      </c>
      <c r="O16" s="427">
        <f t="shared" si="12"/>
        <v>23.687962866161349</v>
      </c>
      <c r="P16" s="427">
        <f t="shared" si="13"/>
        <v>36343.2450243165</v>
      </c>
      <c r="Q16" s="427">
        <f t="shared" si="7"/>
        <v>40381.383360351669</v>
      </c>
      <c r="R16" s="428">
        <f t="shared" si="8"/>
        <v>43611.894029179799</v>
      </c>
      <c r="S16" s="415">
        <f>+P16*1.3</f>
        <v>47246.218531611456</v>
      </c>
    </row>
    <row r="17" spans="1:19" s="413" customFormat="1" x14ac:dyDescent="0.25">
      <c r="A17" s="413">
        <v>3</v>
      </c>
      <c r="B17" s="412" t="s">
        <v>60</v>
      </c>
      <c r="C17" s="423">
        <f>+Inventories!AL6/1000</f>
        <v>725.7278591999999</v>
      </c>
      <c r="D17" s="424">
        <f>+Inventories!AO6</f>
        <v>50407242.780384004</v>
      </c>
      <c r="E17" s="423">
        <f t="shared" si="14"/>
        <v>69457.500000000015</v>
      </c>
      <c r="F17" s="423">
        <f>+'Cost of Sale'!$F$10*0.5</f>
        <v>37091289.463162765</v>
      </c>
      <c r="G17" s="425">
        <f t="shared" si="1"/>
        <v>51109.088610777653</v>
      </c>
      <c r="H17" s="425">
        <f t="shared" si="10"/>
        <v>13315953.317221239</v>
      </c>
      <c r="I17" s="425">
        <f t="shared" si="3"/>
        <v>18348.411389222361</v>
      </c>
      <c r="J17" s="425">
        <f t="shared" si="4"/>
        <v>26.416746052222372</v>
      </c>
      <c r="K17" s="423">
        <f>+'Cost of Sale'!$E$50*0.45+F17</f>
        <v>38513265.376912765</v>
      </c>
      <c r="L17" s="426">
        <f t="shared" si="5"/>
        <v>53068.467592476809</v>
      </c>
      <c r="M17" s="426">
        <f t="shared" si="11"/>
        <v>11893977.403471239</v>
      </c>
      <c r="N17" s="426">
        <f t="shared" si="6"/>
        <v>16389.032407523209</v>
      </c>
      <c r="O17" s="427">
        <f t="shared" si="12"/>
        <v>23.595770661948968</v>
      </c>
      <c r="P17" s="427">
        <f t="shared" si="13"/>
        <v>51182.213084255876</v>
      </c>
      <c r="Q17" s="427">
        <f t="shared" si="7"/>
        <v>56869.125649173191</v>
      </c>
      <c r="R17" s="428">
        <f t="shared" si="8"/>
        <v>61418.655701107047</v>
      </c>
      <c r="S17" s="415">
        <f t="shared" si="9"/>
        <v>66536.877009532647</v>
      </c>
    </row>
    <row r="18" spans="1:19" s="413" customFormat="1" x14ac:dyDescent="0.25">
      <c r="A18" s="413">
        <v>3</v>
      </c>
      <c r="B18" s="412" t="s">
        <v>61</v>
      </c>
      <c r="C18" s="423">
        <f>+Inventories!AL7/1000</f>
        <v>171.21828245</v>
      </c>
      <c r="D18" s="424">
        <f>+Inventories!AO7</f>
        <v>11892393.853270877</v>
      </c>
      <c r="E18" s="423">
        <f t="shared" si="14"/>
        <v>69457.500000000015</v>
      </c>
      <c r="F18" s="423">
        <f>+'Cost of Sale'!$F$10*0.13</f>
        <v>9643735.2604223192</v>
      </c>
      <c r="G18" s="425">
        <f t="shared" si="1"/>
        <v>56324.214461376396</v>
      </c>
      <c r="H18" s="425">
        <f t="shared" si="10"/>
        <v>2248658.592848558</v>
      </c>
      <c r="I18" s="425">
        <f t="shared" si="3"/>
        <v>13133.285538623612</v>
      </c>
      <c r="J18" s="425">
        <f t="shared" si="4"/>
        <v>18.908376400854639</v>
      </c>
      <c r="K18" s="423">
        <f>+'Cost of Sale'!$E$50*0.4+F18</f>
        <v>10907713.850422319</v>
      </c>
      <c r="L18" s="426">
        <f t="shared" si="5"/>
        <v>63706.478620982794</v>
      </c>
      <c r="M18" s="426">
        <f t="shared" si="11"/>
        <v>984680.00284855813</v>
      </c>
      <c r="N18" s="426">
        <f t="shared" si="6"/>
        <v>5751.0213790172156</v>
      </c>
      <c r="O18" s="427">
        <f t="shared" si="12"/>
        <v>8.2799141619223473</v>
      </c>
      <c r="P18" s="427">
        <f t="shared" si="13"/>
        <v>56696.292008875367</v>
      </c>
      <c r="Q18" s="427">
        <f t="shared" si="7"/>
        <v>62995.880009861517</v>
      </c>
      <c r="R18" s="428">
        <f t="shared" si="8"/>
        <v>68035.550410650438</v>
      </c>
      <c r="S18" s="415">
        <f t="shared" si="9"/>
        <v>73705.179611537984</v>
      </c>
    </row>
    <row r="19" spans="1:19" s="413" customFormat="1" x14ac:dyDescent="0.25">
      <c r="A19" s="413">
        <v>3</v>
      </c>
      <c r="B19" s="412" t="s">
        <v>62</v>
      </c>
      <c r="C19" s="423">
        <f>+Inventories!AL8/1000</f>
        <v>8.8165440000000004</v>
      </c>
      <c r="D19" s="424">
        <f>+Inventories!AO8</f>
        <v>1326812.7272400004</v>
      </c>
      <c r="E19" s="423">
        <f t="shared" si="14"/>
        <v>150491.25000000003</v>
      </c>
      <c r="F19" s="423">
        <f>+'Cost of Sale'!$F$10*0.015</f>
        <v>1112738.6838948829</v>
      </c>
      <c r="G19" s="425">
        <f t="shared" si="1"/>
        <v>126210.3023469154</v>
      </c>
      <c r="H19" s="425">
        <f t="shared" si="10"/>
        <v>214074.04334511748</v>
      </c>
      <c r="I19" s="425">
        <f t="shared" si="3"/>
        <v>24280.94765308464</v>
      </c>
      <c r="J19" s="425">
        <f t="shared" si="4"/>
        <v>16.134458085160855</v>
      </c>
      <c r="K19" s="423">
        <f>+'Cost of Sale'!$E$50*0.01+F19</f>
        <v>1144338.148644883</v>
      </c>
      <c r="L19" s="426">
        <f t="shared" si="5"/>
        <v>129794.41248689769</v>
      </c>
      <c r="M19" s="426">
        <f t="shared" si="11"/>
        <v>182474.57859511743</v>
      </c>
      <c r="N19" s="426">
        <f t="shared" si="6"/>
        <v>20696.837513102349</v>
      </c>
      <c r="O19" s="427">
        <f t="shared" si="12"/>
        <v>13.752851088088072</v>
      </c>
      <c r="P19" s="427">
        <f t="shared" si="13"/>
        <v>140931.99062827573</v>
      </c>
      <c r="Q19" s="427">
        <f t="shared" si="7"/>
        <v>156591.10069808413</v>
      </c>
      <c r="R19" s="428">
        <f t="shared" si="8"/>
        <v>169118.38875393086</v>
      </c>
      <c r="S19" s="415">
        <f t="shared" si="9"/>
        <v>183211.58781675846</v>
      </c>
    </row>
    <row r="20" spans="1:19" s="429" customFormat="1" x14ac:dyDescent="0.25">
      <c r="A20" s="429">
        <v>4</v>
      </c>
      <c r="B20" s="430" t="s">
        <v>403</v>
      </c>
      <c r="C20" s="431">
        <f>+Inventories!AZ5/1000</f>
        <v>865.44193421607929</v>
      </c>
      <c r="D20" s="432">
        <f>+Inventories!BC5</f>
        <v>45233853.442224532</v>
      </c>
      <c r="E20" s="431">
        <f t="shared" si="14"/>
        <v>52266.768750000003</v>
      </c>
      <c r="F20" s="431">
        <f>+'Cost of Sale'!$G$10*0.365</f>
        <v>33106251.936374068</v>
      </c>
      <c r="G20" s="433">
        <f t="shared" si="1"/>
        <v>38253.579619251803</v>
      </c>
      <c r="H20" s="433">
        <f t="shared" si="10"/>
        <v>12127601.505850464</v>
      </c>
      <c r="I20" s="433">
        <f t="shared" si="3"/>
        <v>14013.189130748204</v>
      </c>
      <c r="J20" s="433">
        <f t="shared" si="4"/>
        <v>26.810896226961038</v>
      </c>
      <c r="K20" s="431">
        <f>+'Cost of Sale'!$F$50*0.4+F20</f>
        <v>34478689.382874072</v>
      </c>
      <c r="L20" s="434">
        <f t="shared" si="5"/>
        <v>39839.402298092944</v>
      </c>
      <c r="M20" s="434">
        <f t="shared" si="11"/>
        <v>10755164.059350461</v>
      </c>
      <c r="N20" s="434">
        <f t="shared" si="6"/>
        <v>12427.366451907061</v>
      </c>
      <c r="O20" s="435">
        <f t="shared" si="12"/>
        <v>23.776802639836156</v>
      </c>
      <c r="P20" s="435">
        <f t="shared" si="13"/>
        <v>38299.613212867967</v>
      </c>
      <c r="Q20" s="435">
        <f t="shared" si="7"/>
        <v>42555.125792075516</v>
      </c>
      <c r="R20" s="436">
        <f t="shared" si="8"/>
        <v>45959.535855441558</v>
      </c>
      <c r="S20" s="415">
        <f>+P20*1.3</f>
        <v>49789.497176728357</v>
      </c>
    </row>
    <row r="21" spans="1:19" s="429" customFormat="1" x14ac:dyDescent="0.25">
      <c r="A21" s="429">
        <v>4</v>
      </c>
      <c r="B21" s="430" t="s">
        <v>60</v>
      </c>
      <c r="C21" s="431">
        <f>+Inventories!AZ6/1000</f>
        <v>870.8734310399999</v>
      </c>
      <c r="D21" s="432">
        <f>+Inventories!BC6</f>
        <v>63513125.903283849</v>
      </c>
      <c r="E21" s="431">
        <f t="shared" si="14"/>
        <v>72930.375000000015</v>
      </c>
      <c r="F21" s="431">
        <f>+'Cost of Sale'!$G$10*0.5</f>
        <v>45351030.049827494</v>
      </c>
      <c r="G21" s="433">
        <f t="shared" si="1"/>
        <v>52075.340036116555</v>
      </c>
      <c r="H21" s="433">
        <f t="shared" si="10"/>
        <v>18162095.853456356</v>
      </c>
      <c r="I21" s="433">
        <f t="shared" si="3"/>
        <v>20855.034963883467</v>
      </c>
      <c r="J21" s="433">
        <f t="shared" si="4"/>
        <v>28.595814794430254</v>
      </c>
      <c r="K21" s="431">
        <f>+'Cost of Sale'!$F$50*0.45+F21</f>
        <v>46895022.177139997</v>
      </c>
      <c r="L21" s="434">
        <f t="shared" si="5"/>
        <v>53848.263715127709</v>
      </c>
      <c r="M21" s="434">
        <f t="shared" si="11"/>
        <v>16618103.726143852</v>
      </c>
      <c r="N21" s="434">
        <f t="shared" si="6"/>
        <v>19082.111284872313</v>
      </c>
      <c r="O21" s="435">
        <f t="shared" si="12"/>
        <v>26.164833630530911</v>
      </c>
      <c r="P21" s="435">
        <f t="shared" si="13"/>
        <v>52137.172515781051</v>
      </c>
      <c r="Q21" s="435">
        <f t="shared" si="7"/>
        <v>57930.191684201163</v>
      </c>
      <c r="R21" s="436">
        <f t="shared" si="8"/>
        <v>62564.607018937255</v>
      </c>
      <c r="S21" s="415">
        <f t="shared" si="9"/>
        <v>67778.324270515368</v>
      </c>
    </row>
    <row r="22" spans="1:19" s="429" customFormat="1" x14ac:dyDescent="0.25">
      <c r="A22" s="429">
        <v>4</v>
      </c>
      <c r="B22" s="430" t="s">
        <v>61</v>
      </c>
      <c r="C22" s="431">
        <f>+Inventories!AZ7/1000</f>
        <v>196.9010248175</v>
      </c>
      <c r="D22" s="432">
        <f>+Inventories!BC7</f>
        <v>14360065.577824583</v>
      </c>
      <c r="E22" s="431">
        <f t="shared" si="14"/>
        <v>72930.375000000015</v>
      </c>
      <c r="F22" s="431">
        <f>+'Cost of Sale'!$G$10*0.13</f>
        <v>11791267.812955149</v>
      </c>
      <c r="G22" s="433">
        <f t="shared" si="1"/>
        <v>59884.237900153246</v>
      </c>
      <c r="H22" s="433">
        <f t="shared" si="10"/>
        <v>2568797.7648694348</v>
      </c>
      <c r="I22" s="433">
        <f t="shared" si="3"/>
        <v>13046.137099846763</v>
      </c>
      <c r="J22" s="433">
        <f t="shared" si="4"/>
        <v>17.888482130863526</v>
      </c>
      <c r="K22" s="431">
        <f>+'Cost of Sale'!$F$50*0.14+F22</f>
        <v>12271620.919230148</v>
      </c>
      <c r="L22" s="434">
        <f t="shared" si="5"/>
        <v>62323.804208760426</v>
      </c>
      <c r="M22" s="434">
        <f t="shared" si="11"/>
        <v>2088444.6585944351</v>
      </c>
      <c r="N22" s="434">
        <f t="shared" si="6"/>
        <v>10606.570791239579</v>
      </c>
      <c r="O22" s="435">
        <f t="shared" si="12"/>
        <v>14.543420065013485</v>
      </c>
      <c r="P22" s="435">
        <f t="shared" si="13"/>
        <v>60200.76141376383</v>
      </c>
      <c r="Q22" s="435">
        <f t="shared" si="7"/>
        <v>66889.734904182027</v>
      </c>
      <c r="R22" s="436">
        <f t="shared" si="8"/>
        <v>72240.913696516596</v>
      </c>
      <c r="S22" s="415">
        <f t="shared" si="9"/>
        <v>78260.989837892979</v>
      </c>
    </row>
    <row r="23" spans="1:19" s="429" customFormat="1" x14ac:dyDescent="0.25">
      <c r="A23" s="429">
        <v>4</v>
      </c>
      <c r="B23" s="430" t="s">
        <v>62</v>
      </c>
      <c r="C23" s="431">
        <f>+Inventories!AZ8/1000</f>
        <v>9.698198399999999</v>
      </c>
      <c r="D23" s="432">
        <f>+Inventories!BC8</f>
        <v>1532468.6999622004</v>
      </c>
      <c r="E23" s="431">
        <f t="shared" si="14"/>
        <v>158015.81250000006</v>
      </c>
      <c r="F23" s="431">
        <f>+'Cost of Sale'!$G$10*0.015</f>
        <v>1360530.9014948248</v>
      </c>
      <c r="G23" s="433">
        <f t="shared" si="1"/>
        <v>140286.97345424743</v>
      </c>
      <c r="H23" s="433">
        <f t="shared" si="10"/>
        <v>171937.79846737557</v>
      </c>
      <c r="I23" s="433">
        <f t="shared" si="3"/>
        <v>17728.839045752622</v>
      </c>
      <c r="J23" s="433">
        <f t="shared" si="4"/>
        <v>11.219661352405865</v>
      </c>
      <c r="K23" s="431">
        <f>+'Cost of Sale'!$F$50*0.01+F23</f>
        <v>1394841.8376573247</v>
      </c>
      <c r="L23" s="434">
        <f t="shared" si="5"/>
        <v>143824.84046287657</v>
      </c>
      <c r="M23" s="434">
        <f t="shared" si="11"/>
        <v>137626.86230487563</v>
      </c>
      <c r="N23" s="434">
        <f t="shared" si="6"/>
        <v>14190.972037123476</v>
      </c>
      <c r="O23" s="435">
        <f t="shared" si="12"/>
        <v>8.9807290881875961</v>
      </c>
      <c r="P23" s="435">
        <f t="shared" si="13"/>
        <v>155117.03101038863</v>
      </c>
      <c r="Q23" s="435">
        <f t="shared" si="7"/>
        <v>172352.25667820958</v>
      </c>
      <c r="R23" s="436">
        <f t="shared" si="8"/>
        <v>186140.43721246635</v>
      </c>
      <c r="S23" s="415">
        <f t="shared" si="9"/>
        <v>201652.14031350522</v>
      </c>
    </row>
    <row r="24" spans="1:19" s="437" customFormat="1" x14ac:dyDescent="0.25">
      <c r="A24" s="437">
        <v>5</v>
      </c>
      <c r="B24" s="438" t="s">
        <v>403</v>
      </c>
      <c r="C24" s="439">
        <f>+Inventories!BN5/1000</f>
        <v>1003.912643690652</v>
      </c>
      <c r="D24" s="440">
        <f>+Inventories!BQ5</f>
        <v>55094833.492629483</v>
      </c>
      <c r="E24" s="439">
        <f t="shared" si="14"/>
        <v>54880.107187500005</v>
      </c>
      <c r="F24" s="439">
        <f>+'Cost of Sale'!$H$10*0.365</f>
        <v>40510646.514890805</v>
      </c>
      <c r="G24" s="441">
        <f t="shared" si="1"/>
        <v>40352.760540959825</v>
      </c>
      <c r="H24" s="441">
        <f t="shared" si="10"/>
        <v>14584186.977738678</v>
      </c>
      <c r="I24" s="441">
        <f t="shared" si="3"/>
        <v>14527.34664654018</v>
      </c>
      <c r="J24" s="441">
        <f t="shared" si="4"/>
        <v>26.47106099284197</v>
      </c>
      <c r="K24" s="439">
        <f>+'Cost of Sale'!$H$50*0.4+F24</f>
        <v>42131956.287012056</v>
      </c>
      <c r="L24" s="442">
        <f t="shared" si="5"/>
        <v>41967.751429171854</v>
      </c>
      <c r="M24" s="442">
        <f t="shared" si="11"/>
        <v>12962877.205617428</v>
      </c>
      <c r="N24" s="442">
        <f t="shared" si="6"/>
        <v>12912.355758328151</v>
      </c>
      <c r="O24" s="443">
        <f t="shared" si="12"/>
        <v>23.528299086976251</v>
      </c>
      <c r="P24" s="443">
        <f t="shared" si="13"/>
        <v>40394.564727502278</v>
      </c>
      <c r="Q24" s="443">
        <f t="shared" si="7"/>
        <v>44882.849697224752</v>
      </c>
      <c r="R24" s="444">
        <f t="shared" si="8"/>
        <v>48473.47767300273</v>
      </c>
      <c r="S24" s="415">
        <f>+P24*1.3</f>
        <v>52512.934145752966</v>
      </c>
    </row>
    <row r="25" spans="1:19" s="437" customFormat="1" x14ac:dyDescent="0.25">
      <c r="A25" s="437">
        <v>5</v>
      </c>
      <c r="B25" s="438" t="s">
        <v>60</v>
      </c>
      <c r="C25" s="439">
        <f>+Inventories!BN6/1000</f>
        <v>1045.0481172479999</v>
      </c>
      <c r="D25" s="440">
        <f>+Inventories!BQ6</f>
        <v>80026538.638137639</v>
      </c>
      <c r="E25" s="439">
        <f t="shared" si="14"/>
        <v>76576.893750000003</v>
      </c>
      <c r="F25" s="439">
        <f>+'Cost of Sale'!$H$10*0.5</f>
        <v>55494036.321768232</v>
      </c>
      <c r="G25" s="441">
        <f t="shared" si="1"/>
        <v>53101.895889640618</v>
      </c>
      <c r="H25" s="441">
        <f t="shared" si="10"/>
        <v>24532502.316369407</v>
      </c>
      <c r="I25" s="441">
        <f t="shared" si="3"/>
        <v>23474.997860359388</v>
      </c>
      <c r="J25" s="441">
        <f t="shared" si="4"/>
        <v>30.655458468971116</v>
      </c>
      <c r="K25" s="439">
        <f>+'Cost of Sale'!$H$50*0.45+F25</f>
        <v>57318009.815404639</v>
      </c>
      <c r="L25" s="442">
        <f t="shared" si="5"/>
        <v>54847.244705195262</v>
      </c>
      <c r="M25" s="442">
        <f t="shared" si="11"/>
        <v>22708528.822733</v>
      </c>
      <c r="N25" s="442">
        <f t="shared" si="6"/>
        <v>21729.649044804744</v>
      </c>
      <c r="O25" s="443">
        <f t="shared" si="12"/>
        <v>28.376247691301458</v>
      </c>
      <c r="P25" s="443">
        <f t="shared" si="13"/>
        <v>53154.378874682137</v>
      </c>
      <c r="Q25" s="443">
        <f t="shared" si="7"/>
        <v>59060.42097186904</v>
      </c>
      <c r="R25" s="444">
        <f t="shared" si="8"/>
        <v>63785.254649618561</v>
      </c>
      <c r="S25" s="415">
        <f t="shared" si="9"/>
        <v>69100.692537086783</v>
      </c>
    </row>
    <row r="26" spans="1:19" s="437" customFormat="1" x14ac:dyDescent="0.25">
      <c r="A26" s="437">
        <v>5</v>
      </c>
      <c r="B26" s="438" t="s">
        <v>61</v>
      </c>
      <c r="C26" s="439">
        <f>+Inventories!BN7/1000</f>
        <v>226.43617854012498</v>
      </c>
      <c r="D26" s="440">
        <f>+Inventories!BQ7</f>
        <v>17339779.185223185</v>
      </c>
      <c r="E26" s="439">
        <f t="shared" si="14"/>
        <v>76576.893750000017</v>
      </c>
      <c r="F26" s="439">
        <f>+'Cost of Sale'!$H$10*0.13</f>
        <v>14428449.443659741</v>
      </c>
      <c r="G26" s="441">
        <f t="shared" si="1"/>
        <v>63719.718009209333</v>
      </c>
      <c r="H26" s="441">
        <f t="shared" si="10"/>
        <v>2911329.7415634431</v>
      </c>
      <c r="I26" s="441">
        <f t="shared" si="3"/>
        <v>12857.175740790684</v>
      </c>
      <c r="J26" s="441">
        <f t="shared" si="4"/>
        <v>16.789889366321656</v>
      </c>
      <c r="K26" s="439">
        <f>+'Cost of Sale'!$H$50*0.14+F26</f>
        <v>14995907.86390218</v>
      </c>
      <c r="L26" s="442">
        <f t="shared" si="5"/>
        <v>66225.759331320252</v>
      </c>
      <c r="M26" s="442">
        <f t="shared" si="11"/>
        <v>2343871.321321005</v>
      </c>
      <c r="N26" s="442">
        <f t="shared" si="6"/>
        <v>10351.134418679769</v>
      </c>
      <c r="O26" s="443">
        <f t="shared" si="12"/>
        <v>13.517307782779797</v>
      </c>
      <c r="P26" s="443">
        <f t="shared" si="13"/>
        <v>64012.187877577053</v>
      </c>
      <c r="Q26" s="443">
        <f t="shared" si="7"/>
        <v>71124.653197307838</v>
      </c>
      <c r="R26" s="444">
        <f t="shared" si="8"/>
        <v>76814.625453092463</v>
      </c>
      <c r="S26" s="415">
        <f t="shared" si="9"/>
        <v>83215.844240850172</v>
      </c>
    </row>
    <row r="27" spans="1:19" s="437" customFormat="1" x14ac:dyDescent="0.25">
      <c r="A27" s="437">
        <v>5</v>
      </c>
      <c r="B27" s="438" t="s">
        <v>62</v>
      </c>
      <c r="C27" s="439">
        <f>+Inventories!BN8/1000</f>
        <v>10.668018240000002</v>
      </c>
      <c r="D27" s="440">
        <f>+Inventories!BQ8</f>
        <v>1770001.3484563418</v>
      </c>
      <c r="E27" s="439">
        <f t="shared" si="14"/>
        <v>165916.60312500005</v>
      </c>
      <c r="F27" s="439">
        <f>+'Cost of Sale'!$H$10*0.015</f>
        <v>1664821.0896530468</v>
      </c>
      <c r="G27" s="441">
        <f t="shared" si="1"/>
        <v>156057.20314676239</v>
      </c>
      <c r="H27" s="441">
        <f t="shared" si="10"/>
        <v>105180.25880329497</v>
      </c>
      <c r="I27" s="441">
        <f t="shared" si="3"/>
        <v>9859.3999782376595</v>
      </c>
      <c r="J27" s="441">
        <f t="shared" si="4"/>
        <v>5.9423829758675071</v>
      </c>
      <c r="K27" s="439">
        <f>+'Cost of Sale'!$H$50*0.01+F27</f>
        <v>1705353.8339560782</v>
      </c>
      <c r="L27" s="442">
        <f t="shared" si="5"/>
        <v>159856.66649517071</v>
      </c>
      <c r="M27" s="442">
        <f t="shared" si="11"/>
        <v>64647.514500263613</v>
      </c>
      <c r="N27" s="442">
        <f t="shared" si="6"/>
        <v>6059.9366298293471</v>
      </c>
      <c r="O27" s="443">
        <f t="shared" si="12"/>
        <v>3.6523991666246003</v>
      </c>
      <c r="P27" s="443">
        <f t="shared" si="13"/>
        <v>171041.86692393743</v>
      </c>
      <c r="Q27" s="443">
        <f t="shared" si="7"/>
        <v>190046.51880437491</v>
      </c>
      <c r="R27" s="444">
        <f t="shared" si="8"/>
        <v>205250.2403087249</v>
      </c>
      <c r="S27" s="415">
        <f t="shared" si="9"/>
        <v>222354.42700111866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J7" sqref="J7"/>
    </sheetView>
  </sheetViews>
  <sheetFormatPr defaultRowHeight="15" x14ac:dyDescent="0.25"/>
  <cols>
    <col min="2" max="2" width="11.140625" bestFit="1" customWidth="1"/>
    <col min="3" max="3" width="19.28515625" customWidth="1"/>
    <col min="4" max="4" width="20.7109375" customWidth="1"/>
    <col min="5" max="5" width="16.5703125" bestFit="1" customWidth="1"/>
    <col min="6" max="6" width="15.85546875" bestFit="1" customWidth="1"/>
    <col min="7" max="7" width="14.28515625" bestFit="1" customWidth="1"/>
  </cols>
  <sheetData>
    <row r="1" spans="1:7" ht="21" x14ac:dyDescent="0.35">
      <c r="A1" s="268" t="s">
        <v>358</v>
      </c>
    </row>
    <row r="3" spans="1:7" x14ac:dyDescent="0.25">
      <c r="A3" t="s">
        <v>73</v>
      </c>
    </row>
    <row r="4" spans="1:7" x14ac:dyDescent="0.25">
      <c r="C4" s="274" t="s">
        <v>183</v>
      </c>
      <c r="D4" s="274" t="s">
        <v>184</v>
      </c>
      <c r="E4" s="274" t="s">
        <v>185</v>
      </c>
      <c r="F4" s="274" t="s">
        <v>186</v>
      </c>
      <c r="G4" s="274" t="s">
        <v>187</v>
      </c>
    </row>
    <row r="5" spans="1:7" x14ac:dyDescent="0.25">
      <c r="A5" t="s">
        <v>182</v>
      </c>
      <c r="B5" s="184">
        <v>43297</v>
      </c>
      <c r="C5" s="10">
        <f>SUMIF(Pay_Date,"&lt;"&amp;'Loan working'!B5,Princ)</f>
        <v>0</v>
      </c>
      <c r="D5" s="10">
        <f>SUMIF(Pay_Date,"&lt;"&amp;'Loan working'!B5,Int)</f>
        <v>0</v>
      </c>
      <c r="E5" s="13">
        <f>C5</f>
        <v>0</v>
      </c>
      <c r="F5" s="13">
        <f>D5</f>
        <v>0</v>
      </c>
      <c r="G5" s="13">
        <f>'General details'!$C$59-C5</f>
        <v>20000000</v>
      </c>
    </row>
    <row r="6" spans="1:7" x14ac:dyDescent="0.25">
      <c r="B6" s="184">
        <v>43662</v>
      </c>
      <c r="C6" s="10">
        <f>SUMIF(Pay_Date,"&lt;"&amp;'Loan working'!B6,Princ)</f>
        <v>2692602.1713497164</v>
      </c>
      <c r="D6" s="10">
        <f>SUMIF(Pay_Date,"&lt;"&amp;'Loan working'!B6,Int)</f>
        <v>716621.20655854733</v>
      </c>
      <c r="E6" s="13">
        <f>C6-C5</f>
        <v>2692602.1713497164</v>
      </c>
      <c r="F6" s="13">
        <f>D6-D5</f>
        <v>716621.20655854733</v>
      </c>
      <c r="G6" s="13">
        <f>'General details'!$C$59-C6</f>
        <v>17307397.828650285</v>
      </c>
    </row>
    <row r="7" spans="1:7" x14ac:dyDescent="0.25">
      <c r="B7" s="184">
        <v>44027</v>
      </c>
      <c r="C7" s="10">
        <f>SUMIF(Pay_Date,"&lt;"&amp;'Loan working'!B7,Princ)</f>
        <v>6442445.1872723391</v>
      </c>
      <c r="D7" s="10">
        <f>SUMIF(Pay_Date,"&lt;"&amp;'Loan working'!B7,Int)</f>
        <v>1512409.3611802757</v>
      </c>
      <c r="E7" s="13">
        <f>C7-C6</f>
        <v>3749843.0159226228</v>
      </c>
      <c r="F7" s="13">
        <f>D7-D6</f>
        <v>795788.15462172835</v>
      </c>
      <c r="G7" s="13">
        <f>'General details'!$C$59-C7</f>
        <v>13557554.81272766</v>
      </c>
    </row>
    <row r="8" spans="1:7" x14ac:dyDescent="0.25">
      <c r="B8" s="184">
        <v>44392</v>
      </c>
      <c r="C8" s="10">
        <f>SUMIF(Pay_Date,"&lt;"&amp;'Loan working'!B8,Princ)</f>
        <v>10383325.219015984</v>
      </c>
      <c r="D8" s="10">
        <f>SUMIF(Pay_Date,"&lt;"&amp;'Loan working'!B8,Int)</f>
        <v>2117160.4999809819</v>
      </c>
      <c r="E8" s="13">
        <f t="shared" ref="E8:E11" si="0">C8-C7</f>
        <v>3940880.0317436447</v>
      </c>
      <c r="F8" s="13">
        <f t="shared" ref="F8:F11" si="1">D8-D7</f>
        <v>604751.13880070625</v>
      </c>
      <c r="G8" s="13">
        <f>'General details'!$C$59-C8</f>
        <v>9616674.7809840161</v>
      </c>
    </row>
    <row r="9" spans="1:7" x14ac:dyDescent="0.25">
      <c r="B9" s="184">
        <v>44758</v>
      </c>
      <c r="C9" s="10">
        <f>SUMIF(Pay_Date,"&lt;"&amp;'Loan working'!B9,Princ)</f>
        <v>14524974.711714711</v>
      </c>
      <c r="D9" s="10">
        <f>SUMIF(Pay_Date,"&lt;"&amp;'Loan working'!B9,Int)</f>
        <v>2521142.1778266067</v>
      </c>
      <c r="E9" s="13">
        <f t="shared" si="0"/>
        <v>4141649.4926987272</v>
      </c>
      <c r="F9" s="13">
        <f t="shared" si="1"/>
        <v>403981.67784562474</v>
      </c>
      <c r="G9" s="13">
        <f>'General details'!$C$59-C9</f>
        <v>5475025.288285289</v>
      </c>
    </row>
    <row r="10" spans="1:7" x14ac:dyDescent="0.25">
      <c r="B10" s="184">
        <v>45123</v>
      </c>
      <c r="C10" s="10">
        <f>SUMIF(Pay_Date,"&lt;"&amp;'Loan working'!B10,Princ)</f>
        <v>18877621.933198933</v>
      </c>
      <c r="D10" s="10">
        <f>SUMIF(Pay_Date,"&lt;"&amp;'Loan working'!B10,Int)</f>
        <v>2714126.1268867389</v>
      </c>
      <c r="E10" s="13">
        <f t="shared" si="0"/>
        <v>4352647.2214842215</v>
      </c>
      <c r="F10" s="13">
        <f t="shared" si="1"/>
        <v>192983.94906013226</v>
      </c>
      <c r="G10" s="13">
        <f>'General details'!$C$59-C10</f>
        <v>1122378.0668010674</v>
      </c>
    </row>
    <row r="11" spans="1:7" x14ac:dyDescent="0.25">
      <c r="B11" s="184">
        <v>45488</v>
      </c>
      <c r="C11" s="10">
        <f>SUMIF(Pay_Date,"&lt;"&amp;'Loan working'!B11,Princ)</f>
        <v>19985970.27416499</v>
      </c>
      <c r="D11" s="10">
        <f>SUMIF(Pay_Date,"&lt;"&amp;'Loan working'!B11,Int)</f>
        <v>2728155.8527217521</v>
      </c>
      <c r="E11" s="13">
        <f t="shared" si="0"/>
        <v>1108348.340966057</v>
      </c>
      <c r="F11" s="13">
        <f t="shared" si="1"/>
        <v>14029.725835013203</v>
      </c>
      <c r="G11" s="13">
        <f>'General details'!$C$59-C11</f>
        <v>14029.725835010409</v>
      </c>
    </row>
    <row r="14" spans="1:7" x14ac:dyDescent="0.25">
      <c r="A14" t="s">
        <v>74</v>
      </c>
    </row>
    <row r="15" spans="1:7" x14ac:dyDescent="0.25">
      <c r="C15" s="274" t="s">
        <v>156</v>
      </c>
    </row>
    <row r="16" spans="1:7" x14ac:dyDescent="0.25">
      <c r="A16" t="s">
        <v>182</v>
      </c>
      <c r="B16" s="184">
        <v>43297</v>
      </c>
      <c r="C16" s="10">
        <f>'General details'!$C$64*'General details'!$C$62</f>
        <v>1500000</v>
      </c>
    </row>
    <row r="17" spans="1:13" x14ac:dyDescent="0.25">
      <c r="B17" s="184">
        <v>43662</v>
      </c>
      <c r="C17" s="10">
        <f>'General details'!$C$64*'General details'!$C$62</f>
        <v>1500000</v>
      </c>
    </row>
    <row r="18" spans="1:13" x14ac:dyDescent="0.25">
      <c r="B18" s="184">
        <v>44027</v>
      </c>
      <c r="C18" s="10">
        <f>'General details'!$C$64*'General details'!$C$62</f>
        <v>1500000</v>
      </c>
    </row>
    <row r="19" spans="1:13" x14ac:dyDescent="0.25">
      <c r="B19" s="184">
        <v>44392</v>
      </c>
      <c r="C19" s="10">
        <f>'General details'!$C$64*'General details'!$C$62</f>
        <v>1500000</v>
      </c>
    </row>
    <row r="20" spans="1:13" x14ac:dyDescent="0.25">
      <c r="B20" s="184">
        <v>44758</v>
      </c>
      <c r="C20" s="10">
        <f>'General details'!$C$64*'General details'!$C$62</f>
        <v>1500000</v>
      </c>
    </row>
    <row r="23" spans="1:13" x14ac:dyDescent="0.25">
      <c r="A23" t="s">
        <v>221</v>
      </c>
      <c r="C23">
        <f>IF(DAY('General details'!$C$58)&lt;16,MONTH('General details'!$C$58),MONTH('General details'!$C$58)+1)-4</f>
        <v>4</v>
      </c>
    </row>
    <row r="24" spans="1:13" x14ac:dyDescent="0.25">
      <c r="B24">
        <v>4</v>
      </c>
      <c r="C24">
        <v>5</v>
      </c>
      <c r="D24">
        <v>6</v>
      </c>
      <c r="E24">
        <v>7</v>
      </c>
      <c r="F24">
        <v>8</v>
      </c>
      <c r="G24">
        <v>9</v>
      </c>
      <c r="H24">
        <v>10</v>
      </c>
      <c r="I24">
        <v>11</v>
      </c>
      <c r="J24">
        <v>0</v>
      </c>
      <c r="K24">
        <v>1</v>
      </c>
      <c r="L24">
        <v>2</v>
      </c>
      <c r="M24">
        <v>3</v>
      </c>
    </row>
    <row r="25" spans="1:13" x14ac:dyDescent="0.25">
      <c r="B25">
        <f>IF(B24=$C$23,'General details'!$C$59,0)</f>
        <v>20000000</v>
      </c>
      <c r="C25">
        <f>IF(C24=$C$23,'General details'!$C$59,0)</f>
        <v>0</v>
      </c>
      <c r="D25">
        <f>IF(D24=$C$23,'General details'!$C$59,0)</f>
        <v>0</v>
      </c>
      <c r="E25">
        <f>IF(E24=$C$23,'General details'!$C$59,0)</f>
        <v>0</v>
      </c>
      <c r="F25">
        <f>IF(F24=$C$23,'General details'!$C$59,0)</f>
        <v>0</v>
      </c>
      <c r="G25">
        <f>IF(G24=$C$23,'General details'!$C$59,0)</f>
        <v>0</v>
      </c>
      <c r="H25">
        <f>IF(H24=$C$23,'General details'!$C$59,0)</f>
        <v>0</v>
      </c>
      <c r="I25">
        <f>IF(I24=$C$23,'General details'!$C$59,0)</f>
        <v>0</v>
      </c>
      <c r="J25">
        <f>IF(J24=$C$23,'General details'!$C$59,0)</f>
        <v>0</v>
      </c>
      <c r="K25">
        <f>IF(K24=$C$23,'General details'!$C$59,0)</f>
        <v>0</v>
      </c>
      <c r="L25">
        <f>IF(L24=$C$23,'General details'!$C$59,0)</f>
        <v>0</v>
      </c>
      <c r="M25">
        <f>IF(M24=$C$23,'General details'!$C$59,0)</f>
        <v>0</v>
      </c>
    </row>
    <row r="27" spans="1:13" x14ac:dyDescent="0.25">
      <c r="A27" t="s">
        <v>332</v>
      </c>
      <c r="C27">
        <f>IF(DAY('General details'!$C$63)&lt;16,MONTH('General details'!$C$63),MONTH('General details'!$C$63)+1)-4</f>
        <v>0</v>
      </c>
    </row>
    <row r="28" spans="1:13" x14ac:dyDescent="0.25">
      <c r="B28">
        <v>4</v>
      </c>
      <c r="C28">
        <v>5</v>
      </c>
      <c r="D28">
        <v>6</v>
      </c>
      <c r="E28">
        <v>7</v>
      </c>
      <c r="F28">
        <v>8</v>
      </c>
      <c r="G28">
        <v>9</v>
      </c>
      <c r="H28">
        <v>10</v>
      </c>
      <c r="I28">
        <v>11</v>
      </c>
      <c r="J28">
        <v>0</v>
      </c>
      <c r="K28">
        <v>1</v>
      </c>
      <c r="L28">
        <v>2</v>
      </c>
      <c r="M28">
        <v>3</v>
      </c>
    </row>
    <row r="29" spans="1:13" x14ac:dyDescent="0.25">
      <c r="B29">
        <f>IF(B28=$C$27,'General details'!$C$64,0)</f>
        <v>0</v>
      </c>
      <c r="C29">
        <f>IF(C28=$C$27,'General details'!$C$64,0)</f>
        <v>0</v>
      </c>
      <c r="D29">
        <f>IF(D28=$C$27,'General details'!$C$64,0)</f>
        <v>0</v>
      </c>
      <c r="E29">
        <f>IF(E28=$C$27,'General details'!$C$64,0)</f>
        <v>0</v>
      </c>
      <c r="F29">
        <f>IF(F28=$C$27,'General details'!$C$64,0)</f>
        <v>0</v>
      </c>
      <c r="G29">
        <f>IF(G28=$C$27,'General details'!$C$64,0)</f>
        <v>0</v>
      </c>
      <c r="H29">
        <f>IF(H28=$C$27,'General details'!$C$64,0)</f>
        <v>0</v>
      </c>
      <c r="I29">
        <f>IF(I28=$C$27,'General details'!$C$64,0)</f>
        <v>0</v>
      </c>
      <c r="J29">
        <f>IF(J28=$C$27,'General details'!$C$64,0)</f>
        <v>30000000</v>
      </c>
      <c r="K29">
        <f>IF(K28=$C$27,'General details'!$C$64,0)</f>
        <v>0</v>
      </c>
      <c r="L29">
        <f>IF(L28=$C$27,'General details'!$C$64,0)</f>
        <v>0</v>
      </c>
      <c r="M29">
        <f>IF(M28=$C$27,'General details'!$C$64,0)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"/>
  <sheetViews>
    <sheetView topLeftCell="C1" zoomScale="106" zoomScaleNormal="106" workbookViewId="0">
      <selection activeCell="C11" sqref="C11"/>
    </sheetView>
  </sheetViews>
  <sheetFormatPr defaultRowHeight="15" x14ac:dyDescent="0.25"/>
  <cols>
    <col min="3" max="3" width="12" customWidth="1"/>
    <col min="4" max="4" width="11.85546875" customWidth="1"/>
    <col min="5" max="5" width="11.7109375" hidden="1" customWidth="1"/>
    <col min="6" max="6" width="12.28515625" hidden="1" customWidth="1"/>
    <col min="7" max="7" width="17.85546875" style="375" bestFit="1" customWidth="1"/>
    <col min="8" max="8" width="14.5703125" style="375" customWidth="1"/>
    <col min="9" max="9" width="0" hidden="1" customWidth="1"/>
    <col min="10" max="10" width="14.7109375" bestFit="1" customWidth="1"/>
    <col min="11" max="11" width="13.28515625" style="375" bestFit="1" customWidth="1"/>
    <col min="12" max="12" width="14.140625" hidden="1" customWidth="1"/>
    <col min="13" max="13" width="14.85546875" customWidth="1"/>
    <col min="14" max="14" width="15.5703125" style="375" customWidth="1"/>
    <col min="15" max="15" width="17.140625" style="375" customWidth="1"/>
    <col min="16" max="17" width="9.140625" style="375"/>
    <col min="20" max="20" width="14" bestFit="1" customWidth="1"/>
    <col min="21" max="21" width="12.85546875" bestFit="1" customWidth="1"/>
    <col min="22" max="22" width="13.7109375" bestFit="1" customWidth="1"/>
    <col min="23" max="23" width="12.85546875" bestFit="1" customWidth="1"/>
    <col min="24" max="24" width="14.85546875" bestFit="1" customWidth="1"/>
    <col min="26" max="26" width="11.85546875" bestFit="1" customWidth="1"/>
    <col min="27" max="30" width="12.7109375" bestFit="1" customWidth="1"/>
    <col min="33" max="37" width="13.140625" bestFit="1" customWidth="1"/>
    <col min="39" max="39" width="7.42578125" customWidth="1"/>
    <col min="40" max="40" width="5.5703125" customWidth="1"/>
    <col min="41" max="41" width="6.42578125" customWidth="1"/>
    <col min="42" max="42" width="6" customWidth="1"/>
    <col min="43" max="43" width="10" bestFit="1" customWidth="1"/>
    <col min="44" max="46" width="9.28515625" bestFit="1" customWidth="1"/>
  </cols>
  <sheetData>
    <row r="2" spans="1:46" x14ac:dyDescent="0.25">
      <c r="T2" s="488" t="s">
        <v>454</v>
      </c>
      <c r="U2" s="488"/>
      <c r="V2" s="488"/>
      <c r="W2" s="488"/>
      <c r="X2" s="489"/>
      <c r="Z2" s="485" t="s">
        <v>455</v>
      </c>
      <c r="AA2" s="486"/>
      <c r="AB2" s="486"/>
      <c r="AC2" s="486"/>
      <c r="AD2" s="487"/>
    </row>
    <row r="3" spans="1:46" s="101" customFormat="1" ht="60" x14ac:dyDescent="0.25">
      <c r="A3" s="484" t="s">
        <v>1</v>
      </c>
      <c r="B3" s="484"/>
      <c r="C3" s="383" t="s">
        <v>383</v>
      </c>
      <c r="D3" s="383" t="s">
        <v>384</v>
      </c>
      <c r="E3" s="383" t="s">
        <v>385</v>
      </c>
      <c r="F3" s="383" t="s">
        <v>386</v>
      </c>
      <c r="G3" s="303" t="s">
        <v>389</v>
      </c>
      <c r="H3" s="303" t="s">
        <v>387</v>
      </c>
      <c r="I3" s="303" t="s">
        <v>388</v>
      </c>
      <c r="J3" s="303" t="s">
        <v>443</v>
      </c>
      <c r="K3" s="303" t="s">
        <v>390</v>
      </c>
      <c r="L3" s="303" t="s">
        <v>391</v>
      </c>
      <c r="M3" s="303" t="s">
        <v>408</v>
      </c>
      <c r="N3" s="303" t="s">
        <v>392</v>
      </c>
      <c r="O3" s="303" t="s">
        <v>409</v>
      </c>
      <c r="P3" s="303" t="s">
        <v>445</v>
      </c>
      <c r="Q3" s="303" t="s">
        <v>444</v>
      </c>
      <c r="S3" s="101" t="s">
        <v>456</v>
      </c>
      <c r="T3" s="400">
        <v>2018</v>
      </c>
      <c r="U3" s="400">
        <v>2019</v>
      </c>
      <c r="V3" s="400">
        <v>2020</v>
      </c>
      <c r="W3" s="400">
        <v>2021</v>
      </c>
      <c r="X3" s="400">
        <v>2022</v>
      </c>
      <c r="Y3" s="382" t="s">
        <v>456</v>
      </c>
      <c r="Z3" s="389">
        <v>2018</v>
      </c>
      <c r="AA3" s="389">
        <v>2019</v>
      </c>
      <c r="AB3" s="389">
        <v>2020</v>
      </c>
      <c r="AC3" s="389">
        <v>2021</v>
      </c>
      <c r="AD3" s="389">
        <v>2022</v>
      </c>
      <c r="AG3" s="389">
        <v>2018</v>
      </c>
      <c r="AH3" s="389">
        <v>2019</v>
      </c>
      <c r="AI3" s="389">
        <v>2020</v>
      </c>
      <c r="AJ3" s="389">
        <v>2021</v>
      </c>
      <c r="AK3" s="389">
        <v>2022</v>
      </c>
    </row>
    <row r="4" spans="1:46" x14ac:dyDescent="0.25">
      <c r="A4" s="239" t="s">
        <v>235</v>
      </c>
      <c r="B4" s="239" t="s">
        <v>236</v>
      </c>
      <c r="C4" s="261">
        <v>0.05</v>
      </c>
      <c r="D4" s="261">
        <v>0.15</v>
      </c>
      <c r="E4" s="261">
        <v>0.05</v>
      </c>
      <c r="F4" s="261">
        <v>0.05</v>
      </c>
      <c r="G4" s="373">
        <v>0</v>
      </c>
      <c r="H4" s="374">
        <v>85563.36</v>
      </c>
      <c r="I4" s="240">
        <v>21.5</v>
      </c>
      <c r="J4" s="240">
        <f t="shared" ref="J4:J15" si="0">+H4*I4</f>
        <v>1839612.24</v>
      </c>
      <c r="K4" s="373">
        <f t="shared" ref="K4:K15" si="1">H4-N4</f>
        <v>72728.856</v>
      </c>
      <c r="L4" s="240">
        <v>43</v>
      </c>
      <c r="M4" s="240">
        <f>+K4*L4</f>
        <v>3127340.8080000002</v>
      </c>
      <c r="N4" s="373">
        <f t="shared" ref="N4:N15" si="2">+ H4*D4</f>
        <v>12834.503999999999</v>
      </c>
      <c r="O4" s="373">
        <f>+N4*0.5*12</f>
        <v>77007.02399999999</v>
      </c>
      <c r="S4" s="239" t="s">
        <v>236</v>
      </c>
      <c r="T4" s="395">
        <f>+H4+H4*C4</f>
        <v>89841.528000000006</v>
      </c>
      <c r="U4" s="395">
        <f>+T4+T4*C4</f>
        <v>94333.604400000011</v>
      </c>
      <c r="V4" s="395">
        <f>+U4+U4*C4</f>
        <v>99050.284620000006</v>
      </c>
      <c r="W4" s="395">
        <f>+V4+V4*C4</f>
        <v>104002.798851</v>
      </c>
      <c r="X4" s="395">
        <f>+W4+W4*C4</f>
        <v>109202.93879355</v>
      </c>
      <c r="Y4" s="239" t="s">
        <v>236</v>
      </c>
      <c r="Z4" s="390">
        <f>+(T4/3000)*50</f>
        <v>1497.3588000000002</v>
      </c>
      <c r="AA4" s="390">
        <f>+(U4/3000)*50</f>
        <v>1572.2267400000001</v>
      </c>
      <c r="AB4" s="390">
        <f>+(V4/3000)*50</f>
        <v>1650.8380770000003</v>
      </c>
      <c r="AC4" s="390">
        <f>+(W4/3000)*50</f>
        <v>1733.37998085</v>
      </c>
      <c r="AD4" s="390">
        <f>+(X4/3000)*50</f>
        <v>1820.0489798924998</v>
      </c>
      <c r="AF4" s="2" t="s">
        <v>480</v>
      </c>
      <c r="AG4" s="406"/>
    </row>
    <row r="5" spans="1:46" x14ac:dyDescent="0.25">
      <c r="A5" s="239" t="s">
        <v>235</v>
      </c>
      <c r="B5" s="239" t="s">
        <v>237</v>
      </c>
      <c r="C5" s="261">
        <v>0</v>
      </c>
      <c r="D5" s="261">
        <v>0.15</v>
      </c>
      <c r="E5" s="261">
        <v>0.05</v>
      </c>
      <c r="F5" s="261">
        <v>0.05</v>
      </c>
      <c r="G5" s="373">
        <v>0</v>
      </c>
      <c r="H5" s="374">
        <v>20350.8</v>
      </c>
      <c r="I5" s="240">
        <v>21.5</v>
      </c>
      <c r="J5" s="240">
        <f t="shared" si="0"/>
        <v>437542.2</v>
      </c>
      <c r="K5" s="373">
        <f t="shared" si="1"/>
        <v>17298.18</v>
      </c>
      <c r="L5" s="240">
        <v>43</v>
      </c>
      <c r="M5" s="240">
        <f t="shared" ref="M5:M44" si="3">+K5*L5</f>
        <v>743821.74</v>
      </c>
      <c r="N5" s="373">
        <f t="shared" si="2"/>
        <v>3052.62</v>
      </c>
      <c r="O5" s="373">
        <f t="shared" ref="O5:O15" si="4">+N5*0.5*12</f>
        <v>18315.72</v>
      </c>
      <c r="S5" s="239" t="s">
        <v>237</v>
      </c>
      <c r="T5" s="395">
        <f t="shared" ref="T5:T45" si="5">+H5+H5*C5</f>
        <v>20350.8</v>
      </c>
      <c r="U5" s="395">
        <f t="shared" ref="U5:U45" si="6">+T5+T5*C5</f>
        <v>20350.8</v>
      </c>
      <c r="V5" s="395">
        <f t="shared" ref="V5:V45" si="7">+U5+U5*C5</f>
        <v>20350.8</v>
      </c>
      <c r="W5" s="395">
        <f t="shared" ref="W5:W45" si="8">+V5+V5*C5</f>
        <v>20350.8</v>
      </c>
      <c r="X5" s="395">
        <f t="shared" ref="X5:X45" si="9">+W5+W5*C5</f>
        <v>20350.8</v>
      </c>
      <c r="Y5" s="239" t="s">
        <v>237</v>
      </c>
      <c r="Z5" s="390">
        <f t="shared" ref="Z5:Z16" si="10">+(T5/3000)*50</f>
        <v>339.18</v>
      </c>
      <c r="AA5" s="390">
        <f t="shared" ref="AA5:AA16" si="11">+(U5/3000)*50</f>
        <v>339.18</v>
      </c>
      <c r="AB5" s="390">
        <f t="shared" ref="AB5:AB16" si="12">+(V5/3000)*50</f>
        <v>339.18</v>
      </c>
      <c r="AC5" s="390">
        <f t="shared" ref="AC5:AC16" si="13">+(W5/3000)*50</f>
        <v>339.18</v>
      </c>
      <c r="AD5" s="390">
        <f t="shared" ref="AD5:AD16" si="14">+(X5/3000)*50</f>
        <v>339.18</v>
      </c>
      <c r="AF5" t="s">
        <v>403</v>
      </c>
      <c r="AG5" s="445">
        <f>+Z17/1000</f>
        <v>9.9357907999999995</v>
      </c>
      <c r="AH5" s="445">
        <f t="shared" ref="AH5:AK5" si="15">+AA17/1000</f>
        <v>11.413598273333333</v>
      </c>
      <c r="AI5" s="445">
        <f t="shared" si="15"/>
        <v>12.976603833666665</v>
      </c>
      <c r="AJ5" s="445">
        <f t="shared" si="15"/>
        <v>15.463443928683335</v>
      </c>
      <c r="AK5" s="445">
        <f t="shared" si="15"/>
        <v>18.046982304467498</v>
      </c>
      <c r="AL5" t="s">
        <v>110</v>
      </c>
      <c r="AM5" t="s">
        <v>403</v>
      </c>
      <c r="AN5" t="s">
        <v>60</v>
      </c>
      <c r="AO5" t="s">
        <v>61</v>
      </c>
      <c r="AP5" t="s">
        <v>62</v>
      </c>
      <c r="AQ5" t="s">
        <v>403</v>
      </c>
      <c r="AR5" t="s">
        <v>60</v>
      </c>
      <c r="AS5" t="s">
        <v>61</v>
      </c>
      <c r="AT5" t="s">
        <v>62</v>
      </c>
    </row>
    <row r="6" spans="1:46" x14ac:dyDescent="0.25">
      <c r="A6" s="239" t="s">
        <v>235</v>
      </c>
      <c r="B6" s="239" t="s">
        <v>238</v>
      </c>
      <c r="C6" s="261">
        <v>0</v>
      </c>
      <c r="D6" s="261">
        <v>0.15</v>
      </c>
      <c r="E6" s="261">
        <v>0.05</v>
      </c>
      <c r="F6" s="261">
        <v>0.05</v>
      </c>
      <c r="G6" s="373">
        <v>0</v>
      </c>
      <c r="H6" s="374">
        <v>4975.2</v>
      </c>
      <c r="I6" s="240">
        <v>21.5</v>
      </c>
      <c r="J6" s="240">
        <f t="shared" si="0"/>
        <v>106966.8</v>
      </c>
      <c r="K6" s="373">
        <f t="shared" si="1"/>
        <v>4228.92</v>
      </c>
      <c r="L6" s="240">
        <v>43</v>
      </c>
      <c r="M6" s="240">
        <f t="shared" si="3"/>
        <v>181843.56</v>
      </c>
      <c r="N6" s="373">
        <f t="shared" si="2"/>
        <v>746.28</v>
      </c>
      <c r="O6" s="373">
        <f t="shared" si="4"/>
        <v>4477.68</v>
      </c>
      <c r="S6" s="239" t="s">
        <v>238</v>
      </c>
      <c r="T6" s="395">
        <f t="shared" si="5"/>
        <v>4975.2</v>
      </c>
      <c r="U6" s="395">
        <f t="shared" si="6"/>
        <v>4975.2</v>
      </c>
      <c r="V6" s="395">
        <f t="shared" si="7"/>
        <v>4975.2</v>
      </c>
      <c r="W6" s="395">
        <f t="shared" si="8"/>
        <v>4975.2</v>
      </c>
      <c r="X6" s="395">
        <f t="shared" si="9"/>
        <v>4975.2</v>
      </c>
      <c r="Y6" s="239" t="s">
        <v>238</v>
      </c>
      <c r="Z6" s="390">
        <f t="shared" si="10"/>
        <v>82.919999999999987</v>
      </c>
      <c r="AA6" s="390">
        <f t="shared" si="11"/>
        <v>82.919999999999987</v>
      </c>
      <c r="AB6" s="390">
        <f t="shared" si="12"/>
        <v>82.919999999999987</v>
      </c>
      <c r="AC6" s="390">
        <f t="shared" si="13"/>
        <v>82.919999999999987</v>
      </c>
      <c r="AD6" s="390">
        <f t="shared" si="14"/>
        <v>82.919999999999987</v>
      </c>
      <c r="AF6" t="s">
        <v>60</v>
      </c>
      <c r="AG6" s="445">
        <f>+Z31/1000</f>
        <v>24.765681266666668</v>
      </c>
      <c r="AH6" s="445">
        <f t="shared" ref="AH6:AK6" si="16">+AA31/1000</f>
        <v>28.574087066000001</v>
      </c>
      <c r="AI6" s="445">
        <f t="shared" si="16"/>
        <v>33.185743241326662</v>
      </c>
      <c r="AJ6" s="445">
        <f t="shared" si="16"/>
        <v>33.185743241326662</v>
      </c>
      <c r="AK6" s="445">
        <f t="shared" si="16"/>
        <v>33.185743241326662</v>
      </c>
      <c r="AL6">
        <v>2018</v>
      </c>
      <c r="AM6" s="445">
        <v>9.9357907999999995</v>
      </c>
      <c r="AN6" s="445">
        <v>24.765681266666668</v>
      </c>
      <c r="AO6" s="445">
        <v>1.9450886666666665</v>
      </c>
      <c r="AP6" s="445">
        <v>0.46506899999999995</v>
      </c>
      <c r="AQ6" s="445">
        <v>596.14744799999994</v>
      </c>
      <c r="AR6" s="445">
        <v>530.69317000000001</v>
      </c>
      <c r="AS6" s="445">
        <v>145.88165000000001</v>
      </c>
      <c r="AT6" s="445">
        <v>7.75115</v>
      </c>
    </row>
    <row r="7" spans="1:46" x14ac:dyDescent="0.25">
      <c r="A7" s="239" t="s">
        <v>235</v>
      </c>
      <c r="B7" s="239" t="s">
        <v>239</v>
      </c>
      <c r="C7" s="261">
        <v>0.05</v>
      </c>
      <c r="D7" s="261">
        <v>0.15</v>
      </c>
      <c r="E7" s="261">
        <v>0.05</v>
      </c>
      <c r="F7" s="261">
        <v>0.05</v>
      </c>
      <c r="G7" s="373">
        <v>0</v>
      </c>
      <c r="H7" s="374">
        <v>8542.7999999999993</v>
      </c>
      <c r="I7" s="240">
        <v>21.5</v>
      </c>
      <c r="J7" s="240">
        <f t="shared" si="0"/>
        <v>183670.19999999998</v>
      </c>
      <c r="K7" s="373">
        <f t="shared" si="1"/>
        <v>7261.3799999999992</v>
      </c>
      <c r="L7" s="240">
        <v>43</v>
      </c>
      <c r="M7" s="240">
        <f t="shared" si="3"/>
        <v>312239.33999999997</v>
      </c>
      <c r="N7" s="373">
        <f t="shared" si="2"/>
        <v>1281.4199999999998</v>
      </c>
      <c r="O7" s="373">
        <f t="shared" si="4"/>
        <v>7688.5199999999986</v>
      </c>
      <c r="S7" s="239" t="s">
        <v>239</v>
      </c>
      <c r="T7" s="395">
        <f t="shared" si="5"/>
        <v>8969.9399999999987</v>
      </c>
      <c r="U7" s="395">
        <f t="shared" si="6"/>
        <v>9418.4369999999981</v>
      </c>
      <c r="V7" s="395">
        <f t="shared" si="7"/>
        <v>9889.3588499999987</v>
      </c>
      <c r="W7" s="395">
        <f t="shared" si="8"/>
        <v>10383.826792499998</v>
      </c>
      <c r="X7" s="395">
        <f t="shared" si="9"/>
        <v>10903.018132124998</v>
      </c>
      <c r="Y7" s="239" t="s">
        <v>239</v>
      </c>
      <c r="Z7" s="390">
        <f t="shared" si="10"/>
        <v>149.499</v>
      </c>
      <c r="AA7" s="390">
        <f t="shared" si="11"/>
        <v>156.97394999999997</v>
      </c>
      <c r="AB7" s="390">
        <f t="shared" si="12"/>
        <v>164.82264749999999</v>
      </c>
      <c r="AC7" s="390">
        <f t="shared" si="13"/>
        <v>173.06377987499997</v>
      </c>
      <c r="AD7" s="390">
        <f t="shared" si="14"/>
        <v>181.71696886874997</v>
      </c>
      <c r="AF7" t="s">
        <v>61</v>
      </c>
      <c r="AG7" s="445">
        <f>+Z36/1000</f>
        <v>1.9450886666666665</v>
      </c>
      <c r="AH7" s="445">
        <f t="shared" ref="AH7:AK7" si="17">+AA36/1000</f>
        <v>2.4061700333333338</v>
      </c>
      <c r="AI7" s="445">
        <f t="shared" si="17"/>
        <v>2.8746596166666669</v>
      </c>
      <c r="AJ7" s="445">
        <f t="shared" si="17"/>
        <v>3.7141406590833332</v>
      </c>
      <c r="AK7" s="445">
        <f t="shared" si="17"/>
        <v>4.626149309054167</v>
      </c>
      <c r="AL7">
        <v>2019</v>
      </c>
      <c r="AM7" s="445">
        <v>11.413598273333333</v>
      </c>
      <c r="AN7" s="445">
        <v>28.574087066000001</v>
      </c>
      <c r="AO7" s="445">
        <v>2.4061700333333338</v>
      </c>
      <c r="AP7" s="445">
        <v>0.49567844999999999</v>
      </c>
      <c r="AQ7" s="445">
        <v>684.81589639999993</v>
      </c>
      <c r="AR7" s="445">
        <v>612.30186570000012</v>
      </c>
      <c r="AS7" s="445">
        <v>180.46275249999999</v>
      </c>
      <c r="AT7" s="445">
        <v>8.2613074999999991</v>
      </c>
    </row>
    <row r="8" spans="1:46" x14ac:dyDescent="0.25">
      <c r="A8" s="239" t="s">
        <v>235</v>
      </c>
      <c r="B8" s="239" t="s">
        <v>240</v>
      </c>
      <c r="C8" s="261">
        <v>-0.15</v>
      </c>
      <c r="D8" s="261">
        <v>0.15</v>
      </c>
      <c r="E8" s="261">
        <v>0.05</v>
      </c>
      <c r="F8" s="261">
        <v>0.05</v>
      </c>
      <c r="G8" s="373">
        <v>0</v>
      </c>
      <c r="H8" s="374">
        <v>18870</v>
      </c>
      <c r="I8" s="240">
        <v>21.5</v>
      </c>
      <c r="J8" s="240">
        <f t="shared" si="0"/>
        <v>405705</v>
      </c>
      <c r="K8" s="373">
        <f t="shared" si="1"/>
        <v>16039.5</v>
      </c>
      <c r="L8" s="240">
        <v>43</v>
      </c>
      <c r="M8" s="240">
        <f t="shared" si="3"/>
        <v>689698.5</v>
      </c>
      <c r="N8" s="373">
        <f t="shared" si="2"/>
        <v>2830.5</v>
      </c>
      <c r="O8" s="373">
        <f t="shared" si="4"/>
        <v>16983</v>
      </c>
      <c r="S8" s="239" t="s">
        <v>240</v>
      </c>
      <c r="T8" s="395">
        <f t="shared" si="5"/>
        <v>16039.5</v>
      </c>
      <c r="U8" s="395">
        <f t="shared" si="6"/>
        <v>13633.575000000001</v>
      </c>
      <c r="V8" s="395">
        <f t="shared" si="7"/>
        <v>11588.53875</v>
      </c>
      <c r="W8" s="395">
        <f t="shared" si="8"/>
        <v>9850.2579375000005</v>
      </c>
      <c r="X8" s="395">
        <f t="shared" si="9"/>
        <v>8372.719246875</v>
      </c>
      <c r="Y8" s="239" t="s">
        <v>240</v>
      </c>
      <c r="Z8" s="390">
        <f t="shared" si="10"/>
        <v>267.32499999999999</v>
      </c>
      <c r="AA8" s="390">
        <f t="shared" si="11"/>
        <v>227.22624999999999</v>
      </c>
      <c r="AB8" s="390">
        <f t="shared" si="12"/>
        <v>193.1423125</v>
      </c>
      <c r="AC8" s="390">
        <f t="shared" si="13"/>
        <v>164.17096562500001</v>
      </c>
      <c r="AD8" s="390">
        <f t="shared" si="14"/>
        <v>139.54532078124998</v>
      </c>
      <c r="AF8" t="s">
        <v>62</v>
      </c>
      <c r="AG8" s="445">
        <f>+Z46/1000</f>
        <v>0.46506899999999995</v>
      </c>
      <c r="AH8" s="445">
        <f t="shared" ref="AH8:AK8" si="18">+AA46/1000</f>
        <v>0.49567844999999999</v>
      </c>
      <c r="AI8" s="445">
        <f t="shared" si="18"/>
        <v>0.53384846249999995</v>
      </c>
      <c r="AJ8" s="445">
        <f t="shared" si="18"/>
        <v>0.58025773312499995</v>
      </c>
      <c r="AK8" s="445">
        <f t="shared" si="18"/>
        <v>0.6358666665562499</v>
      </c>
      <c r="AL8">
        <v>2020</v>
      </c>
      <c r="AM8" s="445">
        <v>12.976603833666665</v>
      </c>
      <c r="AN8" s="445">
        <v>33.185743241326662</v>
      </c>
      <c r="AO8" s="445">
        <v>2.8746596166666669</v>
      </c>
      <c r="AP8" s="445">
        <v>0.53384846249999995</v>
      </c>
      <c r="AQ8" s="445">
        <v>778.59623002000001</v>
      </c>
      <c r="AR8" s="445">
        <v>711.12306945700004</v>
      </c>
      <c r="AS8" s="445">
        <v>223.96729962499998</v>
      </c>
      <c r="AT8" s="445">
        <v>8.8974743749999998</v>
      </c>
    </row>
    <row r="9" spans="1:46" x14ac:dyDescent="0.25">
      <c r="A9" s="239" t="s">
        <v>235</v>
      </c>
      <c r="B9" s="239" t="s">
        <v>241</v>
      </c>
      <c r="C9" s="261">
        <v>-0.1</v>
      </c>
      <c r="D9" s="261">
        <v>0.15</v>
      </c>
      <c r="E9" s="261">
        <v>0.05</v>
      </c>
      <c r="F9" s="261">
        <v>0.05</v>
      </c>
      <c r="G9" s="373">
        <v>0</v>
      </c>
      <c r="H9" s="374">
        <v>49459.199999999997</v>
      </c>
      <c r="I9" s="240">
        <v>21.5</v>
      </c>
      <c r="J9" s="240">
        <f t="shared" si="0"/>
        <v>1063372.8</v>
      </c>
      <c r="K9" s="373">
        <f t="shared" si="1"/>
        <v>42040.32</v>
      </c>
      <c r="L9" s="240">
        <v>43</v>
      </c>
      <c r="M9" s="240">
        <f t="shared" si="3"/>
        <v>1807733.76</v>
      </c>
      <c r="N9" s="373">
        <f t="shared" si="2"/>
        <v>7418.8799999999992</v>
      </c>
      <c r="O9" s="373">
        <f t="shared" si="4"/>
        <v>44513.279999999999</v>
      </c>
      <c r="S9" s="239" t="s">
        <v>241</v>
      </c>
      <c r="T9" s="395">
        <f t="shared" si="5"/>
        <v>44513.279999999999</v>
      </c>
      <c r="U9" s="395">
        <f t="shared" si="6"/>
        <v>40061.951999999997</v>
      </c>
      <c r="V9" s="395">
        <f t="shared" si="7"/>
        <v>36055.756799999996</v>
      </c>
      <c r="W9" s="395">
        <f t="shared" si="8"/>
        <v>32450.181119999994</v>
      </c>
      <c r="X9" s="395">
        <f t="shared" si="9"/>
        <v>29205.163007999996</v>
      </c>
      <c r="Y9" s="239" t="s">
        <v>241</v>
      </c>
      <c r="Z9" s="390">
        <f t="shared" si="10"/>
        <v>741.88799999999992</v>
      </c>
      <c r="AA9" s="390">
        <f t="shared" si="11"/>
        <v>667.69919999999991</v>
      </c>
      <c r="AB9" s="390">
        <f t="shared" si="12"/>
        <v>600.92927999999995</v>
      </c>
      <c r="AC9" s="390">
        <f t="shared" si="13"/>
        <v>540.83635199999992</v>
      </c>
      <c r="AD9" s="390">
        <f t="shared" si="14"/>
        <v>486.75271679999997</v>
      </c>
      <c r="AF9" s="2" t="s">
        <v>481</v>
      </c>
      <c r="AL9">
        <v>2021</v>
      </c>
      <c r="AM9" s="445">
        <v>15.463443928683335</v>
      </c>
      <c r="AN9" s="445">
        <v>33.185743241326662</v>
      </c>
      <c r="AO9" s="445">
        <v>3.7141406590833332</v>
      </c>
      <c r="AP9" s="445">
        <v>0.58025773312499995</v>
      </c>
      <c r="AQ9" s="445">
        <v>927.80663572099991</v>
      </c>
      <c r="AR9" s="445">
        <v>834.45472000657003</v>
      </c>
      <c r="AS9" s="445">
        <v>278.56054943125002</v>
      </c>
      <c r="AT9" s="445">
        <v>9.6709622187499988</v>
      </c>
    </row>
    <row r="10" spans="1:46" x14ac:dyDescent="0.25">
      <c r="A10" s="239" t="s">
        <v>235</v>
      </c>
      <c r="B10" s="239" t="s">
        <v>242</v>
      </c>
      <c r="C10" s="261">
        <v>0.1</v>
      </c>
      <c r="D10" s="261">
        <v>0.15</v>
      </c>
      <c r="E10" s="261">
        <v>0.05</v>
      </c>
      <c r="F10" s="261">
        <v>0.05</v>
      </c>
      <c r="G10" s="373">
        <v>0</v>
      </c>
      <c r="H10" s="374">
        <v>2265.6</v>
      </c>
      <c r="I10" s="240">
        <v>21.5</v>
      </c>
      <c r="J10" s="240">
        <f t="shared" si="0"/>
        <v>48710.400000000001</v>
      </c>
      <c r="K10" s="373">
        <f t="shared" si="1"/>
        <v>1925.76</v>
      </c>
      <c r="L10" s="240">
        <v>43</v>
      </c>
      <c r="M10" s="240">
        <f t="shared" si="3"/>
        <v>82807.679999999993</v>
      </c>
      <c r="N10" s="373">
        <f t="shared" si="2"/>
        <v>339.84</v>
      </c>
      <c r="O10" s="373">
        <f t="shared" si="4"/>
        <v>2039.04</v>
      </c>
      <c r="S10" s="239" t="s">
        <v>242</v>
      </c>
      <c r="T10" s="395">
        <f t="shared" si="5"/>
        <v>2492.16</v>
      </c>
      <c r="U10" s="395">
        <f t="shared" si="6"/>
        <v>2741.3759999999997</v>
      </c>
      <c r="V10" s="395">
        <f t="shared" si="7"/>
        <v>3015.5135999999998</v>
      </c>
      <c r="W10" s="395">
        <f t="shared" si="8"/>
        <v>3317.0649599999997</v>
      </c>
      <c r="X10" s="395">
        <f t="shared" si="9"/>
        <v>3648.7714559999995</v>
      </c>
      <c r="Y10" s="239" t="s">
        <v>242</v>
      </c>
      <c r="Z10" s="390">
        <f t="shared" si="10"/>
        <v>41.535999999999994</v>
      </c>
      <c r="AA10" s="390">
        <f t="shared" si="11"/>
        <v>45.689599999999999</v>
      </c>
      <c r="AB10" s="390">
        <f t="shared" si="12"/>
        <v>50.258559999999996</v>
      </c>
      <c r="AC10" s="390">
        <f t="shared" si="13"/>
        <v>55.284415999999993</v>
      </c>
      <c r="AD10" s="390">
        <f t="shared" si="14"/>
        <v>60.812857599999994</v>
      </c>
      <c r="AF10" t="s">
        <v>403</v>
      </c>
      <c r="AG10" s="406">
        <f>+T17/1000</f>
        <v>596.14744799999994</v>
      </c>
      <c r="AH10" s="406">
        <f t="shared" ref="AH10:AK10" si="19">+U17/1000</f>
        <v>684.81589639999993</v>
      </c>
      <c r="AI10" s="406">
        <f t="shared" si="19"/>
        <v>778.59623002000001</v>
      </c>
      <c r="AJ10" s="406">
        <f t="shared" si="19"/>
        <v>927.80663572099991</v>
      </c>
      <c r="AK10" s="406">
        <f t="shared" si="19"/>
        <v>1082.81893826805</v>
      </c>
      <c r="AL10">
        <v>2022</v>
      </c>
      <c r="AM10" s="445">
        <v>18.046982304467498</v>
      </c>
      <c r="AN10" s="445">
        <v>33.185743241326662</v>
      </c>
      <c r="AO10" s="445">
        <v>4.626149309054167</v>
      </c>
      <c r="AP10" s="445">
        <v>0.6358666665562499</v>
      </c>
      <c r="AQ10" s="445">
        <v>1082.81893826805</v>
      </c>
      <c r="AR10" s="445">
        <v>989.20530313238555</v>
      </c>
      <c r="AS10" s="445">
        <v>346.96119817906254</v>
      </c>
      <c r="AT10" s="445">
        <v>10.597777775937498</v>
      </c>
    </row>
    <row r="11" spans="1:46" x14ac:dyDescent="0.25">
      <c r="A11" s="239" t="s">
        <v>235</v>
      </c>
      <c r="B11" s="239" t="s">
        <v>243</v>
      </c>
      <c r="C11" s="261">
        <v>0.05</v>
      </c>
      <c r="D11" s="261">
        <v>0.15</v>
      </c>
      <c r="E11" s="261">
        <v>0.05</v>
      </c>
      <c r="F11" s="261">
        <v>0.05</v>
      </c>
      <c r="G11" s="373">
        <v>0</v>
      </c>
      <c r="H11" s="374">
        <v>3268.7999999999997</v>
      </c>
      <c r="I11" s="240">
        <v>21.5</v>
      </c>
      <c r="J11" s="240">
        <f t="shared" si="0"/>
        <v>70279.199999999997</v>
      </c>
      <c r="K11" s="373">
        <f t="shared" si="1"/>
        <v>2778.4799999999996</v>
      </c>
      <c r="L11" s="240">
        <v>43</v>
      </c>
      <c r="M11" s="240">
        <f t="shared" si="3"/>
        <v>119474.63999999998</v>
      </c>
      <c r="N11" s="373">
        <f t="shared" si="2"/>
        <v>490.31999999999994</v>
      </c>
      <c r="O11" s="373">
        <f t="shared" si="4"/>
        <v>2941.9199999999996</v>
      </c>
      <c r="S11" s="239" t="s">
        <v>243</v>
      </c>
      <c r="T11" s="395">
        <f t="shared" si="5"/>
        <v>3432.24</v>
      </c>
      <c r="U11" s="395">
        <f t="shared" si="6"/>
        <v>3603.8519999999999</v>
      </c>
      <c r="V11" s="395">
        <f t="shared" si="7"/>
        <v>3784.0445999999997</v>
      </c>
      <c r="W11" s="395">
        <f t="shared" si="8"/>
        <v>3973.2468299999996</v>
      </c>
      <c r="X11" s="395">
        <f t="shared" si="9"/>
        <v>4171.9091714999995</v>
      </c>
      <c r="Y11" s="239" t="s">
        <v>243</v>
      </c>
      <c r="Z11" s="390">
        <f t="shared" si="10"/>
        <v>57.204000000000001</v>
      </c>
      <c r="AA11" s="390">
        <f t="shared" si="11"/>
        <v>60.0642</v>
      </c>
      <c r="AB11" s="390">
        <f t="shared" si="12"/>
        <v>63.067409999999988</v>
      </c>
      <c r="AC11" s="390">
        <f t="shared" si="13"/>
        <v>66.220780500000004</v>
      </c>
      <c r="AD11" s="390">
        <f t="shared" si="14"/>
        <v>69.531819524999989</v>
      </c>
      <c r="AF11" t="s">
        <v>60</v>
      </c>
      <c r="AG11" s="406">
        <f>+T31/1000</f>
        <v>530.69317000000001</v>
      </c>
      <c r="AH11" s="406">
        <f t="shared" ref="AH11:AK11" si="20">+U31/1000</f>
        <v>612.30186570000012</v>
      </c>
      <c r="AI11" s="406">
        <f t="shared" si="20"/>
        <v>711.12306945700004</v>
      </c>
      <c r="AJ11" s="406">
        <f t="shared" si="20"/>
        <v>834.45472000657003</v>
      </c>
      <c r="AK11" s="406">
        <f t="shared" si="20"/>
        <v>989.20530313238555</v>
      </c>
    </row>
    <row r="12" spans="1:46" x14ac:dyDescent="0.25">
      <c r="A12" s="239" t="s">
        <v>235</v>
      </c>
      <c r="B12" s="239" t="s">
        <v>244</v>
      </c>
      <c r="C12" s="261">
        <v>0.05</v>
      </c>
      <c r="D12" s="261">
        <v>0.15</v>
      </c>
      <c r="E12" s="261">
        <v>0.05</v>
      </c>
      <c r="F12" s="261">
        <v>0.05</v>
      </c>
      <c r="G12" s="373">
        <v>0</v>
      </c>
      <c r="H12" s="374">
        <v>2008.8</v>
      </c>
      <c r="I12" s="240">
        <v>21.5</v>
      </c>
      <c r="J12" s="240">
        <f t="shared" si="0"/>
        <v>43189.2</v>
      </c>
      <c r="K12" s="373">
        <f t="shared" si="1"/>
        <v>1707.48</v>
      </c>
      <c r="L12" s="240">
        <v>43</v>
      </c>
      <c r="M12" s="240">
        <f t="shared" si="3"/>
        <v>73421.64</v>
      </c>
      <c r="N12" s="373">
        <f t="shared" si="2"/>
        <v>301.32</v>
      </c>
      <c r="O12" s="373">
        <f t="shared" si="4"/>
        <v>1807.92</v>
      </c>
      <c r="S12" s="239" t="s">
        <v>244</v>
      </c>
      <c r="T12" s="395">
        <f t="shared" si="5"/>
        <v>2109.2399999999998</v>
      </c>
      <c r="U12" s="395">
        <f t="shared" si="6"/>
        <v>2214.7019999999998</v>
      </c>
      <c r="V12" s="395">
        <f t="shared" si="7"/>
        <v>2325.4370999999996</v>
      </c>
      <c r="W12" s="395">
        <f t="shared" si="8"/>
        <v>2441.7089549999996</v>
      </c>
      <c r="X12" s="395">
        <f t="shared" si="9"/>
        <v>2563.7944027499998</v>
      </c>
      <c r="Y12" s="239" t="s">
        <v>244</v>
      </c>
      <c r="Z12" s="390">
        <f t="shared" si="10"/>
        <v>35.153999999999996</v>
      </c>
      <c r="AA12" s="390">
        <f t="shared" si="11"/>
        <v>36.911699999999996</v>
      </c>
      <c r="AB12" s="390">
        <f t="shared" si="12"/>
        <v>38.757284999999989</v>
      </c>
      <c r="AC12" s="390">
        <f t="shared" si="13"/>
        <v>40.695149249999993</v>
      </c>
      <c r="AD12" s="390">
        <f t="shared" si="14"/>
        <v>42.729906712499997</v>
      </c>
      <c r="AF12" t="s">
        <v>61</v>
      </c>
      <c r="AG12" s="17">
        <f>+T36/1000</f>
        <v>145.88165000000001</v>
      </c>
      <c r="AH12" s="17">
        <f t="shared" ref="AH12:AK12" si="21">+U36/1000</f>
        <v>180.46275249999999</v>
      </c>
      <c r="AI12" s="17">
        <f t="shared" si="21"/>
        <v>223.96729962499998</v>
      </c>
      <c r="AJ12" s="17">
        <f t="shared" si="21"/>
        <v>278.56054943125002</v>
      </c>
      <c r="AK12" s="17">
        <f t="shared" si="21"/>
        <v>346.96119817906254</v>
      </c>
    </row>
    <row r="13" spans="1:46" x14ac:dyDescent="0.25">
      <c r="A13" s="239" t="s">
        <v>235</v>
      </c>
      <c r="B13" s="239" t="s">
        <v>245</v>
      </c>
      <c r="C13" s="261">
        <v>0.1</v>
      </c>
      <c r="D13" s="261">
        <v>0.15</v>
      </c>
      <c r="E13" s="261">
        <v>0.05</v>
      </c>
      <c r="F13" s="261">
        <v>0.05</v>
      </c>
      <c r="G13" s="373">
        <v>0</v>
      </c>
      <c r="H13" s="374">
        <v>993.59999999999991</v>
      </c>
      <c r="I13" s="240">
        <v>21.5</v>
      </c>
      <c r="J13" s="240">
        <f t="shared" si="0"/>
        <v>21362.399999999998</v>
      </c>
      <c r="K13" s="373">
        <f t="shared" si="1"/>
        <v>844.56</v>
      </c>
      <c r="L13" s="240">
        <v>43</v>
      </c>
      <c r="M13" s="240">
        <f t="shared" si="3"/>
        <v>36316.079999999994</v>
      </c>
      <c r="N13" s="373">
        <f t="shared" si="2"/>
        <v>149.04</v>
      </c>
      <c r="O13" s="373">
        <f t="shared" si="4"/>
        <v>894.24</v>
      </c>
      <c r="S13" s="239" t="s">
        <v>245</v>
      </c>
      <c r="T13" s="395">
        <f t="shared" si="5"/>
        <v>1092.9599999999998</v>
      </c>
      <c r="U13" s="395">
        <f t="shared" si="6"/>
        <v>1202.2559999999999</v>
      </c>
      <c r="V13" s="395">
        <f t="shared" si="7"/>
        <v>1322.4815999999998</v>
      </c>
      <c r="W13" s="395">
        <f t="shared" si="8"/>
        <v>1454.7297599999997</v>
      </c>
      <c r="X13" s="395">
        <f t="shared" si="9"/>
        <v>1600.2027359999997</v>
      </c>
      <c r="Y13" s="239" t="s">
        <v>245</v>
      </c>
      <c r="Z13" s="390">
        <f t="shared" si="10"/>
        <v>18.215999999999998</v>
      </c>
      <c r="AA13" s="390">
        <f t="shared" si="11"/>
        <v>20.037599999999998</v>
      </c>
      <c r="AB13" s="390">
        <f t="shared" si="12"/>
        <v>22.041359999999997</v>
      </c>
      <c r="AC13" s="390">
        <f t="shared" si="13"/>
        <v>24.245495999999996</v>
      </c>
      <c r="AD13" s="390">
        <f t="shared" si="14"/>
        <v>26.670045599999998</v>
      </c>
      <c r="AF13" t="s">
        <v>62</v>
      </c>
      <c r="AG13" s="446">
        <f>+T46/1000</f>
        <v>7.75115</v>
      </c>
      <c r="AH13" s="446">
        <f t="shared" ref="AH13:AK13" si="22">+U46/1000</f>
        <v>8.2613074999999991</v>
      </c>
      <c r="AI13" s="446">
        <f t="shared" si="22"/>
        <v>8.8974743749999998</v>
      </c>
      <c r="AJ13" s="446">
        <f t="shared" si="22"/>
        <v>9.6709622187499988</v>
      </c>
      <c r="AK13" s="446">
        <f t="shared" si="22"/>
        <v>10.597777775937498</v>
      </c>
    </row>
    <row r="14" spans="1:46" x14ac:dyDescent="0.25">
      <c r="A14" s="239" t="s">
        <v>235</v>
      </c>
      <c r="B14" s="239" t="s">
        <v>410</v>
      </c>
      <c r="C14" s="261">
        <v>-0.05</v>
      </c>
      <c r="D14" s="261">
        <v>0.15</v>
      </c>
      <c r="E14" s="261">
        <v>0.05</v>
      </c>
      <c r="F14" s="261">
        <v>0.05</v>
      </c>
      <c r="G14" s="373">
        <v>0</v>
      </c>
      <c r="H14" s="374">
        <v>1989.6</v>
      </c>
      <c r="I14" s="240">
        <v>21.5</v>
      </c>
      <c r="J14" s="240">
        <f t="shared" si="0"/>
        <v>42776.4</v>
      </c>
      <c r="K14" s="373">
        <f t="shared" si="1"/>
        <v>1691.1599999999999</v>
      </c>
      <c r="L14" s="240">
        <v>43</v>
      </c>
      <c r="M14" s="240">
        <f t="shared" si="3"/>
        <v>72719.87999999999</v>
      </c>
      <c r="N14" s="373">
        <f t="shared" si="2"/>
        <v>298.44</v>
      </c>
      <c r="O14" s="373">
        <f t="shared" si="4"/>
        <v>1790.6399999999999</v>
      </c>
      <c r="S14" s="239" t="s">
        <v>410</v>
      </c>
      <c r="T14" s="395">
        <f t="shared" si="5"/>
        <v>1890.12</v>
      </c>
      <c r="U14" s="395">
        <f t="shared" si="6"/>
        <v>1795.6139999999998</v>
      </c>
      <c r="V14" s="395">
        <f t="shared" si="7"/>
        <v>1705.8332999999998</v>
      </c>
      <c r="W14" s="395">
        <f t="shared" si="8"/>
        <v>1620.5416349999998</v>
      </c>
      <c r="X14" s="395">
        <f t="shared" si="9"/>
        <v>1539.5145532499998</v>
      </c>
      <c r="Y14" s="239" t="s">
        <v>410</v>
      </c>
      <c r="Z14" s="390">
        <f t="shared" si="10"/>
        <v>31.501999999999995</v>
      </c>
      <c r="AA14" s="390">
        <f t="shared" si="11"/>
        <v>29.926899999999996</v>
      </c>
      <c r="AB14" s="390">
        <f t="shared" si="12"/>
        <v>28.430554999999995</v>
      </c>
      <c r="AC14" s="390">
        <f t="shared" si="13"/>
        <v>27.009027249999995</v>
      </c>
      <c r="AD14" s="390">
        <f t="shared" si="14"/>
        <v>25.658575887499996</v>
      </c>
    </row>
    <row r="15" spans="1:46" x14ac:dyDescent="0.25">
      <c r="A15" s="239" t="s">
        <v>235</v>
      </c>
      <c r="B15" s="239" t="s">
        <v>246</v>
      </c>
      <c r="C15" s="261">
        <v>0.1</v>
      </c>
      <c r="D15" s="261">
        <v>0.15</v>
      </c>
      <c r="E15" s="261">
        <v>0.05</v>
      </c>
      <c r="F15" s="261">
        <v>0.05</v>
      </c>
      <c r="G15" s="373">
        <v>0</v>
      </c>
      <c r="H15" s="374">
        <v>364036.8</v>
      </c>
      <c r="I15" s="240">
        <v>21.5</v>
      </c>
      <c r="J15" s="240">
        <f t="shared" si="0"/>
        <v>7826791.2000000002</v>
      </c>
      <c r="K15" s="373">
        <f t="shared" si="1"/>
        <v>309431.27999999997</v>
      </c>
      <c r="L15" s="240">
        <v>43</v>
      </c>
      <c r="M15" s="240">
        <f t="shared" si="3"/>
        <v>13305545.039999999</v>
      </c>
      <c r="N15" s="373">
        <f t="shared" si="2"/>
        <v>54605.52</v>
      </c>
      <c r="O15" s="373">
        <f t="shared" si="4"/>
        <v>327633.12</v>
      </c>
      <c r="S15" s="239" t="s">
        <v>246</v>
      </c>
      <c r="T15" s="395">
        <f t="shared" si="5"/>
        <v>400440.48</v>
      </c>
      <c r="U15" s="395">
        <f t="shared" si="6"/>
        <v>440484.52799999999</v>
      </c>
      <c r="V15" s="395">
        <f t="shared" si="7"/>
        <v>484532.98080000002</v>
      </c>
      <c r="W15" s="395">
        <f t="shared" si="8"/>
        <v>532986.27888</v>
      </c>
      <c r="X15" s="395">
        <f t="shared" si="9"/>
        <v>586284.90676799999</v>
      </c>
      <c r="Y15" s="239" t="s">
        <v>246</v>
      </c>
      <c r="Z15" s="390">
        <f t="shared" si="10"/>
        <v>6674.0079999999989</v>
      </c>
      <c r="AA15" s="390">
        <f t="shared" si="11"/>
        <v>7341.4087999999992</v>
      </c>
      <c r="AB15" s="390">
        <f t="shared" si="12"/>
        <v>8075.5496800000001</v>
      </c>
      <c r="AC15" s="390">
        <f t="shared" si="13"/>
        <v>8883.1046480000005</v>
      </c>
      <c r="AD15" s="390">
        <f t="shared" si="14"/>
        <v>9771.4151127999994</v>
      </c>
    </row>
    <row r="16" spans="1:46" x14ac:dyDescent="0.25">
      <c r="A16" s="239" t="s">
        <v>235</v>
      </c>
      <c r="B16" s="239" t="s">
        <v>453</v>
      </c>
      <c r="C16" s="261">
        <v>0.25</v>
      </c>
      <c r="D16" s="261"/>
      <c r="E16" s="261"/>
      <c r="F16" s="261"/>
      <c r="G16" s="373"/>
      <c r="H16" s="374"/>
      <c r="I16" s="240"/>
      <c r="J16" s="240"/>
      <c r="K16" s="373"/>
      <c r="L16" s="240"/>
      <c r="M16" s="240"/>
      <c r="N16" s="373"/>
      <c r="O16" s="373"/>
      <c r="S16" s="239" t="s">
        <v>453</v>
      </c>
      <c r="T16" s="395"/>
      <c r="U16" s="395">
        <v>50000</v>
      </c>
      <c r="V16" s="395">
        <v>100000</v>
      </c>
      <c r="W16" s="395">
        <v>200000</v>
      </c>
      <c r="X16" s="395">
        <v>300000</v>
      </c>
      <c r="Y16" s="239" t="s">
        <v>453</v>
      </c>
      <c r="Z16" s="390">
        <f t="shared" si="10"/>
        <v>0</v>
      </c>
      <c r="AA16" s="390">
        <f t="shared" si="11"/>
        <v>833.33333333333337</v>
      </c>
      <c r="AB16" s="390">
        <f t="shared" si="12"/>
        <v>1666.6666666666667</v>
      </c>
      <c r="AC16" s="390">
        <f t="shared" si="13"/>
        <v>3333.3333333333335</v>
      </c>
      <c r="AD16" s="390">
        <f t="shared" si="14"/>
        <v>5000</v>
      </c>
    </row>
    <row r="17" spans="1:30" s="388" customFormat="1" x14ac:dyDescent="0.25">
      <c r="A17" s="384" t="s">
        <v>424</v>
      </c>
      <c r="B17" s="384"/>
      <c r="C17" s="385"/>
      <c r="D17" s="385"/>
      <c r="E17" s="385"/>
      <c r="F17" s="385"/>
      <c r="G17" s="386"/>
      <c r="H17" s="387">
        <f>SUM(H4:H15)</f>
        <v>562324.55999999994</v>
      </c>
      <c r="I17" s="386"/>
      <c r="J17" s="387">
        <f>SUM(J4:J15)</f>
        <v>12089978.040000001</v>
      </c>
      <c r="K17" s="387">
        <f>SUM(K4:K15)</f>
        <v>477975.87599999999</v>
      </c>
      <c r="L17" s="386"/>
      <c r="M17" s="387">
        <f>SUM(M4:M15)</f>
        <v>20552962.667999998</v>
      </c>
      <c r="N17" s="387">
        <f>SUM(N4:N15)</f>
        <v>84348.683999999994</v>
      </c>
      <c r="O17" s="387">
        <f>SUM(O4:O15)</f>
        <v>506092.10400000005</v>
      </c>
      <c r="S17" s="384"/>
      <c r="T17" s="396">
        <f>SUM(T4:T16)</f>
        <v>596147.44799999997</v>
      </c>
      <c r="U17" s="396">
        <f t="shared" ref="U17:X17" si="23">SUM(U4:U16)</f>
        <v>684815.89639999997</v>
      </c>
      <c r="V17" s="396">
        <f t="shared" si="23"/>
        <v>778596.23002000002</v>
      </c>
      <c r="W17" s="396">
        <f t="shared" si="23"/>
        <v>927806.63572099991</v>
      </c>
      <c r="X17" s="396">
        <f t="shared" si="23"/>
        <v>1082818.9382680501</v>
      </c>
      <c r="Y17" s="384"/>
      <c r="Z17" s="391">
        <f t="shared" ref="Z17" si="24">SUM(Z4:Z16)</f>
        <v>9935.7907999999989</v>
      </c>
      <c r="AA17" s="391">
        <f t="shared" ref="AA17" si="25">SUM(AA4:AA16)</f>
        <v>11413.598273333333</v>
      </c>
      <c r="AB17" s="391">
        <f t="shared" ref="AB17" si="26">SUM(AB4:AB16)</f>
        <v>12976.603833666666</v>
      </c>
      <c r="AC17" s="391">
        <f t="shared" ref="AC17:AD17" si="27">SUM(AC4:AC16)</f>
        <v>15463.443928683335</v>
      </c>
      <c r="AD17" s="391">
        <f t="shared" si="27"/>
        <v>18046.982304467499</v>
      </c>
    </row>
    <row r="18" spans="1:30" x14ac:dyDescent="0.25">
      <c r="A18" s="239" t="s">
        <v>60</v>
      </c>
      <c r="B18" s="239" t="s">
        <v>247</v>
      </c>
      <c r="C18" s="261">
        <v>0.25</v>
      </c>
      <c r="D18" s="261">
        <v>0.1</v>
      </c>
      <c r="E18" s="261">
        <v>0.05</v>
      </c>
      <c r="F18" s="261">
        <v>0.05</v>
      </c>
      <c r="G18" s="373">
        <v>169482</v>
      </c>
      <c r="H18" s="373">
        <v>231129</v>
      </c>
      <c r="I18" s="240">
        <v>30</v>
      </c>
      <c r="J18" s="240">
        <f t="shared" ref="J18:J30" si="28">+H18*I18</f>
        <v>6933870</v>
      </c>
      <c r="K18" s="373">
        <f t="shared" ref="K18:K30" si="29">+G18</f>
        <v>169482</v>
      </c>
      <c r="L18" s="240">
        <v>60</v>
      </c>
      <c r="M18" s="240">
        <f t="shared" si="3"/>
        <v>10168920</v>
      </c>
      <c r="N18" s="373">
        <f t="shared" ref="N18:N30" si="30">+H18*D18</f>
        <v>23112.9</v>
      </c>
      <c r="O18" s="373">
        <f>+N18*0.7*15</f>
        <v>242685.45</v>
      </c>
      <c r="S18" s="239" t="s">
        <v>247</v>
      </c>
      <c r="T18" s="395">
        <f t="shared" si="5"/>
        <v>288911.25</v>
      </c>
      <c r="U18" s="395">
        <f t="shared" si="6"/>
        <v>361139.0625</v>
      </c>
      <c r="V18" s="395">
        <f t="shared" si="7"/>
        <v>451423.828125</v>
      </c>
      <c r="W18" s="395">
        <f t="shared" si="8"/>
        <v>564279.78515625</v>
      </c>
      <c r="X18" s="395">
        <f t="shared" si="9"/>
        <v>705349.7314453125</v>
      </c>
      <c r="Y18" s="239" t="s">
        <v>247</v>
      </c>
      <c r="Z18" s="390">
        <f>+(T18/3000)*140</f>
        <v>13482.525</v>
      </c>
      <c r="AA18" s="390">
        <f>+(U18/3000)*140</f>
        <v>16853.15625</v>
      </c>
      <c r="AB18" s="390">
        <f>+(V18/3000)*140</f>
        <v>21066.4453125</v>
      </c>
      <c r="AC18" s="390">
        <f>+AB18</f>
        <v>21066.4453125</v>
      </c>
      <c r="AD18" s="390">
        <f>+AC18</f>
        <v>21066.4453125</v>
      </c>
    </row>
    <row r="19" spans="1:30" x14ac:dyDescent="0.25">
      <c r="A19" s="239" t="s">
        <v>60</v>
      </c>
      <c r="B19" s="239" t="s">
        <v>248</v>
      </c>
      <c r="C19" s="261">
        <v>0.2</v>
      </c>
      <c r="D19" s="261">
        <v>0.1</v>
      </c>
      <c r="E19" s="261">
        <v>0.05</v>
      </c>
      <c r="F19" s="261">
        <v>0.05</v>
      </c>
      <c r="G19" s="373">
        <v>20917</v>
      </c>
      <c r="H19" s="373">
        <v>18014</v>
      </c>
      <c r="I19" s="240">
        <v>30</v>
      </c>
      <c r="J19" s="240">
        <f t="shared" si="28"/>
        <v>540420</v>
      </c>
      <c r="K19" s="373">
        <f t="shared" si="29"/>
        <v>20917</v>
      </c>
      <c r="L19" s="240">
        <v>60</v>
      </c>
      <c r="M19" s="240">
        <f t="shared" si="3"/>
        <v>1255020</v>
      </c>
      <c r="N19" s="373">
        <f t="shared" si="30"/>
        <v>1801.4</v>
      </c>
      <c r="O19" s="373">
        <f t="shared" ref="O19:O30" si="31">+N19*0.7*15</f>
        <v>18914.7</v>
      </c>
      <c r="S19" s="239" t="s">
        <v>248</v>
      </c>
      <c r="T19" s="395">
        <f t="shared" si="5"/>
        <v>21616.799999999999</v>
      </c>
      <c r="U19" s="395">
        <f t="shared" si="6"/>
        <v>25940.16</v>
      </c>
      <c r="V19" s="395">
        <f t="shared" si="7"/>
        <v>31128.191999999999</v>
      </c>
      <c r="W19" s="395">
        <f t="shared" si="8"/>
        <v>37353.830399999999</v>
      </c>
      <c r="X19" s="395">
        <f t="shared" si="9"/>
        <v>44824.59648</v>
      </c>
      <c r="Y19" s="239" t="s">
        <v>248</v>
      </c>
      <c r="Z19" s="390">
        <f t="shared" ref="Z19:Z30" si="32">+(T19/3000)*140</f>
        <v>1008.784</v>
      </c>
      <c r="AA19" s="390">
        <f t="shared" ref="AA19:AA30" si="33">+(U19/3000)*140</f>
        <v>1210.5408</v>
      </c>
      <c r="AB19" s="390">
        <f t="shared" ref="AB19:AB30" si="34">+(V19/3000)*140</f>
        <v>1452.64896</v>
      </c>
      <c r="AC19" s="390">
        <f t="shared" ref="AC19:AD30" si="35">+AB19</f>
        <v>1452.64896</v>
      </c>
      <c r="AD19" s="390">
        <f t="shared" si="35"/>
        <v>1452.64896</v>
      </c>
    </row>
    <row r="20" spans="1:30" x14ac:dyDescent="0.25">
      <c r="A20" s="239" t="s">
        <v>60</v>
      </c>
      <c r="B20" s="239" t="s">
        <v>249</v>
      </c>
      <c r="C20" s="261">
        <v>0.01</v>
      </c>
      <c r="D20" s="261">
        <v>0.1</v>
      </c>
      <c r="E20" s="261">
        <v>0.05</v>
      </c>
      <c r="F20" s="261">
        <v>0.05</v>
      </c>
      <c r="G20" s="373"/>
      <c r="H20" s="373">
        <v>1607</v>
      </c>
      <c r="I20" s="240">
        <v>30</v>
      </c>
      <c r="J20" s="240">
        <f t="shared" si="28"/>
        <v>48210</v>
      </c>
      <c r="K20" s="373">
        <f t="shared" si="29"/>
        <v>0</v>
      </c>
      <c r="L20" s="240">
        <v>60</v>
      </c>
      <c r="M20" s="240">
        <f t="shared" si="3"/>
        <v>0</v>
      </c>
      <c r="N20" s="373">
        <f t="shared" si="30"/>
        <v>160.70000000000002</v>
      </c>
      <c r="O20" s="373">
        <f t="shared" si="31"/>
        <v>1687.3500000000001</v>
      </c>
      <c r="S20" s="239" t="s">
        <v>249</v>
      </c>
      <c r="T20" s="395">
        <f t="shared" si="5"/>
        <v>1623.07</v>
      </c>
      <c r="U20" s="395">
        <f t="shared" si="6"/>
        <v>1639.3007</v>
      </c>
      <c r="V20" s="395">
        <f t="shared" si="7"/>
        <v>1655.6937069999999</v>
      </c>
      <c r="W20" s="395">
        <f t="shared" si="8"/>
        <v>1672.2506440699999</v>
      </c>
      <c r="X20" s="395">
        <f t="shared" si="9"/>
        <v>1688.9731505107</v>
      </c>
      <c r="Y20" s="239" t="s">
        <v>249</v>
      </c>
      <c r="Z20" s="390">
        <f t="shared" si="32"/>
        <v>75.743266666666656</v>
      </c>
      <c r="AA20" s="390">
        <f t="shared" si="33"/>
        <v>76.50069933333333</v>
      </c>
      <c r="AB20" s="390">
        <f t="shared" si="34"/>
        <v>77.265706326666674</v>
      </c>
      <c r="AC20" s="390">
        <f t="shared" si="35"/>
        <v>77.265706326666674</v>
      </c>
      <c r="AD20" s="390">
        <f t="shared" si="35"/>
        <v>77.265706326666674</v>
      </c>
    </row>
    <row r="21" spans="1:30" x14ac:dyDescent="0.25">
      <c r="A21" s="239" t="s">
        <v>60</v>
      </c>
      <c r="B21" s="239" t="s">
        <v>250</v>
      </c>
      <c r="C21" s="261">
        <v>0</v>
      </c>
      <c r="D21" s="261">
        <v>0.1</v>
      </c>
      <c r="E21" s="261">
        <v>0.05</v>
      </c>
      <c r="F21" s="261">
        <v>0.05</v>
      </c>
      <c r="G21" s="373">
        <v>136860</v>
      </c>
      <c r="H21" s="373">
        <v>36421</v>
      </c>
      <c r="I21" s="240">
        <v>30</v>
      </c>
      <c r="J21" s="240">
        <f t="shared" si="28"/>
        <v>1092630</v>
      </c>
      <c r="K21" s="373">
        <f t="shared" si="29"/>
        <v>136860</v>
      </c>
      <c r="L21" s="240">
        <v>60</v>
      </c>
      <c r="M21" s="240">
        <f t="shared" si="3"/>
        <v>8211600</v>
      </c>
      <c r="N21" s="373">
        <f t="shared" si="30"/>
        <v>3642.1000000000004</v>
      </c>
      <c r="O21" s="373">
        <f t="shared" si="31"/>
        <v>38242.050000000003</v>
      </c>
      <c r="S21" s="239" t="s">
        <v>250</v>
      </c>
      <c r="T21" s="395">
        <f t="shared" si="5"/>
        <v>36421</v>
      </c>
      <c r="U21" s="395">
        <f t="shared" si="6"/>
        <v>36421</v>
      </c>
      <c r="V21" s="395">
        <f t="shared" si="7"/>
        <v>36421</v>
      </c>
      <c r="W21" s="395">
        <f t="shared" si="8"/>
        <v>36421</v>
      </c>
      <c r="X21" s="395">
        <f t="shared" si="9"/>
        <v>36421</v>
      </c>
      <c r="Y21" s="239" t="s">
        <v>250</v>
      </c>
      <c r="Z21" s="390">
        <f t="shared" si="32"/>
        <v>1699.6466666666665</v>
      </c>
      <c r="AA21" s="390">
        <f t="shared" si="33"/>
        <v>1699.6466666666665</v>
      </c>
      <c r="AB21" s="390">
        <f t="shared" si="34"/>
        <v>1699.6466666666665</v>
      </c>
      <c r="AC21" s="390">
        <f t="shared" si="35"/>
        <v>1699.6466666666665</v>
      </c>
      <c r="AD21" s="390">
        <f t="shared" si="35"/>
        <v>1699.6466666666665</v>
      </c>
    </row>
    <row r="22" spans="1:30" x14ac:dyDescent="0.25">
      <c r="A22" s="239" t="s">
        <v>60</v>
      </c>
      <c r="B22" s="239" t="s">
        <v>251</v>
      </c>
      <c r="C22" s="261">
        <v>0.05</v>
      </c>
      <c r="D22" s="261">
        <v>0.1</v>
      </c>
      <c r="E22" s="261">
        <v>0.05</v>
      </c>
      <c r="F22" s="261">
        <v>0.05</v>
      </c>
      <c r="G22" s="373">
        <v>33780</v>
      </c>
      <c r="H22" s="373">
        <v>57259</v>
      </c>
      <c r="I22" s="240">
        <v>30</v>
      </c>
      <c r="J22" s="240">
        <f t="shared" si="28"/>
        <v>1717770</v>
      </c>
      <c r="K22" s="373">
        <f t="shared" si="29"/>
        <v>33780</v>
      </c>
      <c r="L22" s="240">
        <v>60</v>
      </c>
      <c r="M22" s="240">
        <f t="shared" si="3"/>
        <v>2026800</v>
      </c>
      <c r="N22" s="373">
        <f t="shared" si="30"/>
        <v>5725.9000000000005</v>
      </c>
      <c r="O22" s="373">
        <f t="shared" si="31"/>
        <v>60121.950000000004</v>
      </c>
      <c r="S22" s="239" t="s">
        <v>251</v>
      </c>
      <c r="T22" s="395">
        <f t="shared" si="5"/>
        <v>60121.95</v>
      </c>
      <c r="U22" s="395">
        <f t="shared" si="6"/>
        <v>63128.047500000001</v>
      </c>
      <c r="V22" s="395">
        <f t="shared" si="7"/>
        <v>66284.449875000006</v>
      </c>
      <c r="W22" s="395">
        <f t="shared" si="8"/>
        <v>69598.672368750005</v>
      </c>
      <c r="X22" s="395">
        <f t="shared" si="9"/>
        <v>73078.605987187504</v>
      </c>
      <c r="Y22" s="239" t="s">
        <v>251</v>
      </c>
      <c r="Z22" s="390">
        <f t="shared" si="32"/>
        <v>2805.6909999999998</v>
      </c>
      <c r="AA22" s="390">
        <f t="shared" si="33"/>
        <v>2945.9755500000001</v>
      </c>
      <c r="AB22" s="390">
        <f t="shared" si="34"/>
        <v>3093.2743275000007</v>
      </c>
      <c r="AC22" s="390">
        <f t="shared" si="35"/>
        <v>3093.2743275000007</v>
      </c>
      <c r="AD22" s="390">
        <f t="shared" si="35"/>
        <v>3093.2743275000007</v>
      </c>
    </row>
    <row r="23" spans="1:30" x14ac:dyDescent="0.25">
      <c r="A23" s="239" t="s">
        <v>60</v>
      </c>
      <c r="B23" s="239" t="s">
        <v>252</v>
      </c>
      <c r="C23" s="261">
        <v>-0.1</v>
      </c>
      <c r="D23" s="261">
        <v>0.1</v>
      </c>
      <c r="E23" s="261">
        <v>0.05</v>
      </c>
      <c r="F23" s="261">
        <v>0.05</v>
      </c>
      <c r="G23" s="373">
        <v>155</v>
      </c>
      <c r="H23" s="373">
        <v>6696</v>
      </c>
      <c r="I23" s="240">
        <v>30</v>
      </c>
      <c r="J23" s="240">
        <f t="shared" si="28"/>
        <v>200880</v>
      </c>
      <c r="K23" s="373">
        <f t="shared" si="29"/>
        <v>155</v>
      </c>
      <c r="L23" s="240">
        <v>60</v>
      </c>
      <c r="M23" s="240">
        <f t="shared" si="3"/>
        <v>9300</v>
      </c>
      <c r="N23" s="373">
        <f t="shared" si="30"/>
        <v>669.6</v>
      </c>
      <c r="O23" s="373">
        <f t="shared" si="31"/>
        <v>7030.7999999999993</v>
      </c>
      <c r="S23" s="239" t="s">
        <v>252</v>
      </c>
      <c r="T23" s="395">
        <f t="shared" si="5"/>
        <v>6026.4</v>
      </c>
      <c r="U23" s="395">
        <f t="shared" si="6"/>
        <v>5423.7599999999993</v>
      </c>
      <c r="V23" s="395">
        <f t="shared" si="7"/>
        <v>4881.3839999999991</v>
      </c>
      <c r="W23" s="395">
        <f t="shared" si="8"/>
        <v>4393.2455999999993</v>
      </c>
      <c r="X23" s="395">
        <f t="shared" si="9"/>
        <v>3953.9210399999993</v>
      </c>
      <c r="Y23" s="239" t="s">
        <v>252</v>
      </c>
      <c r="Z23" s="390">
        <f t="shared" si="32"/>
        <v>281.23199999999997</v>
      </c>
      <c r="AA23" s="390">
        <f t="shared" si="33"/>
        <v>253.10879999999997</v>
      </c>
      <c r="AB23" s="390">
        <f t="shared" si="34"/>
        <v>227.79791999999995</v>
      </c>
      <c r="AC23" s="390">
        <f t="shared" si="35"/>
        <v>227.79791999999995</v>
      </c>
      <c r="AD23" s="390">
        <f t="shared" si="35"/>
        <v>227.79791999999995</v>
      </c>
    </row>
    <row r="24" spans="1:30" x14ac:dyDescent="0.25">
      <c r="A24" s="239" t="s">
        <v>60</v>
      </c>
      <c r="B24" s="239" t="s">
        <v>253</v>
      </c>
      <c r="C24" s="261">
        <v>0</v>
      </c>
      <c r="D24" s="261">
        <v>0.1</v>
      </c>
      <c r="E24" s="261">
        <v>0.05</v>
      </c>
      <c r="F24" s="261">
        <v>0.05</v>
      </c>
      <c r="G24" s="373">
        <v>67042</v>
      </c>
      <c r="H24" s="373">
        <v>110857</v>
      </c>
      <c r="I24" s="240">
        <v>30</v>
      </c>
      <c r="J24" s="240">
        <f t="shared" si="28"/>
        <v>3325710</v>
      </c>
      <c r="K24" s="373">
        <f t="shared" si="29"/>
        <v>67042</v>
      </c>
      <c r="L24" s="240">
        <v>60</v>
      </c>
      <c r="M24" s="240">
        <f t="shared" si="3"/>
        <v>4022520</v>
      </c>
      <c r="N24" s="373">
        <f t="shared" si="30"/>
        <v>11085.7</v>
      </c>
      <c r="O24" s="373">
        <f t="shared" si="31"/>
        <v>116399.84999999999</v>
      </c>
      <c r="S24" s="239" t="s">
        <v>253</v>
      </c>
      <c r="T24" s="395">
        <f t="shared" si="5"/>
        <v>110857</v>
      </c>
      <c r="U24" s="395">
        <f t="shared" si="6"/>
        <v>110857</v>
      </c>
      <c r="V24" s="395">
        <f t="shared" si="7"/>
        <v>110857</v>
      </c>
      <c r="W24" s="395">
        <f t="shared" si="8"/>
        <v>110857</v>
      </c>
      <c r="X24" s="395">
        <f t="shared" si="9"/>
        <v>110857</v>
      </c>
      <c r="Y24" s="239" t="s">
        <v>253</v>
      </c>
      <c r="Z24" s="390">
        <f t="shared" si="32"/>
        <v>5173.3266666666668</v>
      </c>
      <c r="AA24" s="390">
        <f t="shared" si="33"/>
        <v>5173.3266666666668</v>
      </c>
      <c r="AB24" s="390">
        <f t="shared" si="34"/>
        <v>5173.3266666666668</v>
      </c>
      <c r="AC24" s="390">
        <f t="shared" si="35"/>
        <v>5173.3266666666668</v>
      </c>
      <c r="AD24" s="390">
        <f t="shared" si="35"/>
        <v>5173.3266666666668</v>
      </c>
    </row>
    <row r="25" spans="1:30" x14ac:dyDescent="0.25">
      <c r="A25" s="239" t="s">
        <v>60</v>
      </c>
      <c r="B25" s="239" t="s">
        <v>411</v>
      </c>
      <c r="C25" s="261">
        <v>0.02</v>
      </c>
      <c r="D25" s="261">
        <v>0.1</v>
      </c>
      <c r="E25" s="261">
        <v>0.05</v>
      </c>
      <c r="F25" s="261">
        <v>0.05</v>
      </c>
      <c r="G25" s="373">
        <v>278</v>
      </c>
      <c r="H25" s="373"/>
      <c r="I25" s="240">
        <v>30</v>
      </c>
      <c r="J25" s="240">
        <f t="shared" si="28"/>
        <v>0</v>
      </c>
      <c r="K25" s="373">
        <f t="shared" si="29"/>
        <v>278</v>
      </c>
      <c r="L25" s="240">
        <v>60</v>
      </c>
      <c r="M25" s="240">
        <f t="shared" si="3"/>
        <v>16680</v>
      </c>
      <c r="N25" s="373">
        <f t="shared" si="30"/>
        <v>0</v>
      </c>
      <c r="O25" s="373">
        <f t="shared" si="31"/>
        <v>0</v>
      </c>
      <c r="S25" s="239" t="s">
        <v>411</v>
      </c>
      <c r="T25" s="395">
        <f t="shared" si="5"/>
        <v>0</v>
      </c>
      <c r="U25" s="395">
        <f t="shared" si="6"/>
        <v>0</v>
      </c>
      <c r="V25" s="395">
        <f t="shared" si="7"/>
        <v>0</v>
      </c>
      <c r="W25" s="395">
        <f t="shared" si="8"/>
        <v>0</v>
      </c>
      <c r="X25" s="395">
        <f t="shared" si="9"/>
        <v>0</v>
      </c>
      <c r="Y25" s="239" t="s">
        <v>411</v>
      </c>
      <c r="Z25" s="390">
        <f t="shared" si="32"/>
        <v>0</v>
      </c>
      <c r="AA25" s="390">
        <f t="shared" si="33"/>
        <v>0</v>
      </c>
      <c r="AB25" s="390">
        <f t="shared" si="34"/>
        <v>0</v>
      </c>
      <c r="AC25" s="390">
        <f t="shared" si="35"/>
        <v>0</v>
      </c>
      <c r="AD25" s="390">
        <f t="shared" si="35"/>
        <v>0</v>
      </c>
    </row>
    <row r="26" spans="1:30" x14ac:dyDescent="0.25">
      <c r="A26" s="239" t="s">
        <v>60</v>
      </c>
      <c r="B26" s="239" t="s">
        <v>412</v>
      </c>
      <c r="C26" s="261">
        <v>0</v>
      </c>
      <c r="D26" s="261">
        <v>0.1</v>
      </c>
      <c r="E26" s="261">
        <v>0.05</v>
      </c>
      <c r="F26" s="261">
        <v>0.05</v>
      </c>
      <c r="G26" s="373"/>
      <c r="H26" s="373">
        <v>1569</v>
      </c>
      <c r="I26" s="240">
        <v>30</v>
      </c>
      <c r="J26" s="240">
        <f t="shared" si="28"/>
        <v>47070</v>
      </c>
      <c r="K26" s="373">
        <f t="shared" si="29"/>
        <v>0</v>
      </c>
      <c r="L26" s="240">
        <v>60</v>
      </c>
      <c r="M26" s="240">
        <f t="shared" si="3"/>
        <v>0</v>
      </c>
      <c r="N26" s="373">
        <f t="shared" si="30"/>
        <v>156.9</v>
      </c>
      <c r="O26" s="373">
        <f t="shared" si="31"/>
        <v>1647.45</v>
      </c>
      <c r="S26" s="239" t="s">
        <v>412</v>
      </c>
      <c r="T26" s="395">
        <f t="shared" si="5"/>
        <v>1569</v>
      </c>
      <c r="U26" s="395">
        <f t="shared" si="6"/>
        <v>1569</v>
      </c>
      <c r="V26" s="395">
        <f t="shared" si="7"/>
        <v>1569</v>
      </c>
      <c r="W26" s="395">
        <f t="shared" si="8"/>
        <v>1569</v>
      </c>
      <c r="X26" s="395">
        <f t="shared" si="9"/>
        <v>1569</v>
      </c>
      <c r="Y26" s="239" t="s">
        <v>412</v>
      </c>
      <c r="Z26" s="390">
        <f t="shared" si="32"/>
        <v>73.22</v>
      </c>
      <c r="AA26" s="390">
        <f t="shared" si="33"/>
        <v>73.22</v>
      </c>
      <c r="AB26" s="390">
        <f t="shared" si="34"/>
        <v>73.22</v>
      </c>
      <c r="AC26" s="390">
        <f t="shared" si="35"/>
        <v>73.22</v>
      </c>
      <c r="AD26" s="390">
        <f t="shared" si="35"/>
        <v>73.22</v>
      </c>
    </row>
    <row r="27" spans="1:30" x14ac:dyDescent="0.25">
      <c r="A27" s="239" t="s">
        <v>60</v>
      </c>
      <c r="B27" s="239" t="s">
        <v>413</v>
      </c>
      <c r="C27" s="261">
        <v>0.3</v>
      </c>
      <c r="D27" s="261">
        <v>0.1</v>
      </c>
      <c r="E27" s="261">
        <v>0.05</v>
      </c>
      <c r="F27" s="261">
        <v>0.05</v>
      </c>
      <c r="G27" s="373"/>
      <c r="H27" s="373">
        <v>1216</v>
      </c>
      <c r="I27" s="240">
        <v>30</v>
      </c>
      <c r="J27" s="240">
        <f t="shared" si="28"/>
        <v>36480</v>
      </c>
      <c r="K27" s="373">
        <f t="shared" si="29"/>
        <v>0</v>
      </c>
      <c r="L27" s="240">
        <v>60</v>
      </c>
      <c r="M27" s="240">
        <f t="shared" si="3"/>
        <v>0</v>
      </c>
      <c r="N27" s="373">
        <f t="shared" si="30"/>
        <v>121.60000000000001</v>
      </c>
      <c r="O27" s="373">
        <f t="shared" si="31"/>
        <v>1276.8000000000002</v>
      </c>
      <c r="S27" s="239" t="s">
        <v>413</v>
      </c>
      <c r="T27" s="395">
        <f t="shared" si="5"/>
        <v>1580.8</v>
      </c>
      <c r="U27" s="395">
        <f t="shared" si="6"/>
        <v>2055.04</v>
      </c>
      <c r="V27" s="395">
        <f t="shared" si="7"/>
        <v>2671.5519999999997</v>
      </c>
      <c r="W27" s="395">
        <f t="shared" si="8"/>
        <v>3473.0175999999997</v>
      </c>
      <c r="X27" s="395">
        <f t="shared" si="9"/>
        <v>4514.9228800000001</v>
      </c>
      <c r="Y27" s="239" t="s">
        <v>413</v>
      </c>
      <c r="Z27" s="390">
        <f t="shared" si="32"/>
        <v>73.770666666666671</v>
      </c>
      <c r="AA27" s="390">
        <f t="shared" si="33"/>
        <v>95.901866666666677</v>
      </c>
      <c r="AB27" s="390">
        <f t="shared" si="34"/>
        <v>124.67242666666665</v>
      </c>
      <c r="AC27" s="390">
        <f t="shared" si="35"/>
        <v>124.67242666666665</v>
      </c>
      <c r="AD27" s="390">
        <f t="shared" si="35"/>
        <v>124.67242666666665</v>
      </c>
    </row>
    <row r="28" spans="1:30" x14ac:dyDescent="0.25">
      <c r="A28" s="239" t="s">
        <v>60</v>
      </c>
      <c r="B28" s="239" t="s">
        <v>414</v>
      </c>
      <c r="C28" s="261">
        <v>0.05</v>
      </c>
      <c r="D28" s="261">
        <v>0.1</v>
      </c>
      <c r="E28" s="261">
        <v>0.05</v>
      </c>
      <c r="F28" s="261">
        <v>0.05</v>
      </c>
      <c r="G28" s="373"/>
      <c r="H28" s="373">
        <v>1478</v>
      </c>
      <c r="I28" s="240">
        <v>30</v>
      </c>
      <c r="J28" s="240">
        <f t="shared" si="28"/>
        <v>44340</v>
      </c>
      <c r="K28" s="373">
        <f t="shared" si="29"/>
        <v>0</v>
      </c>
      <c r="L28" s="240">
        <v>60</v>
      </c>
      <c r="M28" s="240">
        <f t="shared" si="3"/>
        <v>0</v>
      </c>
      <c r="N28" s="373">
        <f t="shared" si="30"/>
        <v>147.80000000000001</v>
      </c>
      <c r="O28" s="373">
        <f t="shared" si="31"/>
        <v>1551.9</v>
      </c>
      <c r="S28" s="239" t="s">
        <v>414</v>
      </c>
      <c r="T28" s="395">
        <f t="shared" si="5"/>
        <v>1551.9</v>
      </c>
      <c r="U28" s="395">
        <f t="shared" si="6"/>
        <v>1629.4950000000001</v>
      </c>
      <c r="V28" s="395">
        <f t="shared" si="7"/>
        <v>1710.9697500000002</v>
      </c>
      <c r="W28" s="395">
        <f t="shared" si="8"/>
        <v>1796.5182375000002</v>
      </c>
      <c r="X28" s="395">
        <f t="shared" si="9"/>
        <v>1886.3441493750001</v>
      </c>
      <c r="Y28" s="239" t="s">
        <v>414</v>
      </c>
      <c r="Z28" s="390">
        <f t="shared" si="32"/>
        <v>72.421999999999997</v>
      </c>
      <c r="AA28" s="390">
        <f t="shared" si="33"/>
        <v>76.043099999999995</v>
      </c>
      <c r="AB28" s="390">
        <f t="shared" si="34"/>
        <v>79.845255000000009</v>
      </c>
      <c r="AC28" s="390">
        <f t="shared" si="35"/>
        <v>79.845255000000009</v>
      </c>
      <c r="AD28" s="390">
        <f t="shared" si="35"/>
        <v>79.845255000000009</v>
      </c>
    </row>
    <row r="29" spans="1:30" x14ac:dyDescent="0.25">
      <c r="A29" s="239" t="s">
        <v>60</v>
      </c>
      <c r="B29" s="239" t="s">
        <v>415</v>
      </c>
      <c r="C29" s="261">
        <v>0.05</v>
      </c>
      <c r="D29" s="261">
        <v>0.1</v>
      </c>
      <c r="E29" s="261">
        <v>0.05</v>
      </c>
      <c r="F29" s="261">
        <v>0.05</v>
      </c>
      <c r="G29" s="373"/>
      <c r="H29" s="373">
        <v>200</v>
      </c>
      <c r="I29" s="240">
        <v>30</v>
      </c>
      <c r="J29" s="240">
        <f t="shared" si="28"/>
        <v>6000</v>
      </c>
      <c r="K29" s="373">
        <f t="shared" si="29"/>
        <v>0</v>
      </c>
      <c r="L29" s="240">
        <v>60</v>
      </c>
      <c r="M29" s="240">
        <f t="shared" si="3"/>
        <v>0</v>
      </c>
      <c r="N29" s="373">
        <f t="shared" si="30"/>
        <v>20</v>
      </c>
      <c r="O29" s="373">
        <f t="shared" si="31"/>
        <v>210</v>
      </c>
      <c r="S29" s="239" t="s">
        <v>415</v>
      </c>
      <c r="T29" s="395">
        <f t="shared" si="5"/>
        <v>210</v>
      </c>
      <c r="U29" s="395">
        <v>1500</v>
      </c>
      <c r="V29" s="395">
        <v>1500</v>
      </c>
      <c r="W29" s="395">
        <v>2000</v>
      </c>
      <c r="X29" s="395">
        <v>4000</v>
      </c>
      <c r="Y29" s="239" t="s">
        <v>415</v>
      </c>
      <c r="Z29" s="390">
        <f t="shared" si="32"/>
        <v>9.8000000000000007</v>
      </c>
      <c r="AA29" s="390">
        <f t="shared" si="33"/>
        <v>70</v>
      </c>
      <c r="AB29" s="390">
        <f t="shared" si="34"/>
        <v>70</v>
      </c>
      <c r="AC29" s="390">
        <f t="shared" si="35"/>
        <v>70</v>
      </c>
      <c r="AD29" s="390">
        <f t="shared" si="35"/>
        <v>70</v>
      </c>
    </row>
    <row r="30" spans="1:30" x14ac:dyDescent="0.25">
      <c r="A30" s="239" t="s">
        <v>60</v>
      </c>
      <c r="B30" s="239" t="s">
        <v>416</v>
      </c>
      <c r="C30" s="261">
        <v>0.02</v>
      </c>
      <c r="D30" s="261">
        <v>0.1</v>
      </c>
      <c r="E30" s="261">
        <v>0.05</v>
      </c>
      <c r="F30" s="261">
        <v>0.05</v>
      </c>
      <c r="G30" s="373"/>
      <c r="H30" s="373">
        <v>200</v>
      </c>
      <c r="I30" s="240">
        <v>30</v>
      </c>
      <c r="J30" s="240">
        <f t="shared" si="28"/>
        <v>6000</v>
      </c>
      <c r="K30" s="373">
        <f t="shared" si="29"/>
        <v>0</v>
      </c>
      <c r="L30" s="240">
        <v>60</v>
      </c>
      <c r="M30" s="240">
        <f t="shared" si="3"/>
        <v>0</v>
      </c>
      <c r="N30" s="373">
        <f t="shared" si="30"/>
        <v>20</v>
      </c>
      <c r="O30" s="373">
        <f t="shared" si="31"/>
        <v>210</v>
      </c>
      <c r="S30" s="239" t="s">
        <v>416</v>
      </c>
      <c r="T30" s="395">
        <f t="shared" si="5"/>
        <v>204</v>
      </c>
      <c r="U30" s="395">
        <v>1000</v>
      </c>
      <c r="V30" s="395">
        <f t="shared" si="7"/>
        <v>1020</v>
      </c>
      <c r="W30" s="395">
        <f t="shared" si="8"/>
        <v>1040.4000000000001</v>
      </c>
      <c r="X30" s="395">
        <f t="shared" si="9"/>
        <v>1061.2080000000001</v>
      </c>
      <c r="Y30" s="239" t="s">
        <v>416</v>
      </c>
      <c r="Z30" s="390">
        <f t="shared" si="32"/>
        <v>9.5200000000000014</v>
      </c>
      <c r="AA30" s="390">
        <f t="shared" si="33"/>
        <v>46.666666666666664</v>
      </c>
      <c r="AB30" s="390">
        <f t="shared" si="34"/>
        <v>47.6</v>
      </c>
      <c r="AC30" s="390">
        <f t="shared" si="35"/>
        <v>47.6</v>
      </c>
      <c r="AD30" s="390">
        <f t="shared" si="35"/>
        <v>47.6</v>
      </c>
    </row>
    <row r="31" spans="1:30" s="101" customFormat="1" x14ac:dyDescent="0.25">
      <c r="A31" s="376" t="s">
        <v>60</v>
      </c>
      <c r="B31" s="376"/>
      <c r="C31" s="377"/>
      <c r="D31" s="377"/>
      <c r="E31" s="377"/>
      <c r="F31" s="377"/>
      <c r="G31" s="378">
        <f>SUM(G18:G30)</f>
        <v>428514</v>
      </c>
      <c r="H31" s="378">
        <f>SUM(H18:H30)</f>
        <v>466646</v>
      </c>
      <c r="I31" s="378">
        <f t="shared" ref="I31:R31" si="36">SUM(I18:I30)</f>
        <v>390</v>
      </c>
      <c r="J31" s="378">
        <f t="shared" si="36"/>
        <v>13999380</v>
      </c>
      <c r="K31" s="378">
        <f t="shared" si="36"/>
        <v>428514</v>
      </c>
      <c r="L31" s="378">
        <f t="shared" si="36"/>
        <v>780</v>
      </c>
      <c r="M31" s="378">
        <f t="shared" si="36"/>
        <v>25710840</v>
      </c>
      <c r="N31" s="378">
        <f t="shared" si="36"/>
        <v>46664.600000000006</v>
      </c>
      <c r="O31" s="378">
        <f t="shared" si="36"/>
        <v>489978.3</v>
      </c>
      <c r="P31" s="378">
        <f t="shared" si="36"/>
        <v>0</v>
      </c>
      <c r="Q31" s="378">
        <f t="shared" si="36"/>
        <v>0</v>
      </c>
      <c r="R31" s="378">
        <f t="shared" si="36"/>
        <v>0</v>
      </c>
      <c r="S31" s="376"/>
      <c r="T31" s="397">
        <f>+SUM(T18:T30)</f>
        <v>530693.17000000004</v>
      </c>
      <c r="U31" s="397">
        <f t="shared" ref="U31:X31" si="37">+SUM(U18:U30)</f>
        <v>612301.86570000008</v>
      </c>
      <c r="V31" s="397">
        <f t="shared" si="37"/>
        <v>711123.06945700001</v>
      </c>
      <c r="W31" s="397">
        <f t="shared" si="37"/>
        <v>834454.72000656999</v>
      </c>
      <c r="X31" s="397">
        <f t="shared" si="37"/>
        <v>989205.3031323856</v>
      </c>
      <c r="Y31" s="376"/>
      <c r="Z31" s="392">
        <f t="shared" ref="Z31" si="38">+SUM(Z18:Z30)</f>
        <v>24765.681266666666</v>
      </c>
      <c r="AA31" s="392">
        <f t="shared" ref="AA31" si="39">+SUM(AA18:AA30)</f>
        <v>28574.087066</v>
      </c>
      <c r="AB31" s="392">
        <f t="shared" ref="AB31" si="40">+SUM(AB18:AB30)</f>
        <v>33185.743241326665</v>
      </c>
      <c r="AC31" s="392">
        <f t="shared" ref="AC31" si="41">+SUM(AC18:AC30)</f>
        <v>33185.743241326665</v>
      </c>
      <c r="AD31" s="392">
        <f t="shared" ref="AD31" si="42">+SUM(AD18:AD30)</f>
        <v>33185.743241326665</v>
      </c>
    </row>
    <row r="32" spans="1:30" x14ac:dyDescent="0.25">
      <c r="A32" s="239" t="s">
        <v>61</v>
      </c>
      <c r="B32" s="239" t="s">
        <v>254</v>
      </c>
      <c r="C32" s="261">
        <v>0.25</v>
      </c>
      <c r="D32" s="261">
        <v>0.05</v>
      </c>
      <c r="E32" s="261">
        <v>0.05</v>
      </c>
      <c r="F32" s="261">
        <v>0.05</v>
      </c>
      <c r="G32" s="373">
        <v>0</v>
      </c>
      <c r="H32" s="373">
        <v>89950</v>
      </c>
      <c r="I32" s="240">
        <v>40</v>
      </c>
      <c r="J32" s="240">
        <f>+H32*I32</f>
        <v>3598000</v>
      </c>
      <c r="K32" s="373">
        <f>H32-N32</f>
        <v>85452.5</v>
      </c>
      <c r="L32" s="341">
        <v>75</v>
      </c>
      <c r="M32" s="240">
        <f t="shared" si="3"/>
        <v>6408937.5</v>
      </c>
      <c r="N32" s="373">
        <f>+H32*D32</f>
        <v>4497.5</v>
      </c>
      <c r="O32" s="373">
        <f>+N32*0.7*15</f>
        <v>47223.75</v>
      </c>
      <c r="S32" s="239" t="s">
        <v>254</v>
      </c>
      <c r="T32" s="395">
        <f t="shared" si="5"/>
        <v>112437.5</v>
      </c>
      <c r="U32" s="395">
        <f t="shared" si="6"/>
        <v>140546.875</v>
      </c>
      <c r="V32" s="395">
        <f t="shared" si="7"/>
        <v>175683.59375</v>
      </c>
      <c r="W32" s="395">
        <f t="shared" si="8"/>
        <v>219604.4921875</v>
      </c>
      <c r="X32" s="395">
        <f t="shared" si="9"/>
        <v>274505.615234375</v>
      </c>
      <c r="Y32" s="239" t="s">
        <v>254</v>
      </c>
      <c r="Z32" s="390">
        <f>+(T32/1500)*20</f>
        <v>1499.1666666666665</v>
      </c>
      <c r="AA32" s="390">
        <f>+(U32/1500)*20</f>
        <v>1873.9583333333335</v>
      </c>
      <c r="AB32" s="390">
        <f>+(V32/1500)*20</f>
        <v>2342.4479166666665</v>
      </c>
      <c r="AC32" s="390">
        <f>+(W32/1500)*20</f>
        <v>2928.059895833333</v>
      </c>
      <c r="AD32" s="390">
        <f>+(X32/1500)*20</f>
        <v>3660.074869791667</v>
      </c>
    </row>
    <row r="33" spans="1:30" x14ac:dyDescent="0.25">
      <c r="A33" s="239" t="s">
        <v>61</v>
      </c>
      <c r="B33" s="239" t="s">
        <v>417</v>
      </c>
      <c r="C33" s="261">
        <v>0.25</v>
      </c>
      <c r="D33" s="261">
        <v>0.05</v>
      </c>
      <c r="E33" s="261">
        <v>0.05</v>
      </c>
      <c r="F33" s="261">
        <v>0.05</v>
      </c>
      <c r="G33" s="373">
        <v>0</v>
      </c>
      <c r="H33" s="373">
        <v>22215</v>
      </c>
      <c r="I33" s="240">
        <v>40</v>
      </c>
      <c r="J33" s="240">
        <f>+H33*I33</f>
        <v>888600</v>
      </c>
      <c r="K33" s="373">
        <f>H33-N33</f>
        <v>21104.25</v>
      </c>
      <c r="L33" s="341">
        <v>60</v>
      </c>
      <c r="M33" s="240">
        <f t="shared" si="3"/>
        <v>1266255</v>
      </c>
      <c r="N33" s="373">
        <f>+H33*D33</f>
        <v>1110.75</v>
      </c>
      <c r="O33" s="373">
        <f t="shared" ref="O33:O35" si="43">+N33*0.7*15</f>
        <v>11662.875</v>
      </c>
      <c r="S33" s="239" t="s">
        <v>417</v>
      </c>
      <c r="T33" s="395">
        <f t="shared" si="5"/>
        <v>27768.75</v>
      </c>
      <c r="U33" s="395">
        <f t="shared" si="6"/>
        <v>34710.9375</v>
      </c>
      <c r="V33" s="395">
        <f t="shared" si="7"/>
        <v>43388.671875</v>
      </c>
      <c r="W33" s="395">
        <f t="shared" si="8"/>
        <v>54235.83984375</v>
      </c>
      <c r="X33" s="395">
        <f t="shared" si="9"/>
        <v>67794.7998046875</v>
      </c>
      <c r="Y33" s="239" t="s">
        <v>417</v>
      </c>
      <c r="Z33" s="390">
        <f>+(T33/1500)*20</f>
        <v>370.25</v>
      </c>
      <c r="AA33" s="390">
        <f t="shared" ref="AA33:AA35" si="44">+(U33/1500)*20</f>
        <v>462.8125</v>
      </c>
      <c r="AB33" s="390">
        <f t="shared" ref="AB33:AB35" si="45">+AA33</f>
        <v>462.8125</v>
      </c>
      <c r="AC33" s="390">
        <f t="shared" ref="AC33:AC35" si="46">+(W33/1500)*20</f>
        <v>723.14453125</v>
      </c>
      <c r="AD33" s="390">
        <f t="shared" ref="AD33:AD35" si="47">+(X33/1500)*20</f>
        <v>903.9306640625</v>
      </c>
    </row>
    <row r="34" spans="1:30" x14ac:dyDescent="0.25">
      <c r="A34" s="239" t="s">
        <v>61</v>
      </c>
      <c r="B34" s="239" t="s">
        <v>255</v>
      </c>
      <c r="C34" s="261">
        <v>0.1</v>
      </c>
      <c r="D34" s="261">
        <v>0.05</v>
      </c>
      <c r="E34" s="261">
        <v>0.05</v>
      </c>
      <c r="F34" s="261">
        <v>0.05</v>
      </c>
      <c r="G34" s="373">
        <v>0</v>
      </c>
      <c r="H34" s="373">
        <v>2014</v>
      </c>
      <c r="I34" s="240">
        <v>40</v>
      </c>
      <c r="J34" s="240">
        <f>+H34*I34</f>
        <v>80560</v>
      </c>
      <c r="K34" s="373">
        <f>H34-N34</f>
        <v>1913.3</v>
      </c>
      <c r="L34" s="341">
        <v>60</v>
      </c>
      <c r="M34" s="240">
        <f t="shared" si="3"/>
        <v>114798</v>
      </c>
      <c r="N34" s="373">
        <f>+H34*D34</f>
        <v>100.7</v>
      </c>
      <c r="O34" s="373">
        <f t="shared" si="43"/>
        <v>1057.3499999999999</v>
      </c>
      <c r="S34" s="239" t="s">
        <v>255</v>
      </c>
      <c r="T34" s="395">
        <f t="shared" si="5"/>
        <v>2215.4</v>
      </c>
      <c r="U34" s="395">
        <f t="shared" si="6"/>
        <v>2436.94</v>
      </c>
      <c r="V34" s="395">
        <f t="shared" si="7"/>
        <v>2680.634</v>
      </c>
      <c r="W34" s="395">
        <f t="shared" si="8"/>
        <v>2948.6974</v>
      </c>
      <c r="X34" s="395">
        <f t="shared" si="9"/>
        <v>3243.5671400000001</v>
      </c>
      <c r="Y34" s="239" t="s">
        <v>255</v>
      </c>
      <c r="Z34" s="390">
        <f>+(T34/1500)*20</f>
        <v>29.538666666666668</v>
      </c>
      <c r="AA34" s="390">
        <f t="shared" si="44"/>
        <v>32.492533333333334</v>
      </c>
      <c r="AB34" s="390">
        <f t="shared" si="45"/>
        <v>32.492533333333334</v>
      </c>
      <c r="AC34" s="390">
        <f t="shared" si="46"/>
        <v>39.315965333333331</v>
      </c>
      <c r="AD34" s="390">
        <f t="shared" si="47"/>
        <v>43.247561866666672</v>
      </c>
    </row>
    <row r="35" spans="1:30" x14ac:dyDescent="0.25">
      <c r="A35" s="239" t="s">
        <v>61</v>
      </c>
      <c r="B35" s="239" t="s">
        <v>256</v>
      </c>
      <c r="C35" s="261">
        <v>-0.2</v>
      </c>
      <c r="D35" s="261">
        <v>0.05</v>
      </c>
      <c r="E35" s="261">
        <v>0.05</v>
      </c>
      <c r="F35" s="261">
        <v>0.05</v>
      </c>
      <c r="G35" s="373">
        <v>0</v>
      </c>
      <c r="H35" s="373">
        <v>4325</v>
      </c>
      <c r="I35" s="240">
        <v>40</v>
      </c>
      <c r="J35" s="240">
        <f>+H35*I35</f>
        <v>173000</v>
      </c>
      <c r="K35" s="373">
        <f>H35-N35</f>
        <v>4108.75</v>
      </c>
      <c r="L35" s="341">
        <v>60</v>
      </c>
      <c r="M35" s="240">
        <f t="shared" si="3"/>
        <v>246525</v>
      </c>
      <c r="N35" s="373">
        <f>+H35*D35</f>
        <v>216.25</v>
      </c>
      <c r="O35" s="373">
        <f t="shared" si="43"/>
        <v>2270.625</v>
      </c>
      <c r="S35" s="239" t="s">
        <v>256</v>
      </c>
      <c r="T35" s="395">
        <f t="shared" si="5"/>
        <v>3460</v>
      </c>
      <c r="U35" s="395">
        <f t="shared" si="6"/>
        <v>2768</v>
      </c>
      <c r="V35" s="395">
        <f t="shared" si="7"/>
        <v>2214.4</v>
      </c>
      <c r="W35" s="395">
        <f t="shared" si="8"/>
        <v>1771.52</v>
      </c>
      <c r="X35" s="395">
        <f t="shared" si="9"/>
        <v>1417.2159999999999</v>
      </c>
      <c r="Y35" s="239" t="s">
        <v>256</v>
      </c>
      <c r="Z35" s="390">
        <f>+(T35/1500)*20</f>
        <v>46.133333333333333</v>
      </c>
      <c r="AA35" s="390">
        <f t="shared" si="44"/>
        <v>36.906666666666666</v>
      </c>
      <c r="AB35" s="390">
        <f t="shared" si="45"/>
        <v>36.906666666666666</v>
      </c>
      <c r="AC35" s="390">
        <f t="shared" si="46"/>
        <v>23.620266666666666</v>
      </c>
      <c r="AD35" s="390">
        <f t="shared" si="47"/>
        <v>18.896213333333332</v>
      </c>
    </row>
    <row r="36" spans="1:30" s="101" customFormat="1" x14ac:dyDescent="0.25">
      <c r="A36" s="376" t="s">
        <v>450</v>
      </c>
      <c r="B36" s="376"/>
      <c r="C36" s="377"/>
      <c r="D36" s="377"/>
      <c r="E36" s="377"/>
      <c r="F36" s="377"/>
      <c r="G36" s="378"/>
      <c r="H36" s="378">
        <f>SUM(H32:H35)</f>
        <v>118504</v>
      </c>
      <c r="I36" s="378">
        <f t="shared" ref="I36:O36" si="48">SUM(I32:I35)</f>
        <v>160</v>
      </c>
      <c r="J36" s="378">
        <f t="shared" si="48"/>
        <v>4740160</v>
      </c>
      <c r="K36" s="378">
        <f t="shared" si="48"/>
        <v>112578.8</v>
      </c>
      <c r="L36" s="378">
        <f t="shared" si="48"/>
        <v>255</v>
      </c>
      <c r="M36" s="378">
        <f t="shared" si="48"/>
        <v>8036515.5</v>
      </c>
      <c r="N36" s="378">
        <f t="shared" si="48"/>
        <v>5925.2</v>
      </c>
      <c r="O36" s="378">
        <f t="shared" si="48"/>
        <v>62214.6</v>
      </c>
      <c r="S36" s="376"/>
      <c r="T36" s="398">
        <f>SUM(T32:T35)</f>
        <v>145881.65</v>
      </c>
      <c r="U36" s="398">
        <f t="shared" ref="U36:W36" si="49">SUM(U32:U35)</f>
        <v>180462.7525</v>
      </c>
      <c r="V36" s="398">
        <f t="shared" si="49"/>
        <v>223967.29962499999</v>
      </c>
      <c r="W36" s="398">
        <f t="shared" si="49"/>
        <v>278560.54943125002</v>
      </c>
      <c r="X36" s="398">
        <f>SUM(X32:X35)</f>
        <v>346961.19817906251</v>
      </c>
      <c r="Y36" s="376"/>
      <c r="Z36" s="393">
        <f t="shared" ref="Z36:AD36" si="50">SUM(Z32:Z35)</f>
        <v>1945.0886666666665</v>
      </c>
      <c r="AA36" s="393">
        <f t="shared" si="50"/>
        <v>2406.1700333333338</v>
      </c>
      <c r="AB36" s="393">
        <f t="shared" si="50"/>
        <v>2874.6596166666668</v>
      </c>
      <c r="AC36" s="393">
        <f t="shared" si="50"/>
        <v>3714.140659083333</v>
      </c>
      <c r="AD36" s="393">
        <f t="shared" si="50"/>
        <v>4626.1493090541671</v>
      </c>
    </row>
    <row r="37" spans="1:30" x14ac:dyDescent="0.25">
      <c r="A37" s="239" t="s">
        <v>62</v>
      </c>
      <c r="B37" s="361" t="s">
        <v>418</v>
      </c>
      <c r="C37" s="261">
        <v>-0.2</v>
      </c>
      <c r="D37" s="261">
        <v>0.1</v>
      </c>
      <c r="E37" s="261">
        <v>0.05</v>
      </c>
      <c r="F37" s="261">
        <v>0.05</v>
      </c>
      <c r="G37" s="373">
        <v>119</v>
      </c>
      <c r="H37" s="373">
        <v>862</v>
      </c>
      <c r="I37" s="240">
        <v>80</v>
      </c>
      <c r="J37" s="240">
        <f t="shared" ref="J37:J45" si="51">+H37*I37</f>
        <v>68960</v>
      </c>
      <c r="K37" s="373">
        <f t="shared" ref="K37:K44" si="52">+G37</f>
        <v>119</v>
      </c>
      <c r="L37" s="341">
        <v>130</v>
      </c>
      <c r="M37" s="240">
        <f t="shared" si="3"/>
        <v>15470</v>
      </c>
      <c r="N37" s="373">
        <f t="shared" ref="N37:N44" si="53">+H37*D37</f>
        <v>86.2</v>
      </c>
      <c r="O37" s="373">
        <f>+N37*0.6*25</f>
        <v>1293</v>
      </c>
      <c r="S37" s="361" t="s">
        <v>418</v>
      </c>
      <c r="T37" s="395">
        <f t="shared" si="5"/>
        <v>689.6</v>
      </c>
      <c r="U37" s="395">
        <f t="shared" si="6"/>
        <v>551.68000000000006</v>
      </c>
      <c r="V37" s="395">
        <f t="shared" si="7"/>
        <v>441.34400000000005</v>
      </c>
      <c r="W37" s="395">
        <f t="shared" si="8"/>
        <v>353.07520000000005</v>
      </c>
      <c r="X37" s="395">
        <f t="shared" si="9"/>
        <v>282.46016000000003</v>
      </c>
      <c r="Y37" s="361" t="s">
        <v>418</v>
      </c>
      <c r="Z37" s="390">
        <f t="shared" ref="Z37:Z45" si="54">+(T37/500)*30</f>
        <v>41.375999999999998</v>
      </c>
      <c r="AA37" s="390">
        <f t="shared" ref="AA37:AA45" si="55">+(U37/500)*30</f>
        <v>33.100800000000007</v>
      </c>
      <c r="AB37" s="390">
        <f t="shared" ref="AB37:AB45" si="56">+(V37/500)*30</f>
        <v>26.480640000000005</v>
      </c>
      <c r="AC37" s="390">
        <f t="shared" ref="AC37:AC45" si="57">+(W37/500)*30</f>
        <v>21.184512000000002</v>
      </c>
      <c r="AD37" s="390">
        <f t="shared" ref="AD37:AD45" si="58">+(X37/500)*30</f>
        <v>16.9476096</v>
      </c>
    </row>
    <row r="38" spans="1:30" x14ac:dyDescent="0.25">
      <c r="A38" s="239" t="s">
        <v>62</v>
      </c>
      <c r="B38" s="239" t="s">
        <v>257</v>
      </c>
      <c r="C38" s="261">
        <v>0</v>
      </c>
      <c r="D38" s="261">
        <v>0.1</v>
      </c>
      <c r="E38" s="261">
        <v>0.05</v>
      </c>
      <c r="F38" s="261">
        <v>0.05</v>
      </c>
      <c r="G38" s="373"/>
      <c r="H38" s="373">
        <v>953</v>
      </c>
      <c r="I38" s="240">
        <v>80</v>
      </c>
      <c r="J38" s="240">
        <f t="shared" si="51"/>
        <v>76240</v>
      </c>
      <c r="K38" s="373">
        <f t="shared" si="52"/>
        <v>0</v>
      </c>
      <c r="L38" s="341">
        <v>130</v>
      </c>
      <c r="M38" s="240">
        <f t="shared" si="3"/>
        <v>0</v>
      </c>
      <c r="N38" s="373">
        <f t="shared" si="53"/>
        <v>95.300000000000011</v>
      </c>
      <c r="O38" s="373">
        <f t="shared" ref="O38:O44" si="59">+N38*0.6*25</f>
        <v>1429.5000000000002</v>
      </c>
      <c r="S38" s="239" t="s">
        <v>257</v>
      </c>
      <c r="T38" s="395">
        <f t="shared" si="5"/>
        <v>953</v>
      </c>
      <c r="U38" s="395">
        <f t="shared" si="6"/>
        <v>953</v>
      </c>
      <c r="V38" s="395">
        <f t="shared" si="7"/>
        <v>953</v>
      </c>
      <c r="W38" s="395">
        <f t="shared" si="8"/>
        <v>953</v>
      </c>
      <c r="X38" s="395">
        <f t="shared" si="9"/>
        <v>953</v>
      </c>
      <c r="Y38" s="239" t="s">
        <v>257</v>
      </c>
      <c r="Z38" s="390">
        <f t="shared" si="54"/>
        <v>57.18</v>
      </c>
      <c r="AA38" s="390">
        <f t="shared" si="55"/>
        <v>57.18</v>
      </c>
      <c r="AB38" s="390">
        <f t="shared" si="56"/>
        <v>57.18</v>
      </c>
      <c r="AC38" s="390">
        <f t="shared" si="57"/>
        <v>57.18</v>
      </c>
      <c r="AD38" s="390">
        <f t="shared" si="58"/>
        <v>57.18</v>
      </c>
    </row>
    <row r="39" spans="1:30" x14ac:dyDescent="0.25">
      <c r="A39" s="239" t="s">
        <v>62</v>
      </c>
      <c r="B39" s="361" t="s">
        <v>419</v>
      </c>
      <c r="C39" s="261">
        <v>-0.1</v>
      </c>
      <c r="D39" s="261">
        <v>0.1</v>
      </c>
      <c r="E39" s="261">
        <v>0.05</v>
      </c>
      <c r="F39" s="261">
        <v>0.05</v>
      </c>
      <c r="G39" s="373"/>
      <c r="H39" s="373">
        <v>247</v>
      </c>
      <c r="I39" s="240">
        <v>80</v>
      </c>
      <c r="J39" s="240">
        <f t="shared" si="51"/>
        <v>19760</v>
      </c>
      <c r="K39" s="373">
        <f t="shared" si="52"/>
        <v>0</v>
      </c>
      <c r="L39" s="341">
        <v>130</v>
      </c>
      <c r="M39" s="240">
        <f t="shared" si="3"/>
        <v>0</v>
      </c>
      <c r="N39" s="373">
        <f t="shared" si="53"/>
        <v>24.700000000000003</v>
      </c>
      <c r="O39" s="373">
        <f t="shared" si="59"/>
        <v>370.5</v>
      </c>
      <c r="S39" s="361" t="s">
        <v>419</v>
      </c>
      <c r="T39" s="395">
        <f t="shared" si="5"/>
        <v>222.3</v>
      </c>
      <c r="U39" s="395">
        <f t="shared" si="6"/>
        <v>200.07</v>
      </c>
      <c r="V39" s="395">
        <f t="shared" si="7"/>
        <v>180.06299999999999</v>
      </c>
      <c r="W39" s="395">
        <f t="shared" si="8"/>
        <v>162.05669999999998</v>
      </c>
      <c r="X39" s="395">
        <f t="shared" si="9"/>
        <v>145.85102999999998</v>
      </c>
      <c r="Y39" s="361" t="s">
        <v>419</v>
      </c>
      <c r="Z39" s="390">
        <f t="shared" si="54"/>
        <v>13.337999999999999</v>
      </c>
      <c r="AA39" s="390">
        <f t="shared" si="55"/>
        <v>12.004199999999999</v>
      </c>
      <c r="AB39" s="390">
        <f t="shared" si="56"/>
        <v>10.80378</v>
      </c>
      <c r="AC39" s="390">
        <f t="shared" si="57"/>
        <v>9.7234019999999983</v>
      </c>
      <c r="AD39" s="390">
        <f t="shared" si="58"/>
        <v>8.7510617999999987</v>
      </c>
    </row>
    <row r="40" spans="1:30" x14ac:dyDescent="0.25">
      <c r="A40" s="239" t="s">
        <v>62</v>
      </c>
      <c r="B40" s="361" t="s">
        <v>420</v>
      </c>
      <c r="C40" s="261">
        <v>0</v>
      </c>
      <c r="D40" s="261">
        <v>0.1</v>
      </c>
      <c r="E40" s="261">
        <v>0.05</v>
      </c>
      <c r="F40" s="261">
        <v>0.05</v>
      </c>
      <c r="G40" s="373">
        <v>395</v>
      </c>
      <c r="H40" s="373">
        <v>240</v>
      </c>
      <c r="I40" s="240">
        <v>80</v>
      </c>
      <c r="J40" s="240">
        <f t="shared" si="51"/>
        <v>19200</v>
      </c>
      <c r="K40" s="373">
        <f t="shared" si="52"/>
        <v>395</v>
      </c>
      <c r="L40" s="341">
        <v>130</v>
      </c>
      <c r="M40" s="240">
        <f t="shared" si="3"/>
        <v>51350</v>
      </c>
      <c r="N40" s="373">
        <f t="shared" si="53"/>
        <v>24</v>
      </c>
      <c r="O40" s="373">
        <f t="shared" si="59"/>
        <v>359.99999999999994</v>
      </c>
      <c r="S40" s="361" t="s">
        <v>420</v>
      </c>
      <c r="T40" s="395">
        <f t="shared" si="5"/>
        <v>240</v>
      </c>
      <c r="U40" s="395">
        <f t="shared" si="6"/>
        <v>240</v>
      </c>
      <c r="V40" s="395">
        <f t="shared" si="7"/>
        <v>240</v>
      </c>
      <c r="W40" s="395">
        <f t="shared" si="8"/>
        <v>240</v>
      </c>
      <c r="X40" s="395">
        <f t="shared" si="9"/>
        <v>240</v>
      </c>
      <c r="Y40" s="361" t="s">
        <v>420</v>
      </c>
      <c r="Z40" s="390">
        <f t="shared" si="54"/>
        <v>14.399999999999999</v>
      </c>
      <c r="AA40" s="390">
        <f t="shared" si="55"/>
        <v>14.399999999999999</v>
      </c>
      <c r="AB40" s="390">
        <f t="shared" si="56"/>
        <v>14.399999999999999</v>
      </c>
      <c r="AC40" s="390">
        <f t="shared" si="57"/>
        <v>14.399999999999999</v>
      </c>
      <c r="AD40" s="390">
        <f t="shared" si="58"/>
        <v>14.399999999999999</v>
      </c>
    </row>
    <row r="41" spans="1:30" x14ac:dyDescent="0.25">
      <c r="A41" s="239" t="s">
        <v>62</v>
      </c>
      <c r="B41" s="239" t="s">
        <v>421</v>
      </c>
      <c r="C41" s="261">
        <v>0.1</v>
      </c>
      <c r="D41" s="261">
        <v>0.1</v>
      </c>
      <c r="E41" s="261">
        <v>0.05</v>
      </c>
      <c r="F41" s="261">
        <v>0.05</v>
      </c>
      <c r="G41" s="373">
        <v>1882</v>
      </c>
      <c r="H41" s="373"/>
      <c r="I41" s="240">
        <v>80</v>
      </c>
      <c r="J41" s="240">
        <f t="shared" si="51"/>
        <v>0</v>
      </c>
      <c r="K41" s="373">
        <f t="shared" si="52"/>
        <v>1882</v>
      </c>
      <c r="L41" s="341">
        <v>130</v>
      </c>
      <c r="M41" s="240">
        <f t="shared" si="3"/>
        <v>244660</v>
      </c>
      <c r="N41" s="373">
        <f t="shared" si="53"/>
        <v>0</v>
      </c>
      <c r="O41" s="373">
        <f t="shared" si="59"/>
        <v>0</v>
      </c>
      <c r="S41" s="239" t="s">
        <v>421</v>
      </c>
      <c r="T41" s="395">
        <f t="shared" si="5"/>
        <v>0</v>
      </c>
      <c r="U41" s="395">
        <f t="shared" si="6"/>
        <v>0</v>
      </c>
      <c r="V41" s="395">
        <f t="shared" si="7"/>
        <v>0</v>
      </c>
      <c r="W41" s="395">
        <f t="shared" si="8"/>
        <v>0</v>
      </c>
      <c r="X41" s="395">
        <f t="shared" si="9"/>
        <v>0</v>
      </c>
      <c r="Y41" s="239" t="s">
        <v>421</v>
      </c>
      <c r="Z41" s="390">
        <f t="shared" si="54"/>
        <v>0</v>
      </c>
      <c r="AA41" s="390">
        <f t="shared" si="55"/>
        <v>0</v>
      </c>
      <c r="AB41" s="390">
        <f t="shared" si="56"/>
        <v>0</v>
      </c>
      <c r="AC41" s="390">
        <f t="shared" si="57"/>
        <v>0</v>
      </c>
      <c r="AD41" s="390">
        <f t="shared" si="58"/>
        <v>0</v>
      </c>
    </row>
    <row r="42" spans="1:30" x14ac:dyDescent="0.25">
      <c r="A42" s="239" t="s">
        <v>62</v>
      </c>
      <c r="B42" s="361" t="s">
        <v>422</v>
      </c>
      <c r="C42" s="261">
        <v>0.05</v>
      </c>
      <c r="D42" s="261">
        <v>0.1</v>
      </c>
      <c r="E42" s="261">
        <v>0.05</v>
      </c>
      <c r="F42" s="261">
        <v>0.05</v>
      </c>
      <c r="G42" s="373"/>
      <c r="H42" s="373">
        <v>262</v>
      </c>
      <c r="I42" s="240">
        <v>80</v>
      </c>
      <c r="J42" s="240">
        <f t="shared" si="51"/>
        <v>20960</v>
      </c>
      <c r="K42" s="373">
        <f t="shared" si="52"/>
        <v>0</v>
      </c>
      <c r="L42" s="341">
        <v>130</v>
      </c>
      <c r="M42" s="240">
        <f t="shared" si="3"/>
        <v>0</v>
      </c>
      <c r="N42" s="373">
        <f t="shared" si="53"/>
        <v>26.200000000000003</v>
      </c>
      <c r="O42" s="373">
        <f t="shared" si="59"/>
        <v>393</v>
      </c>
      <c r="S42" s="361" t="s">
        <v>422</v>
      </c>
      <c r="T42" s="395">
        <f t="shared" si="5"/>
        <v>275.10000000000002</v>
      </c>
      <c r="U42" s="395">
        <f t="shared" si="6"/>
        <v>288.85500000000002</v>
      </c>
      <c r="V42" s="395">
        <f t="shared" si="7"/>
        <v>303.29775000000001</v>
      </c>
      <c r="W42" s="395">
        <f t="shared" si="8"/>
        <v>318.46263750000003</v>
      </c>
      <c r="X42" s="395">
        <f t="shared" si="9"/>
        <v>334.38576937500005</v>
      </c>
      <c r="Y42" s="361" t="s">
        <v>422</v>
      </c>
      <c r="Z42" s="390">
        <f t="shared" si="54"/>
        <v>16.506</v>
      </c>
      <c r="AA42" s="390">
        <f t="shared" si="55"/>
        <v>17.331300000000002</v>
      </c>
      <c r="AB42" s="390">
        <f t="shared" si="56"/>
        <v>18.197865</v>
      </c>
      <c r="AC42" s="390">
        <f t="shared" si="57"/>
        <v>19.107758250000003</v>
      </c>
      <c r="AD42" s="390">
        <f t="shared" si="58"/>
        <v>20.063146162500001</v>
      </c>
    </row>
    <row r="43" spans="1:30" x14ac:dyDescent="0.25">
      <c r="A43" s="239" t="s">
        <v>62</v>
      </c>
      <c r="B43" s="239" t="s">
        <v>258</v>
      </c>
      <c r="C43" s="261">
        <v>0.1</v>
      </c>
      <c r="D43" s="261">
        <v>0.1</v>
      </c>
      <c r="E43" s="261">
        <v>0.05</v>
      </c>
      <c r="F43" s="261">
        <v>0.05</v>
      </c>
      <c r="G43" s="373">
        <v>1077</v>
      </c>
      <c r="H43" s="373">
        <v>4159</v>
      </c>
      <c r="I43" s="240">
        <v>80</v>
      </c>
      <c r="J43" s="240">
        <f t="shared" si="51"/>
        <v>332720</v>
      </c>
      <c r="K43" s="373">
        <f t="shared" si="52"/>
        <v>1077</v>
      </c>
      <c r="L43" s="341">
        <v>130</v>
      </c>
      <c r="M43" s="240">
        <f t="shared" si="3"/>
        <v>140010</v>
      </c>
      <c r="N43" s="373">
        <f t="shared" si="53"/>
        <v>415.90000000000003</v>
      </c>
      <c r="O43" s="373">
        <f t="shared" si="59"/>
        <v>6238.5000000000009</v>
      </c>
      <c r="S43" s="239" t="s">
        <v>258</v>
      </c>
      <c r="T43" s="395">
        <f t="shared" si="5"/>
        <v>4574.8999999999996</v>
      </c>
      <c r="U43" s="395">
        <f t="shared" si="6"/>
        <v>5032.3899999999994</v>
      </c>
      <c r="V43" s="395">
        <f t="shared" si="7"/>
        <v>5535.628999999999</v>
      </c>
      <c r="W43" s="395">
        <f t="shared" si="8"/>
        <v>6089.1918999999989</v>
      </c>
      <c r="X43" s="395">
        <f t="shared" si="9"/>
        <v>6698.1110899999985</v>
      </c>
      <c r="Y43" s="239" t="s">
        <v>258</v>
      </c>
      <c r="Z43" s="390">
        <f t="shared" si="54"/>
        <v>274.49399999999997</v>
      </c>
      <c r="AA43" s="390">
        <f t="shared" si="55"/>
        <v>301.9434</v>
      </c>
      <c r="AB43" s="390">
        <f t="shared" si="56"/>
        <v>332.13773999999995</v>
      </c>
      <c r="AC43" s="390">
        <f t="shared" si="57"/>
        <v>365.3515139999999</v>
      </c>
      <c r="AD43" s="390">
        <f t="shared" si="58"/>
        <v>401.88666539999991</v>
      </c>
    </row>
    <row r="44" spans="1:30" x14ac:dyDescent="0.25">
      <c r="A44" s="239" t="s">
        <v>62</v>
      </c>
      <c r="B44" s="239" t="s">
        <v>423</v>
      </c>
      <c r="C44" s="261">
        <v>0.1</v>
      </c>
      <c r="D44" s="261">
        <v>0.1</v>
      </c>
      <c r="E44" s="261">
        <v>0.05</v>
      </c>
      <c r="F44" s="261">
        <v>0.05</v>
      </c>
      <c r="G44" s="373">
        <v>325</v>
      </c>
      <c r="H44" s="373"/>
      <c r="I44" s="240">
        <v>80</v>
      </c>
      <c r="J44" s="240">
        <f t="shared" si="51"/>
        <v>0</v>
      </c>
      <c r="K44" s="373">
        <f t="shared" si="52"/>
        <v>325</v>
      </c>
      <c r="L44" s="341">
        <v>130</v>
      </c>
      <c r="M44" s="240">
        <f t="shared" si="3"/>
        <v>42250</v>
      </c>
      <c r="N44" s="373">
        <f t="shared" si="53"/>
        <v>0</v>
      </c>
      <c r="O44" s="373">
        <f t="shared" si="59"/>
        <v>0</v>
      </c>
      <c r="S44" s="239" t="s">
        <v>423</v>
      </c>
      <c r="T44" s="395">
        <f t="shared" si="5"/>
        <v>0</v>
      </c>
      <c r="U44" s="395">
        <f t="shared" si="6"/>
        <v>0</v>
      </c>
      <c r="V44" s="395">
        <f t="shared" si="7"/>
        <v>0</v>
      </c>
      <c r="W44" s="395">
        <f t="shared" si="8"/>
        <v>0</v>
      </c>
      <c r="X44" s="395">
        <f t="shared" si="9"/>
        <v>0</v>
      </c>
      <c r="Y44" s="239" t="s">
        <v>423</v>
      </c>
      <c r="Z44" s="390">
        <f t="shared" si="54"/>
        <v>0</v>
      </c>
      <c r="AA44" s="390">
        <f t="shared" si="55"/>
        <v>0</v>
      </c>
      <c r="AB44" s="390">
        <f t="shared" si="56"/>
        <v>0</v>
      </c>
      <c r="AC44" s="390">
        <f t="shared" si="57"/>
        <v>0</v>
      </c>
      <c r="AD44" s="390">
        <f t="shared" si="58"/>
        <v>0</v>
      </c>
    </row>
    <row r="45" spans="1:30" x14ac:dyDescent="0.25">
      <c r="A45" s="239" t="s">
        <v>62</v>
      </c>
      <c r="B45" s="239" t="s">
        <v>451</v>
      </c>
      <c r="C45" s="261">
        <v>0.25</v>
      </c>
      <c r="D45" s="261">
        <v>0</v>
      </c>
      <c r="E45" s="261">
        <v>0.05</v>
      </c>
      <c r="F45" s="261">
        <v>0.05</v>
      </c>
      <c r="G45" s="373">
        <v>0</v>
      </c>
      <c r="H45" s="373">
        <v>637</v>
      </c>
      <c r="I45" s="240">
        <v>200</v>
      </c>
      <c r="J45" s="240">
        <f t="shared" si="51"/>
        <v>127400</v>
      </c>
      <c r="K45" s="373">
        <v>637</v>
      </c>
      <c r="L45" s="240">
        <v>300</v>
      </c>
      <c r="M45" s="240">
        <f>+K45*L45</f>
        <v>191100</v>
      </c>
      <c r="N45" s="373"/>
      <c r="O45" s="373">
        <f t="shared" ref="O45" si="60">+N45*0.4*25</f>
        <v>0</v>
      </c>
      <c r="S45" s="239" t="s">
        <v>451</v>
      </c>
      <c r="T45" s="395">
        <f t="shared" si="5"/>
        <v>796.25</v>
      </c>
      <c r="U45" s="395">
        <f t="shared" si="6"/>
        <v>995.3125</v>
      </c>
      <c r="V45" s="395">
        <f t="shared" si="7"/>
        <v>1244.140625</v>
      </c>
      <c r="W45" s="395">
        <f t="shared" si="8"/>
        <v>1555.17578125</v>
      </c>
      <c r="X45" s="395">
        <f t="shared" si="9"/>
        <v>1943.9697265625</v>
      </c>
      <c r="Y45" s="239" t="s">
        <v>451</v>
      </c>
      <c r="Z45" s="390">
        <f t="shared" si="54"/>
        <v>47.774999999999999</v>
      </c>
      <c r="AA45" s="390">
        <f t="shared" si="55"/>
        <v>59.71875</v>
      </c>
      <c r="AB45" s="390">
        <f t="shared" si="56"/>
        <v>74.6484375</v>
      </c>
      <c r="AC45" s="390">
        <f t="shared" si="57"/>
        <v>93.310546875</v>
      </c>
      <c r="AD45" s="390">
        <f t="shared" si="58"/>
        <v>116.63818359375</v>
      </c>
    </row>
    <row r="46" spans="1:30" s="382" customFormat="1" x14ac:dyDescent="0.25">
      <c r="A46" s="379" t="s">
        <v>452</v>
      </c>
      <c r="B46" s="379"/>
      <c r="C46" s="380"/>
      <c r="D46" s="380"/>
      <c r="E46" s="380"/>
      <c r="F46" s="380"/>
      <c r="G46" s="381">
        <f>SUM(G33:G45)</f>
        <v>3798</v>
      </c>
      <c r="H46" s="381">
        <f>SUM(H37:H45)</f>
        <v>7360</v>
      </c>
      <c r="I46" s="381">
        <f t="shared" ref="I46:O46" si="61">SUM(I37:I45)</f>
        <v>840</v>
      </c>
      <c r="J46" s="381">
        <f t="shared" si="61"/>
        <v>665240</v>
      </c>
      <c r="K46" s="381">
        <f t="shared" si="61"/>
        <v>4435</v>
      </c>
      <c r="L46" s="381">
        <f t="shared" si="61"/>
        <v>1340</v>
      </c>
      <c r="M46" s="381">
        <f t="shared" si="61"/>
        <v>684840</v>
      </c>
      <c r="N46" s="381">
        <f t="shared" si="61"/>
        <v>672.3</v>
      </c>
      <c r="O46" s="381">
        <f t="shared" si="61"/>
        <v>10084.5</v>
      </c>
      <c r="S46" s="379"/>
      <c r="T46" s="399">
        <f>SUM(T37:T45)</f>
        <v>7751.15</v>
      </c>
      <c r="U46" s="399">
        <f t="shared" ref="U46:X46" si="62">SUM(U37:U45)</f>
        <v>8261.307499999999</v>
      </c>
      <c r="V46" s="399">
        <f t="shared" si="62"/>
        <v>8897.4743749999998</v>
      </c>
      <c r="W46" s="399">
        <f t="shared" si="62"/>
        <v>9670.962218749999</v>
      </c>
      <c r="X46" s="399">
        <f t="shared" si="62"/>
        <v>10597.777775937499</v>
      </c>
      <c r="Y46" s="379"/>
      <c r="Z46" s="394">
        <f t="shared" ref="Z46" si="63">SUM(Z37:Z45)</f>
        <v>465.06899999999996</v>
      </c>
      <c r="AA46" s="394">
        <f t="shared" ref="AA46" si="64">SUM(AA37:AA45)</f>
        <v>495.67845</v>
      </c>
      <c r="AB46" s="394">
        <f t="shared" ref="AB46" si="65">SUM(AB37:AB45)</f>
        <v>533.84846249999998</v>
      </c>
      <c r="AC46" s="394">
        <f t="shared" ref="AC46" si="66">SUM(AC37:AC45)</f>
        <v>580.25773312499996</v>
      </c>
      <c r="AD46" s="394">
        <f t="shared" ref="AD46" si="67">SUM(AD37:AD45)</f>
        <v>635.86666655624992</v>
      </c>
    </row>
    <row r="47" spans="1:30" x14ac:dyDescent="0.25">
      <c r="A47" s="239"/>
      <c r="B47" s="239"/>
      <c r="C47" s="261"/>
      <c r="D47" s="261"/>
      <c r="E47" s="261"/>
      <c r="F47" s="261"/>
      <c r="G47" s="373"/>
      <c r="H47" s="373"/>
      <c r="I47" s="240"/>
      <c r="J47" s="240"/>
      <c r="K47" s="373"/>
      <c r="L47" s="240"/>
      <c r="M47" s="240"/>
      <c r="N47" s="373"/>
      <c r="O47" s="373"/>
      <c r="S47" s="239"/>
      <c r="Y47" s="239"/>
    </row>
  </sheetData>
  <mergeCells count="3">
    <mergeCell ref="A3:B3"/>
    <mergeCell ref="Z2:AD2"/>
    <mergeCell ref="T2:X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25</vt:i4>
      </vt:variant>
    </vt:vector>
  </HeadingPairs>
  <TitlesOfParts>
    <vt:vector size="45" baseType="lpstr">
      <vt:lpstr>Audited</vt:lpstr>
      <vt:lpstr>FA</vt:lpstr>
      <vt:lpstr>General details</vt:lpstr>
      <vt:lpstr>Balance Sheet</vt:lpstr>
      <vt:lpstr>Profit or Loss</vt:lpstr>
      <vt:lpstr>Cash Flow</vt:lpstr>
      <vt:lpstr>Sales price valculation</vt:lpstr>
      <vt:lpstr>Loan working</vt:lpstr>
      <vt:lpstr>Variety-wise details</vt:lpstr>
      <vt:lpstr>Impact of Price</vt:lpstr>
      <vt:lpstr>Impact khadyasansthan</vt:lpstr>
      <vt:lpstr>Impact of low interest rate</vt:lpstr>
      <vt:lpstr>Ratio Analysis</vt:lpstr>
      <vt:lpstr>Cash Management</vt:lpstr>
      <vt:lpstr>Fund Position</vt:lpstr>
      <vt:lpstr>Inventories</vt:lpstr>
      <vt:lpstr>Cost of Sale</vt:lpstr>
      <vt:lpstr>Crop and seed cycle</vt:lpstr>
      <vt:lpstr>Loan Amortization Schedule</vt:lpstr>
      <vt:lpstr>Social impacts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'Balance Sheet'!Print_Area</vt:lpstr>
      <vt:lpstr>'Cash Flow'!Print_Area</vt:lpstr>
      <vt:lpstr>'Profit or Loss'!Print_Area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Dhakal</dc:creator>
  <cp:lastModifiedBy>Narayan Khanal</cp:lastModifiedBy>
  <cp:lastPrinted>2018-02-12T10:02:01Z</cp:lastPrinted>
  <dcterms:created xsi:type="dcterms:W3CDTF">2017-09-11T07:35:14Z</dcterms:created>
  <dcterms:modified xsi:type="dcterms:W3CDTF">2018-12-24T05:02:07Z</dcterms:modified>
</cp:coreProperties>
</file>