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2\Desktop\"/>
    </mc:Choice>
  </mc:AlternateContent>
  <xr:revisionPtr revIDLastSave="0" documentId="8_{501D98C3-8578-4C2A-9E0A-3EF0070F22FD}" xr6:coauthVersionLast="47" xr6:coauthVersionMax="47" xr10:uidLastSave="{00000000-0000-0000-0000-000000000000}"/>
  <bookViews>
    <workbookView xWindow="-120" yWindow="-120" windowWidth="19440" windowHeight="10440" xr2:uid="{5F168AA9-43D5-4924-B738-5DFC2193B035}"/>
  </bookViews>
  <sheets>
    <sheet name="cORPORATE" sheetId="1" r:id="rId1"/>
  </sheets>
  <definedNames>
    <definedName name="_xlnm.Print_Titles" localSheetId="0">cORPORATE!$1:$1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8" i="1" l="1"/>
  <c r="W38" i="1"/>
  <c r="V38" i="1"/>
  <c r="P38" i="1"/>
  <c r="O38" i="1"/>
  <c r="N38" i="1"/>
  <c r="M38" i="1"/>
  <c r="L38" i="1"/>
  <c r="J38" i="1"/>
  <c r="S37" i="1"/>
  <c r="Q37" i="1"/>
  <c r="R37" i="1" s="1"/>
  <c r="AK36" i="1"/>
  <c r="S36" i="1"/>
  <c r="Y36" i="1" s="1"/>
  <c r="Q36" i="1"/>
  <c r="R36" i="1" s="1"/>
  <c r="AL35" i="1"/>
  <c r="AL38" i="1" s="1"/>
  <c r="AK35" i="1"/>
  <c r="AH35" i="1"/>
  <c r="Y35" i="1"/>
  <c r="T35" i="1"/>
  <c r="S35" i="1"/>
  <c r="AO35" i="1" s="1"/>
  <c r="Q35" i="1"/>
  <c r="R35" i="1" s="1"/>
  <c r="S34" i="1"/>
  <c r="AO34" i="1" s="1"/>
  <c r="R34" i="1"/>
  <c r="AC34" i="1" s="1"/>
  <c r="Q34" i="1"/>
  <c r="AK33" i="1"/>
  <c r="T33" i="1"/>
  <c r="Z33" i="1" s="1"/>
  <c r="S33" i="1"/>
  <c r="Y33" i="1" s="1"/>
  <c r="Q33" i="1"/>
  <c r="R33" i="1" s="1"/>
  <c r="AO32" i="1"/>
  <c r="AK32" i="1"/>
  <c r="AH32" i="1"/>
  <c r="Y32" i="1"/>
  <c r="S32" i="1"/>
  <c r="T32" i="1" s="1"/>
  <c r="Q32" i="1"/>
  <c r="R32" i="1" s="1"/>
  <c r="U31" i="1"/>
  <c r="T31" i="1"/>
  <c r="S31" i="1"/>
  <c r="AO31" i="1" s="1"/>
  <c r="Q31" i="1"/>
  <c r="R31" i="1" s="1"/>
  <c r="AO30" i="1"/>
  <c r="AK30" i="1"/>
  <c r="S30" i="1"/>
  <c r="AH30" i="1" s="1"/>
  <c r="Q30" i="1"/>
  <c r="R30" i="1" s="1"/>
  <c r="AK29" i="1"/>
  <c r="Y29" i="1"/>
  <c r="S29" i="1"/>
  <c r="Q29" i="1"/>
  <c r="R29" i="1" s="1"/>
  <c r="S28" i="1"/>
  <c r="R28" i="1"/>
  <c r="AC28" i="1" s="1"/>
  <c r="Q28" i="1"/>
  <c r="AO27" i="1"/>
  <c r="S27" i="1"/>
  <c r="AK27" i="1" s="1"/>
  <c r="Q27" i="1"/>
  <c r="R27" i="1" s="1"/>
  <c r="AO26" i="1"/>
  <c r="AK26" i="1"/>
  <c r="AH26" i="1"/>
  <c r="Y26" i="1"/>
  <c r="S26" i="1"/>
  <c r="Q26" i="1"/>
  <c r="R26" i="1" s="1"/>
  <c r="U25" i="1"/>
  <c r="T25" i="1"/>
  <c r="S25" i="1"/>
  <c r="AO25" i="1" s="1"/>
  <c r="Q25" i="1"/>
  <c r="R25" i="1" s="1"/>
  <c r="S24" i="1"/>
  <c r="AO24" i="1" s="1"/>
  <c r="R24" i="1"/>
  <c r="AC24" i="1" s="1"/>
  <c r="Q24" i="1"/>
  <c r="AO23" i="1"/>
  <c r="AK23" i="1"/>
  <c r="AH23" i="1"/>
  <c r="AC23" i="1"/>
  <c r="Y23" i="1"/>
  <c r="S23" i="1"/>
  <c r="R23" i="1"/>
  <c r="AB23" i="1" s="1"/>
  <c r="Q23" i="1"/>
  <c r="S22" i="1"/>
  <c r="AO22" i="1" s="1"/>
  <c r="R22" i="1"/>
  <c r="AC22" i="1" s="1"/>
  <c r="Q22" i="1"/>
  <c r="T21" i="1"/>
  <c r="U21" i="1" s="1"/>
  <c r="S21" i="1"/>
  <c r="AO21" i="1" s="1"/>
  <c r="Q21" i="1"/>
  <c r="R21" i="1" s="1"/>
  <c r="AO20" i="1"/>
  <c r="AK20" i="1"/>
  <c r="AH20" i="1"/>
  <c r="T20" i="1"/>
  <c r="R20" i="1"/>
  <c r="AC20" i="1" s="1"/>
  <c r="Q20" i="1"/>
  <c r="Y20" i="1" s="1"/>
  <c r="AK19" i="1"/>
  <c r="AH19" i="1"/>
  <c r="T19" i="1"/>
  <c r="Q19" i="1"/>
  <c r="Y19" i="1" s="1"/>
  <c r="AO18" i="1"/>
  <c r="S18" i="1"/>
  <c r="AK18" i="1" s="1"/>
  <c r="Q18" i="1"/>
  <c r="Y18" i="1" s="1"/>
  <c r="AN17" i="1"/>
  <c r="AK17" i="1"/>
  <c r="AG17" i="1"/>
  <c r="AC17" i="1"/>
  <c r="AB17" i="1"/>
  <c r="Z17" i="1"/>
  <c r="T17" i="1"/>
  <c r="S17" i="1"/>
  <c r="Y17" i="1" s="1"/>
  <c r="R17" i="1"/>
  <c r="Q17" i="1"/>
  <c r="S16" i="1"/>
  <c r="Q16" i="1"/>
  <c r="R16" i="1" s="1"/>
  <c r="S15" i="1"/>
  <c r="Q15" i="1"/>
  <c r="R15" i="1" s="1"/>
  <c r="AK14" i="1"/>
  <c r="T14" i="1"/>
  <c r="S14" i="1"/>
  <c r="Y14" i="1" s="1"/>
  <c r="Q14" i="1"/>
  <c r="R14" i="1" s="1"/>
  <c r="S13" i="1"/>
  <c r="Q13" i="1"/>
  <c r="R13" i="1" s="1"/>
  <c r="S12" i="1"/>
  <c r="T12" i="1" s="1"/>
  <c r="Q12" i="1"/>
  <c r="R12" i="1" s="1"/>
  <c r="AO11" i="1"/>
  <c r="AK11" i="1"/>
  <c r="AH11" i="1"/>
  <c r="S11" i="1"/>
  <c r="Y11" i="1" s="1"/>
  <c r="Q11" i="1"/>
  <c r="R11" i="1" s="1"/>
  <c r="AC10" i="1"/>
  <c r="AB10" i="1"/>
  <c r="S10" i="1"/>
  <c r="AK10" i="1" s="1"/>
  <c r="R10" i="1"/>
  <c r="Q10" i="1"/>
  <c r="S9" i="1"/>
  <c r="Q9" i="1"/>
  <c r="R9" i="1" s="1"/>
  <c r="AO8" i="1"/>
  <c r="AK8" i="1"/>
  <c r="AH8" i="1"/>
  <c r="S8" i="1"/>
  <c r="Y8" i="1" s="1"/>
  <c r="R8" i="1"/>
  <c r="AC8" i="1" s="1"/>
  <c r="Q8" i="1"/>
  <c r="AO7" i="1"/>
  <c r="AK7" i="1"/>
  <c r="AH7" i="1"/>
  <c r="AC7" i="1"/>
  <c r="AB7" i="1"/>
  <c r="Z7" i="1"/>
  <c r="AN7" i="1" s="1"/>
  <c r="Y7" i="1"/>
  <c r="U7" i="1"/>
  <c r="X7" i="1" s="1"/>
  <c r="AD7" i="1" s="1"/>
  <c r="T7" i="1"/>
  <c r="S7" i="1"/>
  <c r="R7" i="1"/>
  <c r="Q7" i="1"/>
  <c r="S6" i="1"/>
  <c r="AO6" i="1" s="1"/>
  <c r="Q6" i="1"/>
  <c r="R6" i="1" s="1"/>
  <c r="AO5" i="1"/>
  <c r="AK5" i="1"/>
  <c r="U5" i="1"/>
  <c r="T5" i="1"/>
  <c r="S5" i="1"/>
  <c r="AH5" i="1" s="1"/>
  <c r="Q5" i="1"/>
  <c r="Y5" i="1" s="1"/>
  <c r="AO4" i="1"/>
  <c r="AK4" i="1"/>
  <c r="AH4" i="1"/>
  <c r="AC4" i="1"/>
  <c r="AB4" i="1"/>
  <c r="Z4" i="1"/>
  <c r="AN4" i="1" s="1"/>
  <c r="Y4" i="1"/>
  <c r="T4" i="1"/>
  <c r="U4" i="1" s="1"/>
  <c r="S4" i="1"/>
  <c r="R4" i="1"/>
  <c r="Q4" i="1"/>
  <c r="S3" i="1"/>
  <c r="AO3" i="1" s="1"/>
  <c r="Q3" i="1"/>
  <c r="R3" i="1" s="1"/>
  <c r="AO2" i="1"/>
  <c r="S2" i="1"/>
  <c r="AK2" i="1" s="1"/>
  <c r="Q2" i="1"/>
  <c r="R2" i="1" s="1"/>
  <c r="AC33" i="1" l="1"/>
  <c r="AB33" i="1"/>
  <c r="AG33" i="1"/>
  <c r="AN33" i="1"/>
  <c r="AC26" i="1"/>
  <c r="AB26" i="1"/>
  <c r="AB13" i="1"/>
  <c r="AC13" i="1"/>
  <c r="AB6" i="1"/>
  <c r="AC6" i="1"/>
  <c r="AC11" i="1"/>
  <c r="AB11" i="1"/>
  <c r="AC35" i="1"/>
  <c r="AB35" i="1"/>
  <c r="AB14" i="1"/>
  <c r="AC14" i="1"/>
  <c r="AC16" i="1"/>
  <c r="AB16" i="1"/>
  <c r="U12" i="1"/>
  <c r="AA12" i="1" s="1"/>
  <c r="Z12" i="1"/>
  <c r="Z14" i="1"/>
  <c r="Z35" i="1"/>
  <c r="AC29" i="1"/>
  <c r="AB29" i="1"/>
  <c r="AC31" i="1"/>
  <c r="AB31" i="1"/>
  <c r="X4" i="1"/>
  <c r="AD4" i="1" s="1"/>
  <c r="AE4" i="1" s="1"/>
  <c r="AA4" i="1"/>
  <c r="AC15" i="1"/>
  <c r="AB15" i="1"/>
  <c r="Z25" i="1"/>
  <c r="AA21" i="1"/>
  <c r="AC3" i="1"/>
  <c r="AB3" i="1"/>
  <c r="Z31" i="1"/>
  <c r="AC25" i="1"/>
  <c r="AB25" i="1"/>
  <c r="AC27" i="1"/>
  <c r="AB27" i="1"/>
  <c r="AC36" i="1"/>
  <c r="AB36" i="1"/>
  <c r="X17" i="1"/>
  <c r="AD17" i="1" s="1"/>
  <c r="AA31" i="1"/>
  <c r="AC37" i="1"/>
  <c r="AB37" i="1"/>
  <c r="AC32" i="1"/>
  <c r="AB32" i="1"/>
  <c r="AC9" i="1"/>
  <c r="AB9" i="1"/>
  <c r="AA25" i="1"/>
  <c r="AC12" i="1"/>
  <c r="AB12" i="1"/>
  <c r="AC21" i="1"/>
  <c r="AB21" i="1"/>
  <c r="AC30" i="1"/>
  <c r="AB30" i="1"/>
  <c r="AC2" i="1"/>
  <c r="AB2" i="1"/>
  <c r="U32" i="1"/>
  <c r="AA32" i="1" s="1"/>
  <c r="Z32" i="1"/>
  <c r="X32" i="1"/>
  <c r="AD32" i="1" s="1"/>
  <c r="U35" i="1"/>
  <c r="AA35" i="1" s="1"/>
  <c r="T22" i="1"/>
  <c r="X35" i="1"/>
  <c r="AD35" i="1" s="1"/>
  <c r="T13" i="1"/>
  <c r="R19" i="1"/>
  <c r="X25" i="1"/>
  <c r="AD25" i="1" s="1"/>
  <c r="T28" i="1"/>
  <c r="Q38" i="1"/>
  <c r="T10" i="1"/>
  <c r="AG4" i="1"/>
  <c r="U19" i="1"/>
  <c r="AA19" i="1" s="1"/>
  <c r="Y25" i="1"/>
  <c r="Y16" i="1"/>
  <c r="X19" i="1"/>
  <c r="AD19" i="1" s="1"/>
  <c r="AB22" i="1"/>
  <c r="S38" i="1"/>
  <c r="Y22" i="1"/>
  <c r="AG7" i="1"/>
  <c r="Y28" i="1"/>
  <c r="X31" i="1"/>
  <c r="AD31" i="1" s="1"/>
  <c r="T34" i="1"/>
  <c r="T6" i="1"/>
  <c r="T9" i="1"/>
  <c r="Y31" i="1"/>
  <c r="T3" i="1"/>
  <c r="AB28" i="1"/>
  <c r="Y34" i="1"/>
  <c r="T37" i="1"/>
  <c r="T16" i="1"/>
  <c r="X21" i="1"/>
  <c r="AD21" i="1" s="1"/>
  <c r="T24" i="1"/>
  <c r="Y6" i="1"/>
  <c r="T15" i="1"/>
  <c r="Y21" i="1"/>
  <c r="AK22" i="1"/>
  <c r="AH25" i="1"/>
  <c r="AK13" i="1"/>
  <c r="Z21" i="1"/>
  <c r="T27" i="1"/>
  <c r="AB34" i="1"/>
  <c r="Y37" i="1"/>
  <c r="Y10" i="1"/>
  <c r="AO10" i="1"/>
  <c r="T18" i="1"/>
  <c r="Y24" i="1"/>
  <c r="AK25" i="1"/>
  <c r="AH22" i="1"/>
  <c r="T2" i="1"/>
  <c r="R5" i="1"/>
  <c r="AH3" i="1"/>
  <c r="Y15" i="1"/>
  <c r="AK16" i="1"/>
  <c r="T30" i="1"/>
  <c r="Y12" i="1"/>
  <c r="Y27" i="1"/>
  <c r="AK28" i="1"/>
  <c r="AH31" i="1"/>
  <c r="AB24" i="1"/>
  <c r="Y13" i="1"/>
  <c r="Y9" i="1"/>
  <c r="X5" i="1"/>
  <c r="AD5" i="1" s="1"/>
  <c r="T8" i="1"/>
  <c r="Y30" i="1"/>
  <c r="AK31" i="1"/>
  <c r="U33" i="1"/>
  <c r="AA33" i="1" s="1"/>
  <c r="AE33" i="1" s="1"/>
  <c r="AH34" i="1"/>
  <c r="Y2" i="1"/>
  <c r="X33" i="1"/>
  <c r="AD33" i="1" s="1"/>
  <c r="Y3" i="1"/>
  <c r="AK3" i="1"/>
  <c r="AH6" i="1"/>
  <c r="AH9" i="1"/>
  <c r="T11" i="1"/>
  <c r="AH21" i="1"/>
  <c r="AK34" i="1"/>
  <c r="T36" i="1"/>
  <c r="R18" i="1"/>
  <c r="AK9" i="1"/>
  <c r="U20" i="1"/>
  <c r="AA20" i="1" s="1"/>
  <c r="T23" i="1"/>
  <c r="AK6" i="1"/>
  <c r="AK38" i="1" s="1"/>
  <c r="AK21" i="1"/>
  <c r="AH24" i="1"/>
  <c r="AA7" i="1"/>
  <c r="AE7" i="1" s="1"/>
  <c r="AH10" i="1"/>
  <c r="AK12" i="1"/>
  <c r="U14" i="1"/>
  <c r="T26" i="1"/>
  <c r="AK37" i="1"/>
  <c r="AO9" i="1"/>
  <c r="Z20" i="1"/>
  <c r="AK24" i="1"/>
  <c r="AH27" i="1"/>
  <c r="AB8" i="1"/>
  <c r="AH2" i="1"/>
  <c r="AK15" i="1"/>
  <c r="U17" i="1"/>
  <c r="AA17" i="1" s="1"/>
  <c r="AH18" i="1"/>
  <c r="T29" i="1"/>
  <c r="AB20" i="1"/>
  <c r="AH33" i="1" l="1"/>
  <c r="AP33" i="1"/>
  <c r="AO33" i="1"/>
  <c r="K33" i="1" s="1"/>
  <c r="AI33" i="1"/>
  <c r="AM33" i="1" s="1"/>
  <c r="AP4" i="1"/>
  <c r="K4" i="1"/>
  <c r="AI4" i="1"/>
  <c r="AM4" i="1"/>
  <c r="AP7" i="1"/>
  <c r="K7" i="1" s="1"/>
  <c r="AI7" i="1"/>
  <c r="AM7" i="1" s="1"/>
  <c r="Z26" i="1"/>
  <c r="U26" i="1"/>
  <c r="AA26" i="1" s="1"/>
  <c r="Z27" i="1"/>
  <c r="U27" i="1"/>
  <c r="AA27" i="1" s="1"/>
  <c r="Z8" i="1"/>
  <c r="U8" i="1"/>
  <c r="AA8" i="1" s="1"/>
  <c r="AA14" i="1"/>
  <c r="AE14" i="1" s="1"/>
  <c r="X14" i="1"/>
  <c r="AD14" i="1" s="1"/>
  <c r="AN21" i="1"/>
  <c r="AG21" i="1"/>
  <c r="AE21" i="1"/>
  <c r="AN35" i="1"/>
  <c r="AG35" i="1"/>
  <c r="AE35" i="1"/>
  <c r="Z10" i="1"/>
  <c r="U10" i="1"/>
  <c r="AA10" i="1" s="1"/>
  <c r="AN14" i="1"/>
  <c r="AG14" i="1"/>
  <c r="AN12" i="1"/>
  <c r="AG12" i="1"/>
  <c r="Z15" i="1"/>
  <c r="U15" i="1"/>
  <c r="AA15" i="1" s="1"/>
  <c r="Z28" i="1"/>
  <c r="U28" i="1"/>
  <c r="AA28" i="1" s="1"/>
  <c r="Z24" i="1"/>
  <c r="U24" i="1"/>
  <c r="AC19" i="1"/>
  <c r="AB19" i="1"/>
  <c r="Z23" i="1"/>
  <c r="U23" i="1"/>
  <c r="AA23" i="1" s="1"/>
  <c r="Z13" i="1"/>
  <c r="U13" i="1"/>
  <c r="Z30" i="1"/>
  <c r="U30" i="1"/>
  <c r="AA30" i="1" s="1"/>
  <c r="Z16" i="1"/>
  <c r="U16" i="1"/>
  <c r="X27" i="1"/>
  <c r="AD27" i="1" s="1"/>
  <c r="Z37" i="1"/>
  <c r="U37" i="1"/>
  <c r="Z22" i="1"/>
  <c r="U22" i="1"/>
  <c r="AC18" i="1"/>
  <c r="AB18" i="1"/>
  <c r="AB38" i="1" s="1"/>
  <c r="Z36" i="1"/>
  <c r="U36" i="1"/>
  <c r="AN31" i="1"/>
  <c r="AG31" i="1"/>
  <c r="AE31" i="1"/>
  <c r="AC5" i="1"/>
  <c r="AB5" i="1"/>
  <c r="U3" i="1"/>
  <c r="AA3" i="1" s="1"/>
  <c r="Z3" i="1"/>
  <c r="AN32" i="1"/>
  <c r="AG32" i="1"/>
  <c r="AE32" i="1"/>
  <c r="Z2" i="1"/>
  <c r="U2" i="1"/>
  <c r="T38" i="1"/>
  <c r="Z11" i="1"/>
  <c r="U11" i="1"/>
  <c r="Z9" i="1"/>
  <c r="U9" i="1"/>
  <c r="AA9" i="1" s="1"/>
  <c r="X23" i="1"/>
  <c r="AD23" i="1" s="1"/>
  <c r="U29" i="1"/>
  <c r="Z29" i="1"/>
  <c r="X8" i="1"/>
  <c r="AD8" i="1" s="1"/>
  <c r="R38" i="1"/>
  <c r="Z6" i="1"/>
  <c r="U6" i="1"/>
  <c r="AA6" i="1" s="1"/>
  <c r="AE17" i="1"/>
  <c r="Z34" i="1"/>
  <c r="U34" i="1"/>
  <c r="AC38" i="1"/>
  <c r="Z5" i="1"/>
  <c r="AA5" i="1"/>
  <c r="Z19" i="1"/>
  <c r="Z18" i="1"/>
  <c r="U18" i="1"/>
  <c r="AN25" i="1"/>
  <c r="AG25" i="1"/>
  <c r="AE25" i="1"/>
  <c r="X15" i="1"/>
  <c r="AD15" i="1" s="1"/>
  <c r="Y38" i="1"/>
  <c r="X12" i="1"/>
  <c r="AD12" i="1" s="1"/>
  <c r="AE12" i="1" s="1"/>
  <c r="X20" i="1"/>
  <c r="AD20" i="1" s="1"/>
  <c r="AE20" i="1"/>
  <c r="AG20" i="1"/>
  <c r="AN20" i="1"/>
  <c r="X28" i="1"/>
  <c r="AD28" i="1" s="1"/>
  <c r="AP12" i="1" l="1"/>
  <c r="AI12" i="1"/>
  <c r="AO12" i="1"/>
  <c r="AH12" i="1"/>
  <c r="AI14" i="1"/>
  <c r="AO14" i="1"/>
  <c r="K14" i="1" s="1"/>
  <c r="AP14" i="1"/>
  <c r="AH14" i="1"/>
  <c r="AM14" i="1" s="1"/>
  <c r="AN10" i="1"/>
  <c r="AG10" i="1"/>
  <c r="AG5" i="1"/>
  <c r="AE5" i="1"/>
  <c r="AN5" i="1"/>
  <c r="AA34" i="1"/>
  <c r="AE34" i="1" s="1"/>
  <c r="X34" i="1"/>
  <c r="AD34" i="1" s="1"/>
  <c r="AP17" i="1"/>
  <c r="AO17" i="1"/>
  <c r="K17" i="1" s="1"/>
  <c r="AH17" i="1"/>
  <c r="AI17" i="1"/>
  <c r="AM17" i="1" s="1"/>
  <c r="AA37" i="1"/>
  <c r="AE37" i="1" s="1"/>
  <c r="X37" i="1"/>
  <c r="AD37" i="1" s="1"/>
  <c r="AG8" i="1"/>
  <c r="AE8" i="1"/>
  <c r="AN8" i="1"/>
  <c r="AA11" i="1"/>
  <c r="AE11" i="1" s="1"/>
  <c r="X11" i="1"/>
  <c r="AD11" i="1" s="1"/>
  <c r="AP21" i="1"/>
  <c r="AI21" i="1"/>
  <c r="AM21" i="1" s="1"/>
  <c r="K21" i="1"/>
  <c r="AN6" i="1"/>
  <c r="AG6" i="1"/>
  <c r="AE6" i="1"/>
  <c r="AN16" i="1"/>
  <c r="AG16" i="1"/>
  <c r="AG30" i="1"/>
  <c r="AN30" i="1"/>
  <c r="AN34" i="1"/>
  <c r="AG34" i="1"/>
  <c r="AP35" i="1"/>
  <c r="K35" i="1" s="1"/>
  <c r="AI35" i="1"/>
  <c r="AM35" i="1" s="1"/>
  <c r="AN37" i="1"/>
  <c r="AG37" i="1"/>
  <c r="AA16" i="1"/>
  <c r="AE16" i="1" s="1"/>
  <c r="X16" i="1"/>
  <c r="AD16" i="1" s="1"/>
  <c r="AN29" i="1"/>
  <c r="AG29" i="1"/>
  <c r="AE29" i="1"/>
  <c r="AN27" i="1"/>
  <c r="AG27" i="1"/>
  <c r="AE27" i="1"/>
  <c r="X6" i="1"/>
  <c r="AD6" i="1" s="1"/>
  <c r="AN26" i="1"/>
  <c r="AG26" i="1"/>
  <c r="AN36" i="1"/>
  <c r="AG36" i="1"/>
  <c r="AA22" i="1"/>
  <c r="X22" i="1"/>
  <c r="AD22" i="1" s="1"/>
  <c r="AA29" i="1"/>
  <c r="X29" i="1"/>
  <c r="AD29" i="1" s="1"/>
  <c r="AG11" i="1"/>
  <c r="AN11" i="1"/>
  <c r="AN24" i="1"/>
  <c r="AG24" i="1"/>
  <c r="AN28" i="1"/>
  <c r="AG28" i="1"/>
  <c r="AE28" i="1"/>
  <c r="X10" i="1"/>
  <c r="AD10" i="1" s="1"/>
  <c r="AE10" i="1" s="1"/>
  <c r="AN9" i="1"/>
  <c r="AE9" i="1"/>
  <c r="AG9" i="1"/>
  <c r="AG13" i="1"/>
  <c r="AN13" i="1"/>
  <c r="AE13" i="1"/>
  <c r="AN23" i="1"/>
  <c r="AG23" i="1"/>
  <c r="AE23" i="1"/>
  <c r="AA2" i="1"/>
  <c r="AA38" i="1" s="1"/>
  <c r="U38" i="1"/>
  <c r="X2" i="1"/>
  <c r="AG2" i="1"/>
  <c r="Z38" i="1"/>
  <c r="AN2" i="1"/>
  <c r="AN3" i="1"/>
  <c r="AG3" i="1"/>
  <c r="X3" i="1"/>
  <c r="AD3" i="1" s="1"/>
  <c r="AE3" i="1" s="1"/>
  <c r="X26" i="1"/>
  <c r="AD26" i="1" s="1"/>
  <c r="AE26" i="1" s="1"/>
  <c r="AN22" i="1"/>
  <c r="AG22" i="1"/>
  <c r="AE22" i="1"/>
  <c r="X30" i="1"/>
  <c r="AD30" i="1" s="1"/>
  <c r="AE30" i="1" s="1"/>
  <c r="AA13" i="1"/>
  <c r="X13" i="1"/>
  <c r="AD13" i="1" s="1"/>
  <c r="X9" i="1"/>
  <c r="AD9" i="1" s="1"/>
  <c r="K20" i="1"/>
  <c r="AI20" i="1"/>
  <c r="AM20" i="1" s="1"/>
  <c r="AA24" i="1"/>
  <c r="AE24" i="1" s="1"/>
  <c r="X24" i="1"/>
  <c r="AD24" i="1" s="1"/>
  <c r="AP32" i="1"/>
  <c r="K32" i="1" s="1"/>
  <c r="AI32" i="1"/>
  <c r="AM32" i="1" s="1"/>
  <c r="AP25" i="1"/>
  <c r="K25" i="1" s="1"/>
  <c r="AI25" i="1"/>
  <c r="AM25" i="1" s="1"/>
  <c r="AA18" i="1"/>
  <c r="AE18" i="1" s="1"/>
  <c r="X18" i="1"/>
  <c r="AD18" i="1" s="1"/>
  <c r="AN15" i="1"/>
  <c r="AG15" i="1"/>
  <c r="AE15" i="1"/>
  <c r="AP31" i="1"/>
  <c r="AI31" i="1"/>
  <c r="AM31" i="1" s="1"/>
  <c r="K31" i="1"/>
  <c r="AG18" i="1"/>
  <c r="AN18" i="1"/>
  <c r="AE19" i="1"/>
  <c r="AA36" i="1"/>
  <c r="AE36" i="1" s="1"/>
  <c r="X36" i="1"/>
  <c r="AD36" i="1" s="1"/>
  <c r="K11" i="1" l="1"/>
  <c r="AP11" i="1"/>
  <c r="AI11" i="1"/>
  <c r="AM11" i="1" s="1"/>
  <c r="AP37" i="1"/>
  <c r="AI37" i="1"/>
  <c r="AO37" i="1"/>
  <c r="K37" i="1" s="1"/>
  <c r="AH37" i="1"/>
  <c r="AM37" i="1" s="1"/>
  <c r="AP36" i="1"/>
  <c r="AO36" i="1"/>
  <c r="K36" i="1" s="1"/>
  <c r="AI36" i="1"/>
  <c r="AH36" i="1"/>
  <c r="AM36" i="1" s="1"/>
  <c r="AP3" i="1"/>
  <c r="AI3" i="1"/>
  <c r="AM3" i="1" s="1"/>
  <c r="K3" i="1"/>
  <c r="AI18" i="1"/>
  <c r="AM18" i="1" s="1"/>
  <c r="K18" i="1"/>
  <c r="AP18" i="1"/>
  <c r="AP10" i="1"/>
  <c r="K10" i="1" s="1"/>
  <c r="AI10" i="1"/>
  <c r="AM10" i="1" s="1"/>
  <c r="AP24" i="1"/>
  <c r="AI24" i="1"/>
  <c r="AM24" i="1" s="1"/>
  <c r="K24" i="1"/>
  <c r="AP26" i="1"/>
  <c r="K26" i="1" s="1"/>
  <c r="AI26" i="1"/>
  <c r="AM26" i="1" s="1"/>
  <c r="AP34" i="1"/>
  <c r="AI34" i="1"/>
  <c r="AM34" i="1" s="1"/>
  <c r="K34" i="1"/>
  <c r="AI30" i="1"/>
  <c r="AP30" i="1"/>
  <c r="K30" i="1" s="1"/>
  <c r="AM30" i="1"/>
  <c r="AP16" i="1"/>
  <c r="AI16" i="1"/>
  <c r="AH16" i="1"/>
  <c r="AM16" i="1" s="1"/>
  <c r="AO16" i="1"/>
  <c r="K16" i="1" s="1"/>
  <c r="AP13" i="1"/>
  <c r="AI13" i="1"/>
  <c r="AH13" i="1"/>
  <c r="AM13" i="1" s="1"/>
  <c r="AO13" i="1"/>
  <c r="AO38" i="1" s="1"/>
  <c r="AP23" i="1"/>
  <c r="K23" i="1" s="1"/>
  <c r="AI23" i="1"/>
  <c r="AM23" i="1" s="1"/>
  <c r="AP29" i="1"/>
  <c r="AO29" i="1"/>
  <c r="K29" i="1" s="1"/>
  <c r="AM29" i="1"/>
  <c r="AI29" i="1"/>
  <c r="AH29" i="1"/>
  <c r="AP9" i="1"/>
  <c r="AI9" i="1"/>
  <c r="AM9" i="1" s="1"/>
  <c r="K9" i="1"/>
  <c r="AI5" i="1"/>
  <c r="AP5" i="1"/>
  <c r="K5" i="1" s="1"/>
  <c r="AM5" i="1"/>
  <c r="AI27" i="1"/>
  <c r="AM27" i="1" s="1"/>
  <c r="AP27" i="1"/>
  <c r="K27" i="1" s="1"/>
  <c r="AJ19" i="1"/>
  <c r="AJ38" i="1" s="1"/>
  <c r="K19" i="1"/>
  <c r="AP6" i="1"/>
  <c r="K6" i="1" s="1"/>
  <c r="AI6" i="1"/>
  <c r="AM6" i="1" s="1"/>
  <c r="AI8" i="1"/>
  <c r="AP8" i="1"/>
  <c r="K8" i="1" s="1"/>
  <c r="AM8" i="1"/>
  <c r="AP28" i="1"/>
  <c r="AI28" i="1"/>
  <c r="AO28" i="1"/>
  <c r="K28" i="1" s="1"/>
  <c r="AH28" i="1"/>
  <c r="AM28" i="1" s="1"/>
  <c r="AH38" i="1"/>
  <c r="K12" i="1"/>
  <c r="AP22" i="1"/>
  <c r="K22" i="1" s="1"/>
  <c r="AI22" i="1"/>
  <c r="AM22" i="1" s="1"/>
  <c r="AN38" i="1"/>
  <c r="AI15" i="1"/>
  <c r="AP15" i="1"/>
  <c r="AO15" i="1"/>
  <c r="K15" i="1" s="1"/>
  <c r="AH15" i="1"/>
  <c r="AM15" i="1" s="1"/>
  <c r="AG38" i="1"/>
  <c r="AM12" i="1"/>
  <c r="AD2" i="1"/>
  <c r="AD38" i="1" s="1"/>
  <c r="X38" i="1"/>
  <c r="AE2" i="1" l="1"/>
  <c r="AM19" i="1"/>
  <c r="K13" i="1"/>
  <c r="AI2" i="1" l="1"/>
  <c r="AI38" i="1" s="1"/>
  <c r="AP2" i="1"/>
  <c r="AP38" i="1" s="1"/>
  <c r="AE38" i="1"/>
  <c r="K2" i="1"/>
  <c r="K38" i="1" s="1"/>
  <c r="AM2" i="1" l="1"/>
  <c r="AM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HR2</author>
    <author>Accord</author>
  </authors>
  <commentList>
    <comment ref="I2" authorId="0" shapeId="0" xr:uid="{22D4B6A0-40D3-4802-B00E-7902F537A0CB}">
      <text>
        <r>
          <rPr>
            <b/>
            <sz val="9"/>
            <color indexed="81"/>
            <rFont val="Tahoma"/>
            <family val="2"/>
          </rPr>
          <t>HR2:</t>
        </r>
        <r>
          <rPr>
            <sz val="9"/>
            <color indexed="81"/>
            <rFont val="Tahoma"/>
            <family val="2"/>
          </rPr>
          <t xml:space="preserve">
Actual DOJ:01.10.2013
APDP:01.06.2016
Again in APCP: 21.02.2024</t>
        </r>
      </text>
    </comment>
    <comment ref="P26" authorId="0" shapeId="0" xr:uid="{C4062D95-4A78-44B9-930F-C50492B88F77}">
      <text>
        <r>
          <rPr>
            <b/>
            <sz val="9"/>
            <color indexed="81"/>
            <rFont val="Tahoma"/>
            <family val="2"/>
          </rPr>
          <t>HR2:</t>
        </r>
        <r>
          <rPr>
            <sz val="9"/>
            <color indexed="81"/>
            <rFont val="Tahoma"/>
            <family val="2"/>
          </rPr>
          <t xml:space="preserve">
Coff Leave
</t>
        </r>
      </text>
    </comment>
    <comment ref="AL35" authorId="1" shapeId="0" xr:uid="{8ED4A3A0-96C5-48FA-A007-4A965E9B3CF2}">
      <text>
        <r>
          <rPr>
            <b/>
            <sz val="9"/>
            <color indexed="81"/>
            <rFont val="Tahoma"/>
            <family val="2"/>
          </rPr>
          <t>Accord:</t>
        </r>
        <r>
          <rPr>
            <sz val="9"/>
            <color indexed="81"/>
            <rFont val="Tahoma"/>
            <family val="2"/>
          </rPr>
          <t xml:space="preserve">
500 Food 
1666 Advance</t>
        </r>
      </text>
    </comment>
  </commentList>
</comments>
</file>

<file path=xl/sharedStrings.xml><?xml version="1.0" encoding="utf-8"?>
<sst xmlns="http://schemas.openxmlformats.org/spreadsheetml/2006/main" count="44" uniqueCount="44">
  <si>
    <t>Sl.No.</t>
  </si>
  <si>
    <t>YEAR</t>
  </si>
  <si>
    <t>MONTH</t>
  </si>
  <si>
    <t>EMP ID</t>
  </si>
  <si>
    <t>EMP NAME</t>
  </si>
  <si>
    <t>DEPT</t>
  </si>
  <si>
    <t>DESIGNATION</t>
  </si>
  <si>
    <t>DOB</t>
  </si>
  <si>
    <t>DOJ</t>
  </si>
  <si>
    <t>Actual CTC Without Loss Of Pay</t>
  </si>
  <si>
    <t>LOP CTC</t>
  </si>
  <si>
    <t>Total Days</t>
  </si>
  <si>
    <t>Days Worked</t>
  </si>
  <si>
    <t>AL</t>
  </si>
  <si>
    <t>PL</t>
  </si>
  <si>
    <t>BL/ML</t>
  </si>
  <si>
    <t>LOP</t>
  </si>
  <si>
    <t>Days Paid</t>
  </si>
  <si>
    <t>CONSILE SALARY</t>
  </si>
  <si>
    <t>BASIC</t>
  </si>
  <si>
    <t>HRA</t>
  </si>
  <si>
    <t>CCA</t>
  </si>
  <si>
    <t>TRP_ALW</t>
  </si>
  <si>
    <t>O_ALW1</t>
  </si>
  <si>
    <t>LOP2</t>
  </si>
  <si>
    <t>BASIC3</t>
  </si>
  <si>
    <t>HRA4</t>
  </si>
  <si>
    <t>CCA5</t>
  </si>
  <si>
    <t>TRP_ALW6</t>
  </si>
  <si>
    <t>O_ALW17</t>
  </si>
  <si>
    <t>Gross Pay</t>
  </si>
  <si>
    <t>PLB</t>
  </si>
  <si>
    <t>PF</t>
  </si>
  <si>
    <t>ESI</t>
  </si>
  <si>
    <t>PT</t>
  </si>
  <si>
    <t>TDS</t>
  </si>
  <si>
    <t>GPAP</t>
  </si>
  <si>
    <t>OTH_DEDS</t>
  </si>
  <si>
    <t>NET_PAY</t>
  </si>
  <si>
    <t>PF Employer Share</t>
  </si>
  <si>
    <t>ESI Employer Share</t>
  </si>
  <si>
    <t>Bonus</t>
  </si>
  <si>
    <t>GRAND TOTAL</t>
  </si>
  <si>
    <t>Dear Dhileep sir Employee ID :490, K. Praneeth Reddy please hold the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</si>
</sst>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 * #,##0.0_ ;_ * \-#,##0.0_ ;_ * &quot;-&quot;??_ ;_ @_ "/>
    <numFmt numFmtId="166" formatCode="_(* #,##0_);_(* \(#,##0\);_(* &quot;-&quot;??_);_(@_)"/>
    <numFmt numFmtId="167" formatCode="[$-14009]dd\-mmm\-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>
      <alignment wrapText="1"/>
    </xf>
  </cellStyleXfs>
  <cellXfs count="73">
    <xf numFmtId="0" fontId="0" fillId="0" borderId="0" xfId="0"/>
    <xf numFmtId="1" fontId="5" fillId="0" borderId="2" xfId="0" applyNumberFormat="1" applyFont="1" applyBorder="1" applyAlignment="1" applyProtection="1">
      <alignment horizontal="center" vertical="center" wrapText="1"/>
      <protection locked="0"/>
    </xf>
    <xf numFmtId="1" fontId="5" fillId="0" borderId="3" xfId="0" applyNumberFormat="1" applyFont="1" applyBorder="1" applyAlignment="1" applyProtection="1">
      <alignment horizontal="center" vertical="center"/>
      <protection locked="0"/>
    </xf>
    <xf numFmtId="1" fontId="5" fillId="0" borderId="3" xfId="0" applyNumberFormat="1" applyFont="1" applyBorder="1" applyAlignment="1" applyProtection="1">
      <alignment horizontal="center" vertical="center" wrapText="1"/>
      <protection locked="0"/>
    </xf>
    <xf numFmtId="15" fontId="5" fillId="0" borderId="3" xfId="0" applyNumberFormat="1" applyFont="1" applyBorder="1" applyAlignment="1" applyProtection="1">
      <alignment horizontal="center" vertical="center"/>
      <protection locked="0"/>
    </xf>
    <xf numFmtId="1" fontId="5" fillId="0" borderId="3" xfId="3" applyNumberFormat="1" applyFont="1" applyFill="1" applyBorder="1" applyAlignment="1" applyProtection="1">
      <alignment horizontal="center" vertical="center" wrapText="1"/>
      <protection locked="0"/>
    </xf>
    <xf numFmtId="164" fontId="5" fillId="0" borderId="3" xfId="0" applyNumberFormat="1" applyFont="1" applyBorder="1" applyAlignment="1" applyProtection="1">
      <alignment horizontal="center" vertical="center" wrapText="1"/>
      <protection hidden="1"/>
    </xf>
    <xf numFmtId="1" fontId="5" fillId="0" borderId="3" xfId="2" applyNumberFormat="1" applyFont="1" applyFill="1" applyBorder="1" applyAlignment="1" applyProtection="1">
      <alignment horizontal="center" vertical="center" wrapText="1"/>
      <protection hidden="1"/>
    </xf>
    <xf numFmtId="1" fontId="5" fillId="0" borderId="3" xfId="0" applyNumberFormat="1" applyFont="1" applyBorder="1" applyAlignment="1" applyProtection="1">
      <alignment horizontal="center" vertical="center"/>
      <protection hidden="1"/>
    </xf>
    <xf numFmtId="1" fontId="5" fillId="0" borderId="3" xfId="0" applyNumberFormat="1" applyFont="1" applyBorder="1" applyAlignment="1" applyProtection="1">
      <alignment horizontal="center" vertical="center" wrapText="1"/>
      <protection hidden="1"/>
    </xf>
    <xf numFmtId="1" fontId="5" fillId="0" borderId="4" xfId="3" applyNumberFormat="1" applyFont="1" applyFill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 wrapText="1"/>
      <protection hidden="1"/>
    </xf>
    <xf numFmtId="1" fontId="5" fillId="0" borderId="6" xfId="0" applyNumberFormat="1" applyFont="1" applyBorder="1" applyAlignment="1" applyProtection="1">
      <alignment horizontal="center" vertical="center" wrapText="1"/>
      <protection hidden="1"/>
    </xf>
    <xf numFmtId="1" fontId="5" fillId="0" borderId="6" xfId="0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1" fontId="6" fillId="0" borderId="7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left" vertical="center" wrapText="1"/>
    </xf>
    <xf numFmtId="1" fontId="6" fillId="0" borderId="8" xfId="0" applyNumberFormat="1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 applyProtection="1">
      <alignment horizontal="center" vertical="center"/>
      <protection hidden="1"/>
    </xf>
    <xf numFmtId="165" fontId="6" fillId="0" borderId="8" xfId="4" applyNumberFormat="1" applyFont="1" applyFill="1" applyBorder="1" applyAlignment="1">
      <alignment horizontal="center" vertical="center"/>
    </xf>
    <xf numFmtId="165" fontId="6" fillId="0" borderId="8" xfId="5" applyNumberFormat="1" applyFont="1" applyFill="1" applyBorder="1" applyAlignment="1" applyProtection="1">
      <alignment horizontal="center" vertical="center"/>
      <protection locked="0"/>
    </xf>
    <xf numFmtId="164" fontId="6" fillId="0" borderId="8" xfId="0" applyNumberFormat="1" applyFont="1" applyBorder="1" applyAlignment="1" applyProtection="1">
      <alignment horizontal="center" vertical="center"/>
      <protection locked="0"/>
    </xf>
    <xf numFmtId="1" fontId="6" fillId="0" borderId="8" xfId="0" applyNumberFormat="1" applyFont="1" applyBorder="1" applyAlignment="1" applyProtection="1">
      <alignment horizontal="center" vertical="center"/>
      <protection hidden="1"/>
    </xf>
    <xf numFmtId="1" fontId="6" fillId="0" borderId="8" xfId="5" applyNumberFormat="1" applyFont="1" applyFill="1" applyBorder="1" applyAlignment="1" applyProtection="1">
      <alignment horizontal="center" vertical="center" wrapText="1"/>
      <protection hidden="1"/>
    </xf>
    <xf numFmtId="1" fontId="6" fillId="0" borderId="8" xfId="0" applyNumberFormat="1" applyFont="1" applyBorder="1" applyAlignment="1" applyProtection="1">
      <alignment horizontal="center" vertical="center"/>
      <protection locked="0"/>
    </xf>
    <xf numFmtId="1" fontId="6" fillId="0" borderId="10" xfId="0" applyNumberFormat="1" applyFont="1" applyBorder="1" applyAlignment="1" applyProtection="1">
      <alignment horizontal="center" vertical="center"/>
      <protection hidden="1"/>
    </xf>
    <xf numFmtId="1" fontId="6" fillId="0" borderId="11" xfId="0" applyNumberFormat="1" applyFont="1" applyBorder="1" applyAlignment="1" applyProtection="1">
      <alignment horizontal="center" vertical="center"/>
      <protection hidden="1"/>
    </xf>
    <xf numFmtId="1" fontId="6" fillId="0" borderId="12" xfId="5" applyNumberFormat="1" applyFont="1" applyFill="1" applyBorder="1" applyAlignment="1" applyProtection="1">
      <alignment horizontal="center" vertical="center" wrapText="1"/>
      <protection hidden="1"/>
    </xf>
    <xf numFmtId="1" fontId="6" fillId="0" borderId="12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/>
      <protection locked="0"/>
    </xf>
    <xf numFmtId="1" fontId="6" fillId="0" borderId="7" xfId="0" applyNumberFormat="1" applyFont="1" applyBorder="1" applyAlignment="1">
      <alignment horizontal="center" vertical="center"/>
    </xf>
    <xf numFmtId="166" fontId="6" fillId="0" borderId="8" xfId="6" applyNumberFormat="1" applyFont="1" applyFill="1" applyBorder="1" applyAlignment="1">
      <alignment horizontal="left" vertical="center" wrapText="1"/>
    </xf>
    <xf numFmtId="1" fontId="6" fillId="0" borderId="9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167" fontId="6" fillId="0" borderId="8" xfId="1" applyNumberFormat="1" applyFont="1" applyFill="1" applyBorder="1" applyAlignment="1">
      <alignment horizontal="left" vertical="center" wrapText="1"/>
    </xf>
    <xf numFmtId="167" fontId="6" fillId="0" borderId="9" xfId="1" applyNumberFormat="1" applyFont="1" applyFill="1" applyBorder="1" applyAlignment="1">
      <alignment horizontal="center" vertical="center" wrapText="1"/>
    </xf>
    <xf numFmtId="167" fontId="6" fillId="0" borderId="8" xfId="0" applyNumberFormat="1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7" fontId="6" fillId="0" borderId="9" xfId="0" applyNumberFormat="1" applyFont="1" applyBorder="1" applyAlignment="1">
      <alignment horizontal="center" vertical="center"/>
    </xf>
    <xf numFmtId="0" fontId="6" fillId="0" borderId="8" xfId="7" applyFont="1" applyBorder="1" applyAlignment="1">
      <alignment vertical="center"/>
    </xf>
    <xf numFmtId="0" fontId="6" fillId="0" borderId="9" xfId="7" applyFont="1" applyBorder="1" applyAlignment="1">
      <alignment horizontal="center" vertical="center"/>
    </xf>
    <xf numFmtId="0" fontId="7" fillId="0" borderId="9" xfId="7" applyBorder="1" applyAlignment="1">
      <alignment vertical="center"/>
    </xf>
    <xf numFmtId="1" fontId="8" fillId="0" borderId="9" xfId="0" applyNumberFormat="1" applyFont="1" applyBorder="1" applyAlignment="1">
      <alignment horizontal="left" vertical="center"/>
    </xf>
    <xf numFmtId="43" fontId="6" fillId="0" borderId="8" xfId="6" applyFont="1" applyFill="1" applyBorder="1" applyAlignment="1">
      <alignment horizontal="left" vertical="center" wrapText="1"/>
    </xf>
    <xf numFmtId="1" fontId="5" fillId="0" borderId="12" xfId="0" applyNumberFormat="1" applyFont="1" applyBorder="1" applyAlignment="1" applyProtection="1">
      <alignment horizontal="center" vertical="center"/>
      <protection hidden="1"/>
    </xf>
    <xf numFmtId="15" fontId="6" fillId="0" borderId="8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 wrapText="1"/>
    </xf>
    <xf numFmtId="0" fontId="6" fillId="0" borderId="8" xfId="1" applyFont="1" applyFill="1" applyBorder="1" applyAlignment="1">
      <alignment horizontal="left" vertical="center" wrapText="1"/>
    </xf>
    <xf numFmtId="167" fontId="6" fillId="0" borderId="8" xfId="0" applyNumberFormat="1" applyFont="1" applyBorder="1" applyAlignment="1">
      <alignment horizontal="left" vertical="center" wrapText="1"/>
    </xf>
    <xf numFmtId="0" fontId="6" fillId="0" borderId="8" xfId="7" applyFont="1" applyBorder="1" applyAlignment="1">
      <alignment horizontal="left" vertical="center" wrapText="1"/>
    </xf>
    <xf numFmtId="167" fontId="6" fillId="0" borderId="8" xfId="7" applyNumberFormat="1" applyFont="1" applyBorder="1" applyAlignment="1">
      <alignment horizontal="left" vertical="center"/>
    </xf>
    <xf numFmtId="43" fontId="6" fillId="0" borderId="8" xfId="6" applyFont="1" applyFill="1" applyBorder="1" applyAlignment="1">
      <alignment vertical="center"/>
    </xf>
    <xf numFmtId="1" fontId="6" fillId="0" borderId="13" xfId="0" applyNumberFormat="1" applyFont="1" applyBorder="1" applyAlignment="1" applyProtection="1">
      <alignment horizontal="center" vertical="center"/>
      <protection hidden="1"/>
    </xf>
    <xf numFmtId="1" fontId="6" fillId="0" borderId="14" xfId="5" applyNumberFormat="1" applyFont="1" applyFill="1" applyBorder="1" applyAlignment="1" applyProtection="1">
      <alignment horizontal="center" vertical="center" wrapText="1"/>
      <protection hidden="1"/>
    </xf>
    <xf numFmtId="1" fontId="6" fillId="0" borderId="14" xfId="0" applyNumberFormat="1" applyFont="1" applyBorder="1" applyAlignment="1" applyProtection="1">
      <alignment horizontal="center" vertical="center"/>
      <protection hidden="1"/>
    </xf>
    <xf numFmtId="0" fontId="5" fillId="0" borderId="15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1" fontId="5" fillId="0" borderId="16" xfId="0" applyNumberFormat="1" applyFont="1" applyBorder="1" applyAlignment="1" applyProtection="1">
      <alignment horizontal="center" vertical="center"/>
      <protection locked="0"/>
    </xf>
    <xf numFmtId="1" fontId="5" fillId="0" borderId="16" xfId="0" applyNumberFormat="1" applyFont="1" applyBorder="1" applyAlignment="1" applyProtection="1">
      <alignment horizontal="left" vertical="center"/>
      <protection locked="0"/>
    </xf>
    <xf numFmtId="167" fontId="5" fillId="0" borderId="16" xfId="0" applyNumberFormat="1" applyFont="1" applyBorder="1" applyAlignment="1" applyProtection="1">
      <alignment horizontal="left" vertical="center"/>
      <protection locked="0"/>
    </xf>
    <xf numFmtId="0" fontId="5" fillId="0" borderId="16" xfId="0" applyFont="1" applyBorder="1" applyAlignment="1" applyProtection="1">
      <alignment vertical="center"/>
      <protection locked="0"/>
    </xf>
    <xf numFmtId="1" fontId="5" fillId="0" borderId="17" xfId="0" applyNumberFormat="1" applyFont="1" applyBorder="1" applyAlignment="1" applyProtection="1">
      <alignment horizontal="center" vertical="center"/>
      <protection locked="0"/>
    </xf>
    <xf numFmtId="1" fontId="5" fillId="0" borderId="13" xfId="0" applyNumberFormat="1" applyFont="1" applyBorder="1" applyAlignment="1" applyProtection="1">
      <alignment horizontal="center" vertical="center"/>
      <protection locked="0"/>
    </xf>
    <xf numFmtId="1" fontId="5" fillId="0" borderId="14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left" vertical="center" wrapText="1"/>
    </xf>
  </cellXfs>
  <cellStyles count="8">
    <cellStyle name="Accent6" xfId="3" builtinId="49"/>
    <cellStyle name="Comma 2" xfId="4" xr:uid="{05DB6412-2C2E-4505-8C7B-D7083A73E25B}"/>
    <cellStyle name="Comma 2 2" xfId="5" xr:uid="{22512BD3-E2E6-48C8-9096-E1DD6103BE4D}"/>
    <cellStyle name="Comma 3" xfId="6" xr:uid="{DA766CDB-F32D-4098-B6B3-4D2EBDCA449B}"/>
    <cellStyle name="Normal" xfId="0" builtinId="0"/>
    <cellStyle name="Normal 28" xfId="7" xr:uid="{EBD39319-864E-4217-8D91-F8DDF6360B51}"/>
    <cellStyle name="Output" xfId="1" builtinId="21"/>
    <cellStyle name="Warning Text" xfId="2" builtinId="11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thin">
          <color auto="1"/>
        </right>
        <top style="dashed">
          <color auto="1"/>
        </top>
        <bottom style="dashed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thin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 * #,##0.0_ ;_ * \-#,##0.0_ ;_ * &quot;-&quot;??_ ;_ @_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 * #,##0.0_ ;_ * \-#,##0.0_ ;_ * &quot;-&quot;??_ ;_ @_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 * #,##0.0_ ;_ * \-#,##0.0_ ;_ * &quot;-&quot;??_ ;_ @_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 * #,##0.0_ ;_ * \-#,##0.0_ ;_ * &quot;-&quot;??_ ;_ @_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 * #,##0.0_ ;_ * \-#,##0.0_ ;_ * &quot;-&quot;??_ ;_ @_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 * #,##0.0_ ;_ * \-#,##0.0_ ;_ * &quot;-&quot;??_ ;_ @_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 * #,##0.0_ ;_ * \-#,##0.0_ ;_ * &quot;-&quot;??_ ;_ @_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[$-14009]dd\-mmm\-yyyy;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[$-14009]dd\-mmm\-yyyy;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dashed">
          <color auto="1"/>
        </right>
        <top style="dashed">
          <color auto="1"/>
        </top>
        <bottom style="thin">
          <color auto="1"/>
        </bottom>
      </border>
      <protection locked="0" hidden="0"/>
    </dxf>
    <dxf>
      <border outline="0">
        <top style="medium">
          <color rgb="FF4472C4"/>
        </top>
        <bottom style="thin">
          <color rgb="FF4472C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protection locked="0" hidden="0"/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48171F-DF2D-4CED-AC09-89EBA66E5C71}" name="Table14" displayName="Table14" ref="A1:AP38" totalsRowCount="1" headerRowDxfId="87" dataDxfId="86" totalsRowDxfId="85" tableBorderDxfId="84">
  <sortState xmlns:xlrd2="http://schemas.microsoft.com/office/spreadsheetml/2017/richdata2" ref="A2:AP36">
    <sortCondition ref="D1:D36"/>
  </sortState>
  <tableColumns count="42">
    <tableColumn id="1" xr3:uid="{42064304-36B2-4711-80FC-C5F7CB2E9C71}" name="Sl.No." dataDxfId="82" totalsRowDxfId="83"/>
    <tableColumn id="2" xr3:uid="{26BB30A5-2AFE-416F-8FF8-7ACA70D3DFC2}" name="YEAR" dataDxfId="80" totalsRowDxfId="81"/>
    <tableColumn id="3" xr3:uid="{6AD298C9-B864-461D-8246-B8DCADD12C98}" name="MONTH" dataDxfId="78" totalsRowDxfId="79"/>
    <tableColumn id="4" xr3:uid="{88CEE7EF-BB40-4909-B313-889A80D46696}" name="EMP ID" dataDxfId="76" totalsRowDxfId="77"/>
    <tableColumn id="5" xr3:uid="{5B00D4AA-9B87-4C45-BFB7-919D791951AA}" name="EMP NAME" totalsRowLabel="GRAND TOTAL" dataDxfId="74" totalsRowDxfId="75" dataCellStyle="Output"/>
    <tableColumn id="6" xr3:uid="{DD1E284E-A078-41B8-9BBA-1C3F63C3DCD5}" name="DEPT" dataDxfId="72" totalsRowDxfId="73"/>
    <tableColumn id="7" xr3:uid="{D347AB92-12F2-44FD-BCEA-7236190E25B1}" name="DESIGNATION" dataDxfId="70" totalsRowDxfId="71"/>
    <tableColumn id="8" xr3:uid="{4B1844F2-B6E1-489F-AA19-714EEF0CC6C2}" name="DOB" dataDxfId="68" totalsRowDxfId="69"/>
    <tableColumn id="9" xr3:uid="{FD8C1C5C-64CF-4BA6-8E55-B3A8587E0EDD}" name="DOJ" dataDxfId="66" totalsRowDxfId="67"/>
    <tableColumn id="10" xr3:uid="{30CDAE7E-6631-47DB-BDDB-50DF0869FE18}" name="Actual CTC Without Loss Of Pay" totalsRowFunction="sum" dataDxfId="64" totalsRowDxfId="65"/>
    <tableColumn id="11" xr3:uid="{C2474DD1-E56B-4C31-8F04-85530D0180C9}" name="LOP CTC" totalsRowFunction="sum" dataDxfId="62" totalsRowDxfId="63">
      <calculatedColumnFormula>AE2+AN2+AO2+AP2</calculatedColumnFormula>
    </tableColumn>
    <tableColumn id="12" xr3:uid="{40BF16F7-5D20-4295-BCDB-10E54F0D4821}" name="Total Days" totalsRowFunction="sum" dataDxfId="60" totalsRowDxfId="61" dataCellStyle="Comma 2"/>
    <tableColumn id="13" xr3:uid="{BBCD56BE-D9EC-4A86-8869-1E54DE7609D5}" name="Days Worked" totalsRowFunction="sum" dataDxfId="58" totalsRowDxfId="59" dataCellStyle="Comma 2"/>
    <tableColumn id="14" xr3:uid="{C3B4AE24-AA19-49C6-B528-F53CD0F085FF}" name="AL" totalsRowFunction="sum" dataDxfId="56" totalsRowDxfId="57" dataCellStyle="Comma 2"/>
    <tableColumn id="15" xr3:uid="{4707200B-9380-4A4A-AFB1-766AD4B23997}" name="PL" totalsRowFunction="sum" dataDxfId="54" totalsRowDxfId="55" dataCellStyle="Comma 2"/>
    <tableColumn id="16" xr3:uid="{0AACE7F3-DFBF-4F3D-ADF6-1F5B93D90B82}" name="BL/ML" totalsRowFunction="sum" dataDxfId="52" totalsRowDxfId="53" dataCellStyle="Comma 2"/>
    <tableColumn id="17" xr3:uid="{C11C6008-1D5C-445E-81B9-EF907F3FA080}" name="LOP" totalsRowFunction="sum" dataDxfId="50" totalsRowDxfId="51" dataCellStyle="Comma 2 2">
      <calculatedColumnFormula>Table14[[#This Row],[Total Days]]-Table14[[#This Row],[Days Worked]]-Table14[[#This Row],[AL]]-Table14[[#This Row],[PL]]-Table14[[#This Row],[BL/ML]]</calculatedColumnFormula>
    </tableColumn>
    <tableColumn id="18" xr3:uid="{DF16E283-471B-4652-A567-B8B8375B7A66}" name="Days Paid" totalsRowFunction="sum" dataDxfId="48" totalsRowDxfId="49">
      <calculatedColumnFormula>L2-Q2</calculatedColumnFormula>
    </tableColumn>
    <tableColumn id="19" xr3:uid="{D98D6B2A-9EA3-4DD3-A593-A162BB4B4549}" name="CONSILE SALARY" totalsRowFunction="sum" dataDxfId="46" totalsRowDxfId="47">
      <calculatedColumnFormula>IF(J2&lt;15285,J2/1.1758,IF(AND(J2&lt;23758,J2&gt;=15285),J2/1.1638,IF(AND(J2&gt;=23758,J2&lt;34299),J2/1.1313,IF(J2&gt;=34299,(J2-1800)/1.0833,"Error"))))</calculatedColumnFormula>
    </tableColumn>
    <tableColumn id="20" xr3:uid="{0397BC17-79AF-48CD-AB39-272C484DD872}" name="BASIC" totalsRowFunction="sum" dataDxfId="44" totalsRowDxfId="45">
      <calculatedColumnFormula>IF(S2&gt;=30000,15000,IF(AND(S2&lt;30000,S2&gt;13000),S2*40%,IF(S2&lt;13000,S2*50%,"Error")))</calculatedColumnFormula>
    </tableColumn>
    <tableColumn id="21" xr3:uid="{87D48034-F53B-414F-943A-4423B062A78B}" name="HRA" totalsRowFunction="sum" dataDxfId="42" totalsRowDxfId="43">
      <calculatedColumnFormula>T2*40%</calculatedColumnFormula>
    </tableColumn>
    <tableColumn id="22" xr3:uid="{E2D90742-9EB3-4D01-BC82-46F6C2A6EC5A}" name="CCA" totalsRowFunction="sum" dataDxfId="40" totalsRowDxfId="41"/>
    <tableColumn id="23" xr3:uid="{8D7FAC0F-76E7-410B-B413-514DEF4D1EBD}" name="TRP_ALW" totalsRowFunction="sum" dataDxfId="38" totalsRowDxfId="39"/>
    <tableColumn id="24" xr3:uid="{4B61D447-773B-4949-8413-25C56F5FA966}" name="O_ALW1" totalsRowFunction="sum" dataDxfId="36" totalsRowDxfId="37">
      <calculatedColumnFormula>S2-T2-U2-V2-W2</calculatedColumnFormula>
    </tableColumn>
    <tableColumn id="25" xr3:uid="{AD3960BC-2BFD-4897-B22D-6C1457665C19}" name="LOP2" totalsRowFunction="sum" dataDxfId="34" totalsRowDxfId="35">
      <calculatedColumnFormula>S2/L2*Q2</calculatedColumnFormula>
    </tableColumn>
    <tableColumn id="26" xr3:uid="{1F19CB44-4333-4991-B928-87043F9BEF0D}" name="BASIC3" totalsRowFunction="sum" dataDxfId="32" totalsRowDxfId="33">
      <calculatedColumnFormula>T2/L2*R2</calculatedColumnFormula>
    </tableColumn>
    <tableColumn id="27" xr3:uid="{D95AA12B-4910-42B4-AC57-7F73E4C7F0CE}" name="HRA4" totalsRowFunction="sum" dataDxfId="30" totalsRowDxfId="31">
      <calculatedColumnFormula>U2/L2*R2</calculatedColumnFormula>
    </tableColumn>
    <tableColumn id="28" xr3:uid="{2A2D356D-3D69-45BE-A9AC-0FE0EED08B44}" name="CCA5" totalsRowFunction="sum" dataDxfId="28" totalsRowDxfId="29">
      <calculatedColumnFormula>V2/L2*R2</calculatedColumnFormula>
    </tableColumn>
    <tableColumn id="29" xr3:uid="{58EDBE8A-8E8B-4B2D-8AE1-779D53FBF819}" name="TRP_ALW6" totalsRowFunction="sum" dataDxfId="26" totalsRowDxfId="27">
      <calculatedColumnFormula>W2/L2*R2</calculatedColumnFormula>
    </tableColumn>
    <tableColumn id="30" xr3:uid="{5827C686-268D-4894-8373-BD7FC7FE9D9C}" name="O_ALW17" totalsRowFunction="sum" dataDxfId="24" totalsRowDxfId="25">
      <calculatedColumnFormula>X2/L2*R2</calculatedColumnFormula>
    </tableColumn>
    <tableColumn id="31" xr3:uid="{B911341A-2C4C-4AF1-85CE-9D7C41F03248}" name="Gross Pay" totalsRowFunction="sum" dataDxfId="22" totalsRowDxfId="23">
      <calculatedColumnFormula>SUM(Z2:AD2)</calculatedColumnFormula>
    </tableColumn>
    <tableColumn id="32" xr3:uid="{5A739616-85EC-43A3-BA03-24F816BFB649}" name="PLB" totalsRowFunction="sum" dataDxfId="20" totalsRowDxfId="21"/>
    <tableColumn id="33" xr3:uid="{99203D77-81F4-4167-9A53-E7679A4FE581}" name="PF" totalsRowFunction="sum" dataDxfId="18" totalsRowDxfId="19">
      <calculatedColumnFormula>Z2*12/100</calculatedColumnFormula>
    </tableColumn>
    <tableColumn id="34" xr3:uid="{984474C9-4C98-4D55-AB08-892F105EEB94}" name="ESI" totalsRowFunction="sum" dataDxfId="16" totalsRowDxfId="17">
      <calculatedColumnFormula>IF(S2&gt;21000,0,(AE2+AF2)*0.75%)</calculatedColumnFormula>
    </tableColumn>
    <tableColumn id="35" xr3:uid="{5EF82ABD-CFEC-460C-9920-5AB15813D858}" name="PT" totalsRowFunction="sum" dataDxfId="14" totalsRowDxfId="15" dataCellStyle="Comma 2 2">
      <calculatedColumnFormula>IF(AE2&gt;20000,200,IF(AE2&gt;15000,150,))</calculatedColumnFormula>
    </tableColumn>
    <tableColumn id="36" xr3:uid="{B1287156-4EA0-48B4-8D5A-1503F0C27E4A}" name="TDS" totalsRowFunction="sum" dataDxfId="12" totalsRowDxfId="13"/>
    <tableColumn id="37" xr3:uid="{B3A2EF59-61D7-4322-AC5D-FA976B1A6BDC}" name="GPAP" totalsRowFunction="sum" dataDxfId="10" totalsRowDxfId="11">
      <calculatedColumnFormula>S2*12*5*0.12/100/12</calculatedColumnFormula>
    </tableColumn>
    <tableColumn id="38" xr3:uid="{8F90AD13-7582-4434-986D-B3F70E4C0625}" name="OTH_DEDS" totalsRowFunction="sum" dataDxfId="8" totalsRowDxfId="9" dataCellStyle="Comma 3"/>
    <tableColumn id="39" xr3:uid="{1520896C-A89D-4EE7-99C6-76D81A03C0C7}" name="NET_PAY" totalsRowFunction="sum" dataDxfId="6" totalsRowDxfId="7">
      <calculatedColumnFormula>AE2+AF2-AG2-AH2-AI2-AJ2-AL2-AK2</calculatedColumnFormula>
    </tableColumn>
    <tableColumn id="40" xr3:uid="{DFADAE84-A087-470D-B245-1798E227E37C}" name="PF Employer Share" totalsRowFunction="sum" dataDxfId="4" totalsRowDxfId="5">
      <calculatedColumnFormula>Z2*12/100</calculatedColumnFormula>
    </tableColumn>
    <tableColumn id="41" xr3:uid="{ADC96F5F-552A-42AB-9AF3-29DB6E99513E}" name="ESI Employer Share" totalsRowFunction="sum" dataDxfId="2" totalsRowDxfId="3" dataCellStyle="Comma 2 2">
      <calculatedColumnFormula>IF(S2&gt;21000,0,(AE2+AF2)*3.25%)</calculatedColumnFormula>
    </tableColumn>
    <tableColumn id="42" xr3:uid="{F31EDBDD-D728-477B-AFA0-9C27FDBE7629}" name="Bonus" totalsRowFunction="sum" dataDxfId="0" totalsRowDxfId="1">
      <calculatedColumnFormula>AE2*8.33/100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6AFBF-F933-4985-B14C-946EF6C107B3}">
  <sheetPr>
    <tabColor theme="7"/>
  </sheetPr>
  <dimension ref="A1:AP46"/>
  <sheetViews>
    <sheetView tabSelected="1" topLeftCell="I1" zoomScale="70" zoomScaleNormal="70" workbookViewId="0">
      <pane ySplit="1" topLeftCell="A17" activePane="bottomLeft" state="frozen"/>
      <selection activeCell="S3" sqref="S3"/>
      <selection pane="bottomLeft" activeCell="AG21" sqref="AG21"/>
    </sheetView>
  </sheetViews>
  <sheetFormatPr defaultColWidth="8.85546875" defaultRowHeight="15" x14ac:dyDescent="0.25"/>
  <cols>
    <col min="1" max="1" width="5.28515625" style="33" customWidth="1"/>
    <col min="2" max="2" width="5.28515625" style="33" hidden="1" customWidth="1"/>
    <col min="3" max="3" width="5.28515625" style="33" customWidth="1"/>
    <col min="4" max="4" width="7.85546875" style="33" customWidth="1"/>
    <col min="5" max="5" width="18.7109375" style="70" bestFit="1" customWidth="1"/>
    <col min="6" max="6" width="13.85546875" style="33" bestFit="1" customWidth="1"/>
    <col min="7" max="7" width="22.42578125" style="70" bestFit="1" customWidth="1"/>
    <col min="8" max="8" width="13.85546875" style="70" bestFit="1" customWidth="1"/>
    <col min="9" max="9" width="14.5703125" style="33" bestFit="1" customWidth="1"/>
    <col min="10" max="10" width="15.28515625" style="33" bestFit="1" customWidth="1"/>
    <col min="11" max="11" width="14" style="71" customWidth="1"/>
    <col min="12" max="12" width="9.42578125" style="33" customWidth="1"/>
    <col min="13" max="13" width="7" style="33" customWidth="1"/>
    <col min="14" max="14" width="7.5703125" style="33" customWidth="1"/>
    <col min="15" max="15" width="7.140625" style="33" customWidth="1"/>
    <col min="16" max="16" width="7.42578125" style="33" customWidth="1"/>
    <col min="17" max="17" width="7.28515625" style="33" customWidth="1"/>
    <col min="18" max="18" width="8.28515625" style="14" customWidth="1"/>
    <col min="19" max="19" width="11.42578125" style="71" bestFit="1" customWidth="1"/>
    <col min="20" max="20" width="10.28515625" style="71" hidden="1" customWidth="1"/>
    <col min="21" max="21" width="9.5703125" style="71" hidden="1" customWidth="1"/>
    <col min="22" max="22" width="8.5703125" style="71" hidden="1" customWidth="1"/>
    <col min="23" max="23" width="13" style="71" hidden="1" customWidth="1"/>
    <col min="24" max="24" width="11.140625" style="71" hidden="1" customWidth="1"/>
    <col min="25" max="25" width="8.5703125" style="71" bestFit="1" customWidth="1"/>
    <col min="26" max="26" width="10.28515625" style="71" bestFit="1" customWidth="1"/>
    <col min="27" max="27" width="8.5703125" style="71" hidden="1" customWidth="1"/>
    <col min="28" max="29" width="8.85546875" style="71" hidden="1" customWidth="1"/>
    <col min="30" max="30" width="10.140625" style="71" hidden="1" customWidth="1"/>
    <col min="31" max="31" width="11.42578125" style="71" customWidth="1"/>
    <col min="32" max="32" width="6.42578125" style="71" hidden="1" customWidth="1"/>
    <col min="33" max="33" width="8.5703125" style="71" bestFit="1" customWidth="1"/>
    <col min="34" max="35" width="7" style="71" customWidth="1"/>
    <col min="36" max="36" width="8.7109375" style="71" customWidth="1"/>
    <col min="37" max="37" width="8.5703125" style="71" bestFit="1" customWidth="1"/>
    <col min="38" max="38" width="7.85546875" style="71" customWidth="1"/>
    <col min="39" max="39" width="11.5703125" style="71" customWidth="1"/>
    <col min="40" max="41" width="15.28515625" style="71" bestFit="1" customWidth="1"/>
    <col min="42" max="42" width="12.42578125" style="71" bestFit="1" customWidth="1"/>
    <col min="43" max="16384" width="8.85546875" style="33"/>
  </cols>
  <sheetData>
    <row r="1" spans="1:42" s="14" customFormat="1" ht="49.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9" t="s">
        <v>37</v>
      </c>
      <c r="AM1" s="10" t="s">
        <v>38</v>
      </c>
      <c r="AN1" s="11" t="s">
        <v>39</v>
      </c>
      <c r="AO1" s="12" t="s">
        <v>40</v>
      </c>
      <c r="AP1" s="13" t="s">
        <v>41</v>
      </c>
    </row>
    <row r="2" spans="1:42" ht="36.75" customHeight="1" x14ac:dyDescent="0.25">
      <c r="A2" s="15">
        <v>1</v>
      </c>
      <c r="B2" s="16">
        <v>2025</v>
      </c>
      <c r="C2" s="16">
        <v>4</v>
      </c>
      <c r="D2" s="17">
        <v>199</v>
      </c>
      <c r="E2" s="18"/>
      <c r="F2" s="19"/>
      <c r="G2" s="19"/>
      <c r="H2" s="16"/>
      <c r="I2" s="20"/>
      <c r="J2" s="21">
        <v>128878</v>
      </c>
      <c r="K2" s="22">
        <f t="shared" ref="K2:K37" si="0">AE2+AN2+AO2+AP2</f>
        <v>128878</v>
      </c>
      <c r="L2" s="23">
        <v>31</v>
      </c>
      <c r="M2" s="23">
        <v>31</v>
      </c>
      <c r="N2" s="23">
        <v>0</v>
      </c>
      <c r="O2" s="23">
        <v>0</v>
      </c>
      <c r="P2" s="23">
        <v>0</v>
      </c>
      <c r="Q2" s="24">
        <f>Table14[[#This Row],[Total Days]]-Table14[[#This Row],[Days Worked]]-Table14[[#This Row],[AL]]-Table14[[#This Row],[PL]]-Table14[[#This Row],[BL/ML]]</f>
        <v>0</v>
      </c>
      <c r="R2" s="25">
        <f t="shared" ref="R2:R37" si="1">L2-Q2</f>
        <v>31</v>
      </c>
      <c r="S2" s="22">
        <f t="shared" ref="S2:S18" si="2">IF(J2&lt;15285,J2/1.1758,IF(AND(J2&lt;23758,J2&gt;=15285),J2/1.1638,IF(AND(J2&gt;=23758,J2&lt;34299),J2/1.1313,IF(J2&gt;=34299,(J2-1800)/1.0833,"Error"))))</f>
        <v>117306.37865780486</v>
      </c>
      <c r="T2" s="26">
        <f t="shared" ref="T2:T37" si="3">IF(S2&gt;=30000,15000,IF(AND(S2&lt;30000,S2&gt;13000),S2*40%,IF(S2&lt;13000,S2*50%,"Error")))</f>
        <v>15000</v>
      </c>
      <c r="U2" s="26">
        <f t="shared" ref="U2:U37" si="4">T2*40%</f>
        <v>6000</v>
      </c>
      <c r="V2" s="26">
        <v>1000</v>
      </c>
      <c r="W2" s="26">
        <v>1600</v>
      </c>
      <c r="X2" s="26">
        <f t="shared" ref="X2:X37" si="5">S2-T2-U2-V2-W2</f>
        <v>93706.37865780486</v>
      </c>
      <c r="Y2" s="26">
        <f t="shared" ref="Y2:Y37" si="6">S2/L2*Q2</f>
        <v>0</v>
      </c>
      <c r="Z2" s="26">
        <f t="shared" ref="Z2:Z37" si="7">T2/L2*R2</f>
        <v>15000</v>
      </c>
      <c r="AA2" s="26">
        <f t="shared" ref="AA2:AA37" si="8">U2/L2*R2</f>
        <v>6000</v>
      </c>
      <c r="AB2" s="26">
        <f t="shared" ref="AB2:AB37" si="9">V2/L2*R2</f>
        <v>1000</v>
      </c>
      <c r="AC2" s="26">
        <f t="shared" ref="AC2:AC37" si="10">W2/L2*R2</f>
        <v>1600</v>
      </c>
      <c r="AD2" s="26">
        <f t="shared" ref="AD2:AD37" si="11">X2/L2*R2</f>
        <v>93706.37865780486</v>
      </c>
      <c r="AE2" s="26">
        <f t="shared" ref="AE2:AE37" si="12">SUM(Z2:AD2)</f>
        <v>117306.37865780486</v>
      </c>
      <c r="AF2" s="26">
        <v>0</v>
      </c>
      <c r="AG2" s="26">
        <f t="shared" ref="AG2:AG18" si="13">Z2*12/100</f>
        <v>1800</v>
      </c>
      <c r="AH2" s="26">
        <f t="shared" ref="AH2:AH37" si="14">IF(S2&gt;21000,0,(AE2+AF2)*0.75%)</f>
        <v>0</v>
      </c>
      <c r="AI2" s="27">
        <f t="shared" ref="AI2:AI18" si="15">IF(AE2&gt;20000,200,IF(AE2&gt;15000,150,))</f>
        <v>200</v>
      </c>
      <c r="AJ2" s="26">
        <v>0</v>
      </c>
      <c r="AK2" s="26">
        <f t="shared" ref="AK2:AK37" si="16">S2*12*5*0.12/100/12</f>
        <v>703.83827194682908</v>
      </c>
      <c r="AL2" s="28">
        <v>500</v>
      </c>
      <c r="AM2" s="29">
        <f t="shared" ref="AM2:AM37" si="17">AE2+AF2-AG2-AH2-AI2-AJ2-AL2-AK2</f>
        <v>114102.54038585802</v>
      </c>
      <c r="AN2" s="30">
        <f t="shared" ref="AN2:AN18" si="18">Z2*12/100</f>
        <v>1800</v>
      </c>
      <c r="AO2" s="31">
        <f t="shared" ref="AO2:AO18" si="19">IF(S2&gt;21000,0,(AE2+AF2)*3.25%)</f>
        <v>0</v>
      </c>
      <c r="AP2" s="32">
        <f t="shared" ref="AP2:AP18" si="20">AE2*8.33/100</f>
        <v>9771.6213421951452</v>
      </c>
    </row>
    <row r="3" spans="1:42" ht="36.75" customHeight="1" x14ac:dyDescent="0.25">
      <c r="A3" s="34">
        <v>2</v>
      </c>
      <c r="B3" s="16">
        <v>2025</v>
      </c>
      <c r="C3" s="16">
        <v>4</v>
      </c>
      <c r="D3" s="17">
        <v>199</v>
      </c>
      <c r="E3" s="35"/>
      <c r="F3" s="19"/>
      <c r="G3" s="19"/>
      <c r="H3" s="19"/>
      <c r="I3" s="36"/>
      <c r="J3" s="21">
        <v>70294</v>
      </c>
      <c r="K3" s="22">
        <f t="shared" si="0"/>
        <v>70294</v>
      </c>
      <c r="L3" s="23">
        <v>31</v>
      </c>
      <c r="M3" s="23">
        <v>29</v>
      </c>
      <c r="N3" s="23">
        <v>2</v>
      </c>
      <c r="O3" s="23">
        <v>0</v>
      </c>
      <c r="P3" s="23">
        <v>0</v>
      </c>
      <c r="Q3" s="24">
        <f>Table14[[#This Row],[Total Days]]-Table14[[#This Row],[Days Worked]]-Table14[[#This Row],[AL]]-Table14[[#This Row],[PL]]-Table14[[#This Row],[BL/ML]]</f>
        <v>0</v>
      </c>
      <c r="R3" s="25">
        <f t="shared" si="1"/>
        <v>31</v>
      </c>
      <c r="S3" s="22">
        <f t="shared" si="2"/>
        <v>63227.176220806796</v>
      </c>
      <c r="T3" s="26">
        <f t="shared" si="3"/>
        <v>15000</v>
      </c>
      <c r="U3" s="26">
        <f t="shared" si="4"/>
        <v>6000</v>
      </c>
      <c r="V3" s="26">
        <v>1000</v>
      </c>
      <c r="W3" s="26">
        <v>1600</v>
      </c>
      <c r="X3" s="26">
        <f t="shared" si="5"/>
        <v>39627.176220806796</v>
      </c>
      <c r="Y3" s="26">
        <f t="shared" si="6"/>
        <v>0</v>
      </c>
      <c r="Z3" s="26">
        <f t="shared" si="7"/>
        <v>15000</v>
      </c>
      <c r="AA3" s="26">
        <f t="shared" si="8"/>
        <v>6000</v>
      </c>
      <c r="AB3" s="26">
        <f t="shared" si="9"/>
        <v>1000</v>
      </c>
      <c r="AC3" s="26">
        <f t="shared" si="10"/>
        <v>1600</v>
      </c>
      <c r="AD3" s="26">
        <f t="shared" si="11"/>
        <v>39627.176220806796</v>
      </c>
      <c r="AE3" s="26">
        <f t="shared" si="12"/>
        <v>63227.176220806796</v>
      </c>
      <c r="AF3" s="26">
        <v>0</v>
      </c>
      <c r="AG3" s="26">
        <f t="shared" si="13"/>
        <v>1800</v>
      </c>
      <c r="AH3" s="26">
        <f t="shared" si="14"/>
        <v>0</v>
      </c>
      <c r="AI3" s="27">
        <f t="shared" si="15"/>
        <v>200</v>
      </c>
      <c r="AJ3" s="26">
        <v>0</v>
      </c>
      <c r="AK3" s="26">
        <f t="shared" si="16"/>
        <v>379.36305732484078</v>
      </c>
      <c r="AL3" s="28">
        <v>500</v>
      </c>
      <c r="AM3" s="29">
        <f t="shared" si="17"/>
        <v>60347.813163481958</v>
      </c>
      <c r="AN3" s="30">
        <f t="shared" si="18"/>
        <v>1800</v>
      </c>
      <c r="AO3" s="31">
        <f t="shared" si="19"/>
        <v>0</v>
      </c>
      <c r="AP3" s="32">
        <f t="shared" si="20"/>
        <v>5266.8237791932061</v>
      </c>
    </row>
    <row r="4" spans="1:42" ht="36.75" customHeight="1" x14ac:dyDescent="0.25">
      <c r="A4" s="15">
        <v>3</v>
      </c>
      <c r="B4" s="16">
        <v>2025</v>
      </c>
      <c r="C4" s="16">
        <v>4</v>
      </c>
      <c r="D4" s="17">
        <v>199</v>
      </c>
      <c r="E4" s="35"/>
      <c r="F4" s="19"/>
      <c r="G4" s="19"/>
      <c r="H4" s="37"/>
      <c r="I4" s="36"/>
      <c r="J4" s="21">
        <v>50533</v>
      </c>
      <c r="K4" s="22">
        <f t="shared" si="0"/>
        <v>50533.000000000007</v>
      </c>
      <c r="L4" s="23">
        <v>31</v>
      </c>
      <c r="M4" s="23">
        <v>31</v>
      </c>
      <c r="N4" s="23">
        <v>0</v>
      </c>
      <c r="O4" s="23">
        <v>0</v>
      </c>
      <c r="P4" s="23">
        <v>0</v>
      </c>
      <c r="Q4" s="24">
        <f>Table14[[#This Row],[Total Days]]-Table14[[#This Row],[Days Worked]]-Table14[[#This Row],[AL]]-Table14[[#This Row],[PL]]-Table14[[#This Row],[BL/ML]]</f>
        <v>0</v>
      </c>
      <c r="R4" s="25">
        <f t="shared" si="1"/>
        <v>31</v>
      </c>
      <c r="S4" s="22">
        <f t="shared" si="2"/>
        <v>44985.691867442081</v>
      </c>
      <c r="T4" s="26">
        <f t="shared" si="3"/>
        <v>15000</v>
      </c>
      <c r="U4" s="26">
        <f t="shared" si="4"/>
        <v>6000</v>
      </c>
      <c r="V4" s="26">
        <v>1000</v>
      </c>
      <c r="W4" s="26">
        <v>1600</v>
      </c>
      <c r="X4" s="26">
        <f t="shared" si="5"/>
        <v>21385.691867442081</v>
      </c>
      <c r="Y4" s="26">
        <f t="shared" si="6"/>
        <v>0</v>
      </c>
      <c r="Z4" s="26">
        <f t="shared" si="7"/>
        <v>15000</v>
      </c>
      <c r="AA4" s="26">
        <f t="shared" si="8"/>
        <v>6000</v>
      </c>
      <c r="AB4" s="26">
        <f t="shared" si="9"/>
        <v>1000</v>
      </c>
      <c r="AC4" s="26">
        <f t="shared" si="10"/>
        <v>1600</v>
      </c>
      <c r="AD4" s="26">
        <f t="shared" si="11"/>
        <v>21385.691867442081</v>
      </c>
      <c r="AE4" s="26">
        <f t="shared" si="12"/>
        <v>44985.691867442081</v>
      </c>
      <c r="AF4" s="26">
        <v>0</v>
      </c>
      <c r="AG4" s="26">
        <f t="shared" si="13"/>
        <v>1800</v>
      </c>
      <c r="AH4" s="26">
        <f t="shared" si="14"/>
        <v>0</v>
      </c>
      <c r="AI4" s="27">
        <f t="shared" si="15"/>
        <v>200</v>
      </c>
      <c r="AJ4" s="26">
        <v>0</v>
      </c>
      <c r="AK4" s="26">
        <f t="shared" si="16"/>
        <v>269.91415120465246</v>
      </c>
      <c r="AL4" s="28">
        <v>500</v>
      </c>
      <c r="AM4" s="29">
        <f t="shared" si="17"/>
        <v>42215.777716237426</v>
      </c>
      <c r="AN4" s="30">
        <f t="shared" si="18"/>
        <v>1800</v>
      </c>
      <c r="AO4" s="31">
        <f t="shared" si="19"/>
        <v>0</v>
      </c>
      <c r="AP4" s="32">
        <f t="shared" si="20"/>
        <v>3747.3081325579255</v>
      </c>
    </row>
    <row r="5" spans="1:42" ht="36.75" customHeight="1" x14ac:dyDescent="0.25">
      <c r="A5" s="34">
        <v>4</v>
      </c>
      <c r="B5" s="16">
        <v>2025</v>
      </c>
      <c r="C5" s="16">
        <v>4</v>
      </c>
      <c r="D5" s="17">
        <v>199</v>
      </c>
      <c r="E5" s="38"/>
      <c r="F5" s="19"/>
      <c r="G5" s="19"/>
      <c r="H5" s="37"/>
      <c r="I5" s="36"/>
      <c r="J5" s="21">
        <v>36497</v>
      </c>
      <c r="K5" s="22">
        <f t="shared" si="0"/>
        <v>36497.000000000007</v>
      </c>
      <c r="L5" s="23">
        <v>31</v>
      </c>
      <c r="M5" s="23">
        <v>28</v>
      </c>
      <c r="N5" s="23">
        <v>3</v>
      </c>
      <c r="O5" s="23">
        <v>0</v>
      </c>
      <c r="P5" s="23">
        <v>0</v>
      </c>
      <c r="Q5" s="24">
        <f>Table14[[#This Row],[Total Days]]-Table14[[#This Row],[Days Worked]]-Table14[[#This Row],[AL]]-Table14[[#This Row],[PL]]-Table14[[#This Row],[BL/ML]]</f>
        <v>0</v>
      </c>
      <c r="R5" s="25">
        <f t="shared" si="1"/>
        <v>31</v>
      </c>
      <c r="S5" s="22">
        <f t="shared" si="2"/>
        <v>32028.98550724638</v>
      </c>
      <c r="T5" s="26">
        <f t="shared" si="3"/>
        <v>15000</v>
      </c>
      <c r="U5" s="26">
        <f t="shared" si="4"/>
        <v>6000</v>
      </c>
      <c r="V5" s="26">
        <v>1000</v>
      </c>
      <c r="W5" s="26">
        <v>1600</v>
      </c>
      <c r="X5" s="26">
        <f t="shared" si="5"/>
        <v>8428.9855072463797</v>
      </c>
      <c r="Y5" s="26">
        <f t="shared" si="6"/>
        <v>0</v>
      </c>
      <c r="Z5" s="26">
        <f t="shared" si="7"/>
        <v>15000</v>
      </c>
      <c r="AA5" s="26">
        <f t="shared" si="8"/>
        <v>6000</v>
      </c>
      <c r="AB5" s="26">
        <f t="shared" si="9"/>
        <v>1000</v>
      </c>
      <c r="AC5" s="26">
        <f t="shared" si="10"/>
        <v>1600</v>
      </c>
      <c r="AD5" s="26">
        <f t="shared" si="11"/>
        <v>8428.9855072463797</v>
      </c>
      <c r="AE5" s="26">
        <f t="shared" si="12"/>
        <v>32028.98550724638</v>
      </c>
      <c r="AF5" s="26">
        <v>0</v>
      </c>
      <c r="AG5" s="26">
        <f t="shared" si="13"/>
        <v>1800</v>
      </c>
      <c r="AH5" s="26">
        <f t="shared" si="14"/>
        <v>0</v>
      </c>
      <c r="AI5" s="27">
        <f t="shared" si="15"/>
        <v>200</v>
      </c>
      <c r="AJ5" s="26">
        <v>0</v>
      </c>
      <c r="AK5" s="26">
        <f t="shared" si="16"/>
        <v>192.17391304347825</v>
      </c>
      <c r="AL5" s="28">
        <v>500</v>
      </c>
      <c r="AM5" s="29">
        <f t="shared" si="17"/>
        <v>29336.8115942029</v>
      </c>
      <c r="AN5" s="30">
        <f t="shared" si="18"/>
        <v>1800</v>
      </c>
      <c r="AO5" s="31">
        <f t="shared" si="19"/>
        <v>0</v>
      </c>
      <c r="AP5" s="32">
        <f t="shared" si="20"/>
        <v>2668.0144927536235</v>
      </c>
    </row>
    <row r="6" spans="1:42" ht="36.75" customHeight="1" x14ac:dyDescent="0.25">
      <c r="A6" s="15">
        <v>5</v>
      </c>
      <c r="B6" s="16">
        <v>2025</v>
      </c>
      <c r="C6" s="16">
        <v>4</v>
      </c>
      <c r="D6" s="17">
        <v>199</v>
      </c>
      <c r="E6" s="38"/>
      <c r="F6" s="19"/>
      <c r="G6" s="19"/>
      <c r="H6" s="37"/>
      <c r="I6" s="36"/>
      <c r="J6" s="21">
        <v>32680</v>
      </c>
      <c r="K6" s="22">
        <f t="shared" si="0"/>
        <v>32680</v>
      </c>
      <c r="L6" s="23">
        <v>31</v>
      </c>
      <c r="M6" s="23">
        <v>30</v>
      </c>
      <c r="N6" s="23">
        <v>1</v>
      </c>
      <c r="O6" s="23">
        <v>0</v>
      </c>
      <c r="P6" s="23">
        <v>0</v>
      </c>
      <c r="Q6" s="24">
        <f>Table14[[#This Row],[Total Days]]-Table14[[#This Row],[Days Worked]]-Table14[[#This Row],[AL]]-Table14[[#This Row],[PL]]-Table14[[#This Row],[BL/ML]]</f>
        <v>0</v>
      </c>
      <c r="R6" s="25">
        <f t="shared" si="1"/>
        <v>31</v>
      </c>
      <c r="S6" s="22">
        <f t="shared" si="2"/>
        <v>28887.121011226023</v>
      </c>
      <c r="T6" s="26">
        <f t="shared" si="3"/>
        <v>11554.848404490411</v>
      </c>
      <c r="U6" s="26">
        <f t="shared" si="4"/>
        <v>4621.9393617961641</v>
      </c>
      <c r="V6" s="26">
        <v>1000</v>
      </c>
      <c r="W6" s="26">
        <v>1600</v>
      </c>
      <c r="X6" s="26">
        <f t="shared" si="5"/>
        <v>10110.333244939447</v>
      </c>
      <c r="Y6" s="26">
        <f t="shared" si="6"/>
        <v>0</v>
      </c>
      <c r="Z6" s="26">
        <f t="shared" si="7"/>
        <v>11554.848404490411</v>
      </c>
      <c r="AA6" s="26">
        <f t="shared" si="8"/>
        <v>4621.9393617961641</v>
      </c>
      <c r="AB6" s="26">
        <f t="shared" si="9"/>
        <v>1000</v>
      </c>
      <c r="AC6" s="26">
        <f t="shared" si="10"/>
        <v>1600</v>
      </c>
      <c r="AD6" s="26">
        <f t="shared" si="11"/>
        <v>10110.333244939447</v>
      </c>
      <c r="AE6" s="26">
        <f t="shared" si="12"/>
        <v>28887.121011226023</v>
      </c>
      <c r="AF6" s="26">
        <v>0</v>
      </c>
      <c r="AG6" s="26">
        <f t="shared" si="13"/>
        <v>1386.5818085388494</v>
      </c>
      <c r="AH6" s="26">
        <f t="shared" si="14"/>
        <v>0</v>
      </c>
      <c r="AI6" s="27">
        <f t="shared" si="15"/>
        <v>200</v>
      </c>
      <c r="AJ6" s="26">
        <v>0</v>
      </c>
      <c r="AK6" s="26">
        <f t="shared" si="16"/>
        <v>173.32272606735611</v>
      </c>
      <c r="AL6" s="28">
        <v>500</v>
      </c>
      <c r="AM6" s="29">
        <f t="shared" si="17"/>
        <v>26627.216476619818</v>
      </c>
      <c r="AN6" s="30">
        <f t="shared" si="18"/>
        <v>1386.5818085388494</v>
      </c>
      <c r="AO6" s="31">
        <f t="shared" si="19"/>
        <v>0</v>
      </c>
      <c r="AP6" s="32">
        <f t="shared" si="20"/>
        <v>2406.2971802351276</v>
      </c>
    </row>
    <row r="7" spans="1:42" ht="36.75" customHeight="1" x14ac:dyDescent="0.25">
      <c r="A7" s="34">
        <v>6</v>
      </c>
      <c r="B7" s="16">
        <v>2025</v>
      </c>
      <c r="C7" s="16">
        <v>4</v>
      </c>
      <c r="D7" s="17">
        <v>199</v>
      </c>
      <c r="E7" s="38"/>
      <c r="F7" s="19"/>
      <c r="G7" s="19"/>
      <c r="H7" s="37"/>
      <c r="I7" s="36"/>
      <c r="J7" s="21">
        <v>31988</v>
      </c>
      <c r="K7" s="22">
        <f t="shared" si="0"/>
        <v>30956.129032258068</v>
      </c>
      <c r="L7" s="23">
        <v>31</v>
      </c>
      <c r="M7" s="23">
        <v>28</v>
      </c>
      <c r="N7" s="23">
        <v>2</v>
      </c>
      <c r="O7" s="23">
        <v>0</v>
      </c>
      <c r="P7" s="23">
        <v>0</v>
      </c>
      <c r="Q7" s="24">
        <f>Table14[[#This Row],[Total Days]]-Table14[[#This Row],[Days Worked]]-Table14[[#This Row],[AL]]-Table14[[#This Row],[PL]]-Table14[[#This Row],[BL/ML]]</f>
        <v>1</v>
      </c>
      <c r="R7" s="25">
        <f t="shared" si="1"/>
        <v>30</v>
      </c>
      <c r="S7" s="22">
        <f t="shared" si="2"/>
        <v>28275.435339874482</v>
      </c>
      <c r="T7" s="26">
        <f t="shared" si="3"/>
        <v>11310.174135949794</v>
      </c>
      <c r="U7" s="26">
        <f t="shared" si="4"/>
        <v>4524.0696543799177</v>
      </c>
      <c r="V7" s="26">
        <v>1000</v>
      </c>
      <c r="W7" s="26">
        <v>1600</v>
      </c>
      <c r="X7" s="26">
        <f t="shared" si="5"/>
        <v>9841.191549544772</v>
      </c>
      <c r="Y7" s="26">
        <f t="shared" si="6"/>
        <v>912.11081741530586</v>
      </c>
      <c r="Z7" s="26">
        <f t="shared" si="7"/>
        <v>10945.329808983672</v>
      </c>
      <c r="AA7" s="26">
        <f t="shared" si="8"/>
        <v>4378.1319235934689</v>
      </c>
      <c r="AB7" s="26">
        <f t="shared" si="9"/>
        <v>967.74193548387098</v>
      </c>
      <c r="AC7" s="26">
        <f t="shared" si="10"/>
        <v>1548.3870967741934</v>
      </c>
      <c r="AD7" s="26">
        <f t="shared" si="11"/>
        <v>9523.7337576239734</v>
      </c>
      <c r="AE7" s="26">
        <f t="shared" si="12"/>
        <v>27363.324522459177</v>
      </c>
      <c r="AF7" s="26">
        <v>0</v>
      </c>
      <c r="AG7" s="26">
        <f t="shared" si="13"/>
        <v>1313.4395770780404</v>
      </c>
      <c r="AH7" s="26">
        <f t="shared" si="14"/>
        <v>0</v>
      </c>
      <c r="AI7" s="27">
        <f t="shared" si="15"/>
        <v>200</v>
      </c>
      <c r="AJ7" s="26">
        <v>0</v>
      </c>
      <c r="AK7" s="26">
        <f t="shared" si="16"/>
        <v>169.65261203924686</v>
      </c>
      <c r="AL7" s="28">
        <v>500</v>
      </c>
      <c r="AM7" s="29">
        <f t="shared" si="17"/>
        <v>25180.23233334189</v>
      </c>
      <c r="AN7" s="30">
        <f t="shared" si="18"/>
        <v>1313.4395770780404</v>
      </c>
      <c r="AO7" s="31">
        <f t="shared" si="19"/>
        <v>0</v>
      </c>
      <c r="AP7" s="32">
        <f t="shared" si="20"/>
        <v>2279.3649327208495</v>
      </c>
    </row>
    <row r="8" spans="1:42" ht="36.75" customHeight="1" x14ac:dyDescent="0.25">
      <c r="A8" s="15">
        <v>7</v>
      </c>
      <c r="B8" s="16">
        <v>2025</v>
      </c>
      <c r="C8" s="16">
        <v>4</v>
      </c>
      <c r="D8" s="17">
        <v>199</v>
      </c>
      <c r="E8" s="38"/>
      <c r="F8" s="19"/>
      <c r="G8" s="19"/>
      <c r="H8" s="39"/>
      <c r="I8" s="40"/>
      <c r="J8" s="21">
        <v>31900</v>
      </c>
      <c r="K8" s="22">
        <f t="shared" si="0"/>
        <v>31900</v>
      </c>
      <c r="L8" s="23">
        <v>31</v>
      </c>
      <c r="M8" s="23">
        <v>30</v>
      </c>
      <c r="N8" s="23">
        <v>1</v>
      </c>
      <c r="O8" s="23">
        <v>0</v>
      </c>
      <c r="P8" s="23">
        <v>0</v>
      </c>
      <c r="Q8" s="24">
        <f>Table14[[#This Row],[Total Days]]-Table14[[#This Row],[Days Worked]]-Table14[[#This Row],[AL]]-Table14[[#This Row],[PL]]-Table14[[#This Row],[BL/ML]]</f>
        <v>0</v>
      </c>
      <c r="R8" s="25">
        <f t="shared" si="1"/>
        <v>31</v>
      </c>
      <c r="S8" s="22">
        <f t="shared" si="2"/>
        <v>28197.648722708389</v>
      </c>
      <c r="T8" s="26">
        <f t="shared" si="3"/>
        <v>11279.059489083356</v>
      </c>
      <c r="U8" s="26">
        <f t="shared" si="4"/>
        <v>4511.6237956333425</v>
      </c>
      <c r="V8" s="26">
        <v>1000</v>
      </c>
      <c r="W8" s="26">
        <v>1600</v>
      </c>
      <c r="X8" s="26">
        <f t="shared" si="5"/>
        <v>9806.9654379916901</v>
      </c>
      <c r="Y8" s="26">
        <f t="shared" si="6"/>
        <v>0</v>
      </c>
      <c r="Z8" s="26">
        <f t="shared" si="7"/>
        <v>11279.059489083356</v>
      </c>
      <c r="AA8" s="26">
        <f t="shared" si="8"/>
        <v>4511.6237956333425</v>
      </c>
      <c r="AB8" s="26">
        <f t="shared" si="9"/>
        <v>1000</v>
      </c>
      <c r="AC8" s="26">
        <f t="shared" si="10"/>
        <v>1600</v>
      </c>
      <c r="AD8" s="26">
        <f t="shared" si="11"/>
        <v>9806.9654379916901</v>
      </c>
      <c r="AE8" s="26">
        <f t="shared" si="12"/>
        <v>28197.648722708389</v>
      </c>
      <c r="AF8" s="26">
        <v>0</v>
      </c>
      <c r="AG8" s="26">
        <f t="shared" si="13"/>
        <v>1353.4871386900027</v>
      </c>
      <c r="AH8" s="26">
        <f t="shared" si="14"/>
        <v>0</v>
      </c>
      <c r="AI8" s="27">
        <f t="shared" si="15"/>
        <v>200</v>
      </c>
      <c r="AJ8" s="26">
        <v>0</v>
      </c>
      <c r="AK8" s="26">
        <f t="shared" si="16"/>
        <v>169.18589233625033</v>
      </c>
      <c r="AL8" s="28">
        <v>500</v>
      </c>
      <c r="AM8" s="29">
        <f t="shared" si="17"/>
        <v>25974.975691682139</v>
      </c>
      <c r="AN8" s="30">
        <f t="shared" si="18"/>
        <v>1353.4871386900027</v>
      </c>
      <c r="AO8" s="31">
        <f t="shared" si="19"/>
        <v>0</v>
      </c>
      <c r="AP8" s="32">
        <f t="shared" si="20"/>
        <v>2348.8641386016088</v>
      </c>
    </row>
    <row r="9" spans="1:42" ht="36.75" customHeight="1" x14ac:dyDescent="0.25">
      <c r="A9" s="34">
        <v>8</v>
      </c>
      <c r="B9" s="16">
        <v>2025</v>
      </c>
      <c r="C9" s="16">
        <v>4</v>
      </c>
      <c r="D9" s="17">
        <v>199</v>
      </c>
      <c r="E9" s="38"/>
      <c r="F9" s="19"/>
      <c r="G9" s="19"/>
      <c r="H9" s="41"/>
      <c r="I9" s="36"/>
      <c r="J9" s="21">
        <v>45000</v>
      </c>
      <c r="K9" s="22">
        <f t="shared" si="0"/>
        <v>45000</v>
      </c>
      <c r="L9" s="23">
        <v>31</v>
      </c>
      <c r="M9" s="23">
        <v>31</v>
      </c>
      <c r="N9" s="23">
        <v>0</v>
      </c>
      <c r="O9" s="23">
        <v>0</v>
      </c>
      <c r="P9" s="23">
        <v>0</v>
      </c>
      <c r="Q9" s="24">
        <f>Table14[[#This Row],[Total Days]]-Table14[[#This Row],[Days Worked]]-Table14[[#This Row],[AL]]-Table14[[#This Row],[PL]]-Table14[[#This Row],[BL/ML]]</f>
        <v>0</v>
      </c>
      <c r="R9" s="25">
        <f t="shared" si="1"/>
        <v>31</v>
      </c>
      <c r="S9" s="22">
        <f t="shared" si="2"/>
        <v>39878.15009692606</v>
      </c>
      <c r="T9" s="26">
        <f t="shared" si="3"/>
        <v>15000</v>
      </c>
      <c r="U9" s="26">
        <f t="shared" si="4"/>
        <v>6000</v>
      </c>
      <c r="V9" s="26">
        <v>1000</v>
      </c>
      <c r="W9" s="26">
        <v>1600</v>
      </c>
      <c r="X9" s="26">
        <f t="shared" si="5"/>
        <v>16278.15009692606</v>
      </c>
      <c r="Y9" s="26">
        <f t="shared" si="6"/>
        <v>0</v>
      </c>
      <c r="Z9" s="26">
        <f t="shared" si="7"/>
        <v>15000</v>
      </c>
      <c r="AA9" s="26">
        <f t="shared" si="8"/>
        <v>6000</v>
      </c>
      <c r="AB9" s="26">
        <f t="shared" si="9"/>
        <v>1000</v>
      </c>
      <c r="AC9" s="26">
        <f t="shared" si="10"/>
        <v>1600</v>
      </c>
      <c r="AD9" s="26">
        <f t="shared" si="11"/>
        <v>16278.150096926058</v>
      </c>
      <c r="AE9" s="26">
        <f t="shared" si="12"/>
        <v>39878.15009692606</v>
      </c>
      <c r="AF9" s="26">
        <v>0</v>
      </c>
      <c r="AG9" s="26">
        <f t="shared" si="13"/>
        <v>1800</v>
      </c>
      <c r="AH9" s="26">
        <f t="shared" si="14"/>
        <v>0</v>
      </c>
      <c r="AI9" s="27">
        <f t="shared" si="15"/>
        <v>200</v>
      </c>
      <c r="AJ9" s="26">
        <v>0</v>
      </c>
      <c r="AK9" s="26">
        <f t="shared" si="16"/>
        <v>239.26890058155638</v>
      </c>
      <c r="AL9" s="28">
        <v>500</v>
      </c>
      <c r="AM9" s="29">
        <f t="shared" si="17"/>
        <v>37138.881196344504</v>
      </c>
      <c r="AN9" s="30">
        <f t="shared" si="18"/>
        <v>1800</v>
      </c>
      <c r="AO9" s="31">
        <f t="shared" si="19"/>
        <v>0</v>
      </c>
      <c r="AP9" s="32">
        <f t="shared" si="20"/>
        <v>3321.8499030739408</v>
      </c>
    </row>
    <row r="10" spans="1:42" ht="36.75" customHeight="1" x14ac:dyDescent="0.25">
      <c r="A10" s="15">
        <v>9</v>
      </c>
      <c r="B10" s="16">
        <v>2025</v>
      </c>
      <c r="C10" s="16">
        <v>4</v>
      </c>
      <c r="D10" s="17">
        <v>199</v>
      </c>
      <c r="E10" s="42"/>
      <c r="F10" s="19"/>
      <c r="G10" s="19"/>
      <c r="H10" s="41"/>
      <c r="I10" s="43"/>
      <c r="J10" s="21">
        <v>27000</v>
      </c>
      <c r="K10" s="22">
        <f t="shared" si="0"/>
        <v>27000</v>
      </c>
      <c r="L10" s="23">
        <v>31</v>
      </c>
      <c r="M10" s="23">
        <v>29</v>
      </c>
      <c r="N10" s="23">
        <v>2</v>
      </c>
      <c r="O10" s="23">
        <v>0</v>
      </c>
      <c r="P10" s="23">
        <v>0</v>
      </c>
      <c r="Q10" s="24">
        <f>Table14[[#This Row],[Total Days]]-Table14[[#This Row],[Days Worked]]-Table14[[#This Row],[AL]]-Table14[[#This Row],[PL]]-Table14[[#This Row],[BL/ML]]</f>
        <v>0</v>
      </c>
      <c r="R10" s="25">
        <f t="shared" si="1"/>
        <v>31</v>
      </c>
      <c r="S10" s="22">
        <f t="shared" si="2"/>
        <v>23866.348448687353</v>
      </c>
      <c r="T10" s="26">
        <f t="shared" si="3"/>
        <v>9546.5393794749416</v>
      </c>
      <c r="U10" s="26">
        <f t="shared" si="4"/>
        <v>3818.6157517899769</v>
      </c>
      <c r="V10" s="26">
        <v>1000</v>
      </c>
      <c r="W10" s="26">
        <v>1600</v>
      </c>
      <c r="X10" s="26">
        <f t="shared" si="5"/>
        <v>7901.1933174224341</v>
      </c>
      <c r="Y10" s="26">
        <f t="shared" si="6"/>
        <v>0</v>
      </c>
      <c r="Z10" s="26">
        <f t="shared" si="7"/>
        <v>9546.5393794749416</v>
      </c>
      <c r="AA10" s="26">
        <f t="shared" si="8"/>
        <v>3818.6157517899769</v>
      </c>
      <c r="AB10" s="26">
        <f t="shared" si="9"/>
        <v>1000</v>
      </c>
      <c r="AC10" s="26">
        <f t="shared" si="10"/>
        <v>1600</v>
      </c>
      <c r="AD10" s="26">
        <f t="shared" si="11"/>
        <v>7901.1933174224341</v>
      </c>
      <c r="AE10" s="26">
        <f t="shared" si="12"/>
        <v>23866.348448687353</v>
      </c>
      <c r="AF10" s="26">
        <v>0</v>
      </c>
      <c r="AG10" s="26">
        <f t="shared" si="13"/>
        <v>1145.5847255369931</v>
      </c>
      <c r="AH10" s="26">
        <f t="shared" si="14"/>
        <v>0</v>
      </c>
      <c r="AI10" s="27">
        <f t="shared" si="15"/>
        <v>200</v>
      </c>
      <c r="AJ10" s="26">
        <v>0</v>
      </c>
      <c r="AK10" s="26">
        <f t="shared" si="16"/>
        <v>143.19809069212411</v>
      </c>
      <c r="AL10" s="28">
        <v>500</v>
      </c>
      <c r="AM10" s="29">
        <f t="shared" si="17"/>
        <v>21877.565632458238</v>
      </c>
      <c r="AN10" s="30">
        <f t="shared" si="18"/>
        <v>1145.5847255369931</v>
      </c>
      <c r="AO10" s="31">
        <f t="shared" si="19"/>
        <v>0</v>
      </c>
      <c r="AP10" s="32">
        <f t="shared" si="20"/>
        <v>1988.0668257756565</v>
      </c>
    </row>
    <row r="11" spans="1:42" ht="36.75" customHeight="1" x14ac:dyDescent="0.25">
      <c r="A11" s="34">
        <v>10</v>
      </c>
      <c r="B11" s="16">
        <v>2025</v>
      </c>
      <c r="C11" s="16">
        <v>4</v>
      </c>
      <c r="D11" s="17">
        <v>199</v>
      </c>
      <c r="E11" s="42"/>
      <c r="F11" s="19"/>
      <c r="G11" s="42"/>
      <c r="H11" s="41"/>
      <c r="I11" s="43"/>
      <c r="J11" s="21">
        <v>23787</v>
      </c>
      <c r="K11" s="22">
        <f t="shared" si="0"/>
        <v>22636.016129032261</v>
      </c>
      <c r="L11" s="23">
        <v>31</v>
      </c>
      <c r="M11" s="23">
        <v>28.5</v>
      </c>
      <c r="N11" s="23">
        <v>1</v>
      </c>
      <c r="O11" s="23">
        <v>0</v>
      </c>
      <c r="P11" s="23">
        <v>0</v>
      </c>
      <c r="Q11" s="24">
        <f>Table14[[#This Row],[Total Days]]-Table14[[#This Row],[Days Worked]]-Table14[[#This Row],[AL]]-Table14[[#This Row],[PL]]-Table14[[#This Row],[BL/ML]]</f>
        <v>1.5</v>
      </c>
      <c r="R11" s="25">
        <f t="shared" si="1"/>
        <v>29.5</v>
      </c>
      <c r="S11" s="22">
        <f t="shared" si="2"/>
        <v>21026.252983293558</v>
      </c>
      <c r="T11" s="26">
        <f t="shared" si="3"/>
        <v>8410.5011933174228</v>
      </c>
      <c r="U11" s="26">
        <f t="shared" si="4"/>
        <v>3364.2004773269691</v>
      </c>
      <c r="V11" s="26">
        <v>1000</v>
      </c>
      <c r="W11" s="26">
        <v>1600</v>
      </c>
      <c r="X11" s="26">
        <f t="shared" si="5"/>
        <v>6651.551312649166</v>
      </c>
      <c r="Y11" s="26">
        <f t="shared" si="6"/>
        <v>1017.3993379013011</v>
      </c>
      <c r="Z11" s="26">
        <f t="shared" si="7"/>
        <v>8003.5414581569021</v>
      </c>
      <c r="AA11" s="26">
        <f t="shared" si="8"/>
        <v>3201.4165832627609</v>
      </c>
      <c r="AB11" s="26">
        <f t="shared" si="9"/>
        <v>951.61290322580646</v>
      </c>
      <c r="AC11" s="26">
        <f t="shared" si="10"/>
        <v>1522.5806451612902</v>
      </c>
      <c r="AD11" s="26">
        <f t="shared" si="11"/>
        <v>6329.702055585497</v>
      </c>
      <c r="AE11" s="26">
        <f t="shared" si="12"/>
        <v>20008.853645392257</v>
      </c>
      <c r="AF11" s="26">
        <v>0</v>
      </c>
      <c r="AG11" s="26">
        <f t="shared" si="13"/>
        <v>960.42497497882823</v>
      </c>
      <c r="AH11" s="26">
        <f t="shared" si="14"/>
        <v>0</v>
      </c>
      <c r="AI11" s="27">
        <f t="shared" si="15"/>
        <v>200</v>
      </c>
      <c r="AJ11" s="26">
        <v>0</v>
      </c>
      <c r="AK11" s="26">
        <f t="shared" si="16"/>
        <v>126.15751789976134</v>
      </c>
      <c r="AL11" s="28">
        <v>500</v>
      </c>
      <c r="AM11" s="29">
        <f t="shared" si="17"/>
        <v>18222.271152513666</v>
      </c>
      <c r="AN11" s="30">
        <f t="shared" si="18"/>
        <v>960.42497497882823</v>
      </c>
      <c r="AO11" s="31">
        <f t="shared" si="19"/>
        <v>0</v>
      </c>
      <c r="AP11" s="32">
        <f t="shared" si="20"/>
        <v>1666.7375086611751</v>
      </c>
    </row>
    <row r="12" spans="1:42" ht="36.75" customHeight="1" x14ac:dyDescent="0.25">
      <c r="A12" s="15">
        <v>11</v>
      </c>
      <c r="B12" s="16">
        <v>2025</v>
      </c>
      <c r="C12" s="16">
        <v>4</v>
      </c>
      <c r="D12" s="17">
        <v>199</v>
      </c>
      <c r="E12" s="42"/>
      <c r="F12" s="19"/>
      <c r="G12" s="42"/>
      <c r="H12" s="44"/>
      <c r="I12" s="45"/>
      <c r="J12" s="21">
        <v>18787.223399999999</v>
      </c>
      <c r="K12" s="22">
        <f t="shared" si="0"/>
        <v>15757.026077419354</v>
      </c>
      <c r="L12" s="23">
        <v>31</v>
      </c>
      <c r="M12" s="23">
        <v>25</v>
      </c>
      <c r="N12" s="23">
        <v>1</v>
      </c>
      <c r="O12" s="23">
        <v>0</v>
      </c>
      <c r="P12" s="23">
        <v>0</v>
      </c>
      <c r="Q12" s="24">
        <f>Table14[[#This Row],[Total Days]]-Table14[[#This Row],[Days Worked]]-Table14[[#This Row],[AL]]-Table14[[#This Row],[PL]]-Table14[[#This Row],[BL/ML]]</f>
        <v>5</v>
      </c>
      <c r="R12" s="25">
        <f t="shared" si="1"/>
        <v>26</v>
      </c>
      <c r="S12" s="22">
        <f t="shared" si="2"/>
        <v>16143</v>
      </c>
      <c r="T12" s="26">
        <f t="shared" si="3"/>
        <v>6457.2000000000007</v>
      </c>
      <c r="U12" s="26">
        <f t="shared" si="4"/>
        <v>2582.8800000000006</v>
      </c>
      <c r="V12" s="26">
        <v>1000</v>
      </c>
      <c r="W12" s="26">
        <v>1600</v>
      </c>
      <c r="X12" s="26">
        <f t="shared" si="5"/>
        <v>4502.9199999999983</v>
      </c>
      <c r="Y12" s="26">
        <f t="shared" si="6"/>
        <v>2603.7096774193551</v>
      </c>
      <c r="Z12" s="26">
        <f t="shared" si="7"/>
        <v>5415.7161290322583</v>
      </c>
      <c r="AA12" s="26">
        <f t="shared" si="8"/>
        <v>2166.2864516129039</v>
      </c>
      <c r="AB12" s="26">
        <f t="shared" si="9"/>
        <v>838.70967741935488</v>
      </c>
      <c r="AC12" s="26">
        <f t="shared" si="10"/>
        <v>1341.9354838709676</v>
      </c>
      <c r="AD12" s="26">
        <f t="shared" si="11"/>
        <v>3776.6425806451598</v>
      </c>
      <c r="AE12" s="26">
        <f t="shared" si="12"/>
        <v>13539.290322580644</v>
      </c>
      <c r="AF12" s="26">
        <v>0</v>
      </c>
      <c r="AG12" s="26">
        <f t="shared" si="13"/>
        <v>649.88593548387098</v>
      </c>
      <c r="AH12" s="26">
        <f t="shared" si="14"/>
        <v>101.54467741935483</v>
      </c>
      <c r="AI12" s="27">
        <f t="shared" si="15"/>
        <v>0</v>
      </c>
      <c r="AJ12" s="26">
        <v>0</v>
      </c>
      <c r="AK12" s="26">
        <f t="shared" si="16"/>
        <v>96.85799999999999</v>
      </c>
      <c r="AL12" s="28">
        <v>500</v>
      </c>
      <c r="AM12" s="29">
        <f t="shared" si="17"/>
        <v>12191.001709677417</v>
      </c>
      <c r="AN12" s="30">
        <f t="shared" si="18"/>
        <v>649.88593548387098</v>
      </c>
      <c r="AO12" s="31">
        <f t="shared" si="19"/>
        <v>440.02693548387094</v>
      </c>
      <c r="AP12" s="32">
        <f t="shared" si="20"/>
        <v>1127.8228838709676</v>
      </c>
    </row>
    <row r="13" spans="1:42" ht="36.75" customHeight="1" x14ac:dyDescent="0.25">
      <c r="A13" s="34">
        <v>12</v>
      </c>
      <c r="B13" s="16">
        <v>2025</v>
      </c>
      <c r="C13" s="16">
        <v>4</v>
      </c>
      <c r="D13" s="17">
        <v>199</v>
      </c>
      <c r="E13" s="46"/>
      <c r="F13" s="19"/>
      <c r="G13" s="42"/>
      <c r="H13" s="46"/>
      <c r="I13" s="45"/>
      <c r="J13" s="21">
        <v>20000</v>
      </c>
      <c r="K13" s="22">
        <f t="shared" si="0"/>
        <v>0</v>
      </c>
      <c r="L13" s="23">
        <v>31</v>
      </c>
      <c r="M13" s="23">
        <v>0</v>
      </c>
      <c r="N13" s="23">
        <v>0</v>
      </c>
      <c r="O13" s="23">
        <v>0</v>
      </c>
      <c r="P13" s="23">
        <v>0</v>
      </c>
      <c r="Q13" s="24">
        <f>Table14[[#This Row],[Total Days]]-Table14[[#This Row],[Days Worked]]-Table14[[#This Row],[AL]]-Table14[[#This Row],[PL]]-Table14[[#This Row],[BL/ML]]</f>
        <v>31</v>
      </c>
      <c r="R13" s="25">
        <f t="shared" si="1"/>
        <v>0</v>
      </c>
      <c r="S13" s="22">
        <f t="shared" si="2"/>
        <v>17185.083347654236</v>
      </c>
      <c r="T13" s="26">
        <f t="shared" si="3"/>
        <v>6874.0333390616943</v>
      </c>
      <c r="U13" s="26">
        <f t="shared" si="4"/>
        <v>2749.6133356246778</v>
      </c>
      <c r="V13" s="26">
        <v>1000</v>
      </c>
      <c r="W13" s="26">
        <v>1600</v>
      </c>
      <c r="X13" s="26">
        <f t="shared" si="5"/>
        <v>4961.4366729678641</v>
      </c>
      <c r="Y13" s="26">
        <f t="shared" si="6"/>
        <v>17185.083347654236</v>
      </c>
      <c r="Z13" s="26">
        <f t="shared" si="7"/>
        <v>0</v>
      </c>
      <c r="AA13" s="26">
        <f t="shared" si="8"/>
        <v>0</v>
      </c>
      <c r="AB13" s="26">
        <f t="shared" si="9"/>
        <v>0</v>
      </c>
      <c r="AC13" s="26">
        <f t="shared" si="10"/>
        <v>0</v>
      </c>
      <c r="AD13" s="26">
        <f t="shared" si="11"/>
        <v>0</v>
      </c>
      <c r="AE13" s="26">
        <f t="shared" si="12"/>
        <v>0</v>
      </c>
      <c r="AF13" s="26">
        <v>0</v>
      </c>
      <c r="AG13" s="26">
        <f t="shared" si="13"/>
        <v>0</v>
      </c>
      <c r="AH13" s="26">
        <f t="shared" si="14"/>
        <v>0</v>
      </c>
      <c r="AI13" s="27">
        <f t="shared" si="15"/>
        <v>0</v>
      </c>
      <c r="AJ13" s="26">
        <v>0</v>
      </c>
      <c r="AK13" s="26">
        <f t="shared" si="16"/>
        <v>103.11050008592542</v>
      </c>
      <c r="AL13" s="28">
        <v>0</v>
      </c>
      <c r="AM13" s="29">
        <f t="shared" si="17"/>
        <v>-103.11050008592542</v>
      </c>
      <c r="AN13" s="30">
        <f t="shared" si="18"/>
        <v>0</v>
      </c>
      <c r="AO13" s="31">
        <f t="shared" si="19"/>
        <v>0</v>
      </c>
      <c r="AP13" s="32">
        <f t="shared" si="20"/>
        <v>0</v>
      </c>
    </row>
    <row r="14" spans="1:42" ht="36.75" customHeight="1" x14ac:dyDescent="0.25">
      <c r="A14" s="15">
        <v>13</v>
      </c>
      <c r="B14" s="16"/>
      <c r="C14" s="16">
        <v>4</v>
      </c>
      <c r="D14" s="17">
        <v>199</v>
      </c>
      <c r="E14" s="46"/>
      <c r="F14" s="19"/>
      <c r="G14" s="42"/>
      <c r="H14" s="46"/>
      <c r="I14" s="46"/>
      <c r="J14" s="21">
        <v>20000</v>
      </c>
      <c r="K14" s="22">
        <f t="shared" si="0"/>
        <v>10967.741935483871</v>
      </c>
      <c r="L14" s="23">
        <v>31</v>
      </c>
      <c r="M14" s="23">
        <v>16</v>
      </c>
      <c r="N14" s="23">
        <v>1</v>
      </c>
      <c r="O14" s="23">
        <v>0</v>
      </c>
      <c r="P14" s="23">
        <v>0</v>
      </c>
      <c r="Q14" s="24">
        <f>Table14[[#This Row],[Total Days]]-Table14[[#This Row],[Days Worked]]-Table14[[#This Row],[AL]]-Table14[[#This Row],[PL]]-Table14[[#This Row],[BL/ML]]</f>
        <v>14</v>
      </c>
      <c r="R14" s="25">
        <f t="shared" si="1"/>
        <v>17</v>
      </c>
      <c r="S14" s="22">
        <f t="shared" si="2"/>
        <v>17185.083347654236</v>
      </c>
      <c r="T14" s="26">
        <f t="shared" si="3"/>
        <v>6874.0333390616943</v>
      </c>
      <c r="U14" s="26">
        <f t="shared" si="4"/>
        <v>2749.6133356246778</v>
      </c>
      <c r="V14" s="26">
        <v>1000</v>
      </c>
      <c r="W14" s="26">
        <v>1600</v>
      </c>
      <c r="X14" s="26">
        <f t="shared" si="5"/>
        <v>4961.4366729678641</v>
      </c>
      <c r="Y14" s="26">
        <f t="shared" si="6"/>
        <v>7761.0053828115897</v>
      </c>
      <c r="Z14" s="26">
        <f t="shared" si="7"/>
        <v>3769.631185937058</v>
      </c>
      <c r="AA14" s="26">
        <f t="shared" si="8"/>
        <v>1507.8524743748235</v>
      </c>
      <c r="AB14" s="26">
        <f t="shared" si="9"/>
        <v>548.38709677419354</v>
      </c>
      <c r="AC14" s="26">
        <f t="shared" si="10"/>
        <v>877.41935483870964</v>
      </c>
      <c r="AD14" s="26">
        <f t="shared" si="11"/>
        <v>2720.7878529178611</v>
      </c>
      <c r="AE14" s="26">
        <f t="shared" si="12"/>
        <v>9424.0779648426451</v>
      </c>
      <c r="AF14" s="26">
        <v>0</v>
      </c>
      <c r="AG14" s="26">
        <f t="shared" si="13"/>
        <v>452.35574231244698</v>
      </c>
      <c r="AH14" s="26">
        <f t="shared" si="14"/>
        <v>70.68058473631983</v>
      </c>
      <c r="AI14" s="27">
        <f t="shared" si="15"/>
        <v>0</v>
      </c>
      <c r="AJ14" s="26">
        <v>0</v>
      </c>
      <c r="AK14" s="26">
        <f t="shared" si="16"/>
        <v>103.11050008592542</v>
      </c>
      <c r="AL14" s="28">
        <v>500</v>
      </c>
      <c r="AM14" s="29">
        <f t="shared" si="17"/>
        <v>8297.9311377079521</v>
      </c>
      <c r="AN14" s="30">
        <f t="shared" si="18"/>
        <v>452.35574231244698</v>
      </c>
      <c r="AO14" s="31">
        <f t="shared" si="19"/>
        <v>306.282533857386</v>
      </c>
      <c r="AP14" s="32">
        <f t="shared" si="20"/>
        <v>785.0256944713924</v>
      </c>
    </row>
    <row r="15" spans="1:42" ht="36.75" customHeight="1" x14ac:dyDescent="0.25">
      <c r="A15" s="34">
        <v>14</v>
      </c>
      <c r="B15" s="16"/>
      <c r="C15" s="16">
        <v>4</v>
      </c>
      <c r="D15" s="17">
        <v>199</v>
      </c>
      <c r="E15" s="46"/>
      <c r="F15" s="47"/>
      <c r="G15" s="47"/>
      <c r="H15" s="46"/>
      <c r="I15" s="46"/>
      <c r="J15" s="21">
        <v>20000</v>
      </c>
      <c r="K15" s="22">
        <f t="shared" si="0"/>
        <v>11290.322580645159</v>
      </c>
      <c r="L15" s="23">
        <v>31</v>
      </c>
      <c r="M15" s="23">
        <v>15.5</v>
      </c>
      <c r="N15" s="23">
        <v>2</v>
      </c>
      <c r="O15" s="23">
        <v>0</v>
      </c>
      <c r="P15" s="23">
        <v>0</v>
      </c>
      <c r="Q15" s="24">
        <f>Table14[[#This Row],[Total Days]]-Table14[[#This Row],[Days Worked]]-Table14[[#This Row],[AL]]-Table14[[#This Row],[PL]]-Table14[[#This Row],[BL/ML]]</f>
        <v>13.5</v>
      </c>
      <c r="R15" s="25">
        <f t="shared" si="1"/>
        <v>17.5</v>
      </c>
      <c r="S15" s="22">
        <f t="shared" si="2"/>
        <v>17185.083347654236</v>
      </c>
      <c r="T15" s="26">
        <f t="shared" si="3"/>
        <v>6874.0333390616943</v>
      </c>
      <c r="U15" s="26">
        <f t="shared" si="4"/>
        <v>2749.6133356246778</v>
      </c>
      <c r="V15" s="26">
        <v>1000</v>
      </c>
      <c r="W15" s="26">
        <v>1600</v>
      </c>
      <c r="X15" s="26">
        <f t="shared" si="5"/>
        <v>4961.4366729678641</v>
      </c>
      <c r="Y15" s="26">
        <f t="shared" si="6"/>
        <v>7483.826619139747</v>
      </c>
      <c r="Z15" s="26">
        <f t="shared" si="7"/>
        <v>3880.5026914057948</v>
      </c>
      <c r="AA15" s="26">
        <f t="shared" si="8"/>
        <v>1552.2010765623181</v>
      </c>
      <c r="AB15" s="26">
        <f t="shared" si="9"/>
        <v>564.51612903225805</v>
      </c>
      <c r="AC15" s="26">
        <f t="shared" si="10"/>
        <v>903.22580645161281</v>
      </c>
      <c r="AD15" s="26">
        <f t="shared" si="11"/>
        <v>2800.8110250625041</v>
      </c>
      <c r="AE15" s="26">
        <f t="shared" si="12"/>
        <v>9701.2567285144869</v>
      </c>
      <c r="AF15" s="26">
        <v>0</v>
      </c>
      <c r="AG15" s="26">
        <f t="shared" si="13"/>
        <v>465.66032296869543</v>
      </c>
      <c r="AH15" s="26">
        <f t="shared" si="14"/>
        <v>72.759425463858648</v>
      </c>
      <c r="AI15" s="27">
        <f t="shared" si="15"/>
        <v>0</v>
      </c>
      <c r="AJ15" s="26">
        <v>0</v>
      </c>
      <c r="AK15" s="26">
        <f t="shared" si="16"/>
        <v>103.11050008592542</v>
      </c>
      <c r="AL15" s="28">
        <v>500</v>
      </c>
      <c r="AM15" s="29">
        <f t="shared" si="17"/>
        <v>8559.7264799960067</v>
      </c>
      <c r="AN15" s="30">
        <f t="shared" si="18"/>
        <v>465.66032296869543</v>
      </c>
      <c r="AO15" s="31">
        <f t="shared" si="19"/>
        <v>315.29084367672084</v>
      </c>
      <c r="AP15" s="32">
        <f t="shared" si="20"/>
        <v>808.11468548525681</v>
      </c>
    </row>
    <row r="16" spans="1:42" ht="36.75" customHeight="1" x14ac:dyDescent="0.25">
      <c r="A16" s="15">
        <v>15</v>
      </c>
      <c r="B16" s="16"/>
      <c r="C16" s="16">
        <v>4</v>
      </c>
      <c r="D16" s="17">
        <v>199</v>
      </c>
      <c r="E16" s="46"/>
      <c r="F16" s="47"/>
      <c r="G16" s="47"/>
      <c r="H16" s="46"/>
      <c r="I16" s="46"/>
      <c r="J16" s="21">
        <v>20000</v>
      </c>
      <c r="K16" s="22">
        <f t="shared" si="0"/>
        <v>16774.193548387098</v>
      </c>
      <c r="L16" s="23">
        <v>31</v>
      </c>
      <c r="M16" s="23">
        <v>23.5</v>
      </c>
      <c r="N16" s="23">
        <v>2.5</v>
      </c>
      <c r="O16" s="23">
        <v>0</v>
      </c>
      <c r="P16" s="23">
        <v>0</v>
      </c>
      <c r="Q16" s="24">
        <f>Table14[[#This Row],[Total Days]]-Table14[[#This Row],[Days Worked]]-Table14[[#This Row],[AL]]-Table14[[#This Row],[PL]]-Table14[[#This Row],[BL/ML]]</f>
        <v>5</v>
      </c>
      <c r="R16" s="25">
        <f t="shared" si="1"/>
        <v>26</v>
      </c>
      <c r="S16" s="22">
        <f t="shared" si="2"/>
        <v>17185.083347654236</v>
      </c>
      <c r="T16" s="26">
        <f t="shared" si="3"/>
        <v>6874.0333390616943</v>
      </c>
      <c r="U16" s="26">
        <f t="shared" si="4"/>
        <v>2749.6133356246778</v>
      </c>
      <c r="V16" s="26">
        <v>1000</v>
      </c>
      <c r="W16" s="26">
        <v>1600</v>
      </c>
      <c r="X16" s="26">
        <f t="shared" si="5"/>
        <v>4961.4366729678641</v>
      </c>
      <c r="Y16" s="26">
        <f t="shared" si="6"/>
        <v>2771.7876367184249</v>
      </c>
      <c r="Z16" s="26">
        <f t="shared" si="7"/>
        <v>5765.3182843743243</v>
      </c>
      <c r="AA16" s="26">
        <f t="shared" si="8"/>
        <v>2306.1273137497301</v>
      </c>
      <c r="AB16" s="26">
        <f t="shared" si="9"/>
        <v>838.70967741935488</v>
      </c>
      <c r="AC16" s="26">
        <f t="shared" si="10"/>
        <v>1341.9354838709676</v>
      </c>
      <c r="AD16" s="26">
        <f t="shared" si="11"/>
        <v>4161.2049515214349</v>
      </c>
      <c r="AE16" s="26">
        <f t="shared" si="12"/>
        <v>14413.295710935812</v>
      </c>
      <c r="AF16" s="26">
        <v>0</v>
      </c>
      <c r="AG16" s="26">
        <f t="shared" si="13"/>
        <v>691.83819412491891</v>
      </c>
      <c r="AH16" s="26">
        <f t="shared" si="14"/>
        <v>108.09971783201858</v>
      </c>
      <c r="AI16" s="27">
        <f t="shared" si="15"/>
        <v>0</v>
      </c>
      <c r="AJ16" s="26">
        <v>0</v>
      </c>
      <c r="AK16" s="26">
        <f t="shared" si="16"/>
        <v>103.11050008592542</v>
      </c>
      <c r="AL16" s="28">
        <v>500</v>
      </c>
      <c r="AM16" s="29">
        <f t="shared" si="17"/>
        <v>13010.247298892948</v>
      </c>
      <c r="AN16" s="30">
        <f t="shared" si="18"/>
        <v>691.83819412491891</v>
      </c>
      <c r="AO16" s="31">
        <f t="shared" si="19"/>
        <v>468.43211060541392</v>
      </c>
      <c r="AP16" s="32">
        <f t="shared" si="20"/>
        <v>1200.6275327209532</v>
      </c>
    </row>
    <row r="17" spans="1:42" ht="36.75" customHeight="1" x14ac:dyDescent="0.25">
      <c r="A17" s="34">
        <v>16</v>
      </c>
      <c r="B17" s="16"/>
      <c r="C17" s="16">
        <v>4</v>
      </c>
      <c r="D17" s="17">
        <v>199</v>
      </c>
      <c r="E17" s="46"/>
      <c r="F17" s="47"/>
      <c r="G17" s="47"/>
      <c r="H17" s="46"/>
      <c r="I17" s="46"/>
      <c r="J17" s="21">
        <v>20000</v>
      </c>
      <c r="K17" s="22">
        <f t="shared" si="0"/>
        <v>15806.451612903227</v>
      </c>
      <c r="L17" s="23">
        <v>31</v>
      </c>
      <c r="M17" s="23">
        <v>22</v>
      </c>
      <c r="N17" s="23">
        <v>2.5</v>
      </c>
      <c r="O17" s="23">
        <v>0</v>
      </c>
      <c r="P17" s="23">
        <v>0</v>
      </c>
      <c r="Q17" s="24">
        <f>Table14[[#This Row],[Total Days]]-Table14[[#This Row],[Days Worked]]-Table14[[#This Row],[AL]]-Table14[[#This Row],[PL]]-Table14[[#This Row],[BL/ML]]</f>
        <v>6.5</v>
      </c>
      <c r="R17" s="25">
        <f t="shared" si="1"/>
        <v>24.5</v>
      </c>
      <c r="S17" s="22">
        <f t="shared" si="2"/>
        <v>17185.083347654236</v>
      </c>
      <c r="T17" s="26">
        <f t="shared" si="3"/>
        <v>6874.0333390616943</v>
      </c>
      <c r="U17" s="26">
        <f t="shared" si="4"/>
        <v>2749.6133356246778</v>
      </c>
      <c r="V17" s="26">
        <v>1000</v>
      </c>
      <c r="W17" s="26">
        <v>1600</v>
      </c>
      <c r="X17" s="26">
        <f t="shared" si="5"/>
        <v>4961.4366729678641</v>
      </c>
      <c r="Y17" s="26">
        <f t="shared" si="6"/>
        <v>3603.3239277339526</v>
      </c>
      <c r="Z17" s="26">
        <f t="shared" si="7"/>
        <v>5432.7037679681125</v>
      </c>
      <c r="AA17" s="26">
        <f t="shared" si="8"/>
        <v>2173.0815071872453</v>
      </c>
      <c r="AB17" s="26">
        <f t="shared" si="9"/>
        <v>790.32258064516134</v>
      </c>
      <c r="AC17" s="26">
        <f t="shared" si="10"/>
        <v>1264.516129032258</v>
      </c>
      <c r="AD17" s="26">
        <f t="shared" si="11"/>
        <v>3921.1354350875054</v>
      </c>
      <c r="AE17" s="26">
        <f t="shared" si="12"/>
        <v>13581.759419920283</v>
      </c>
      <c r="AF17" s="26">
        <v>0</v>
      </c>
      <c r="AG17" s="26">
        <f t="shared" si="13"/>
        <v>651.92445215617352</v>
      </c>
      <c r="AH17" s="26">
        <f t="shared" si="14"/>
        <v>101.86319564940212</v>
      </c>
      <c r="AI17" s="27">
        <f t="shared" si="15"/>
        <v>0</v>
      </c>
      <c r="AJ17" s="26">
        <v>0</v>
      </c>
      <c r="AK17" s="26">
        <f t="shared" si="16"/>
        <v>103.11050008592542</v>
      </c>
      <c r="AL17" s="28">
        <v>500</v>
      </c>
      <c r="AM17" s="29">
        <f t="shared" si="17"/>
        <v>12224.86127202878</v>
      </c>
      <c r="AN17" s="30">
        <f t="shared" si="18"/>
        <v>651.92445215617352</v>
      </c>
      <c r="AO17" s="31">
        <f t="shared" si="19"/>
        <v>441.40718114740923</v>
      </c>
      <c r="AP17" s="32">
        <f t="shared" si="20"/>
        <v>1131.3605596793595</v>
      </c>
    </row>
    <row r="18" spans="1:42" ht="36.75" customHeight="1" x14ac:dyDescent="0.25">
      <c r="A18" s="15">
        <v>17</v>
      </c>
      <c r="B18" s="16">
        <v>2025</v>
      </c>
      <c r="C18" s="16">
        <v>4</v>
      </c>
      <c r="D18" s="17">
        <v>199</v>
      </c>
      <c r="E18" s="35"/>
      <c r="F18" s="19"/>
      <c r="G18" s="19"/>
      <c r="H18" s="19"/>
      <c r="I18" s="36"/>
      <c r="J18" s="21">
        <v>186755</v>
      </c>
      <c r="K18" s="22">
        <f t="shared" si="0"/>
        <v>186755.00000000003</v>
      </c>
      <c r="L18" s="23">
        <v>31</v>
      </c>
      <c r="M18" s="23">
        <v>31</v>
      </c>
      <c r="N18" s="23">
        <v>0</v>
      </c>
      <c r="O18" s="23">
        <v>0</v>
      </c>
      <c r="P18" s="23">
        <v>0</v>
      </c>
      <c r="Q18" s="24">
        <f>Table14[[#This Row],[Total Days]]-Table14[[#This Row],[Days Worked]]-Table14[[#This Row],[AL]]-Table14[[#This Row],[PL]]-Table14[[#This Row],[BL/ML]]</f>
        <v>0</v>
      </c>
      <c r="R18" s="25">
        <f t="shared" si="1"/>
        <v>31</v>
      </c>
      <c r="S18" s="22">
        <f t="shared" si="2"/>
        <v>170732.9456290963</v>
      </c>
      <c r="T18" s="26">
        <f t="shared" si="3"/>
        <v>15000</v>
      </c>
      <c r="U18" s="26">
        <f t="shared" si="4"/>
        <v>6000</v>
      </c>
      <c r="V18" s="26">
        <v>1000</v>
      </c>
      <c r="W18" s="26">
        <v>1600</v>
      </c>
      <c r="X18" s="26">
        <f t="shared" si="5"/>
        <v>147132.9456290963</v>
      </c>
      <c r="Y18" s="26">
        <f t="shared" si="6"/>
        <v>0</v>
      </c>
      <c r="Z18" s="26">
        <f t="shared" si="7"/>
        <v>15000</v>
      </c>
      <c r="AA18" s="26">
        <f t="shared" si="8"/>
        <v>6000</v>
      </c>
      <c r="AB18" s="26">
        <f t="shared" si="9"/>
        <v>1000</v>
      </c>
      <c r="AC18" s="26">
        <f t="shared" si="10"/>
        <v>1600</v>
      </c>
      <c r="AD18" s="26">
        <f t="shared" si="11"/>
        <v>147132.9456290963</v>
      </c>
      <c r="AE18" s="26">
        <f t="shared" si="12"/>
        <v>170732.9456290963</v>
      </c>
      <c r="AF18" s="26">
        <v>0</v>
      </c>
      <c r="AG18" s="26">
        <f t="shared" si="13"/>
        <v>1800</v>
      </c>
      <c r="AH18" s="26">
        <f t="shared" si="14"/>
        <v>0</v>
      </c>
      <c r="AI18" s="27">
        <f t="shared" si="15"/>
        <v>200</v>
      </c>
      <c r="AJ18" s="16">
        <v>0</v>
      </c>
      <c r="AK18" s="26">
        <f t="shared" si="16"/>
        <v>1024.3976737745777</v>
      </c>
      <c r="AL18" s="28">
        <v>500</v>
      </c>
      <c r="AM18" s="29">
        <f t="shared" si="17"/>
        <v>167208.54795532173</v>
      </c>
      <c r="AN18" s="30">
        <f t="shared" si="18"/>
        <v>1800</v>
      </c>
      <c r="AO18" s="31">
        <f t="shared" si="19"/>
        <v>0</v>
      </c>
      <c r="AP18" s="32">
        <f t="shared" si="20"/>
        <v>14222.054370903723</v>
      </c>
    </row>
    <row r="19" spans="1:42" ht="36.75" customHeight="1" x14ac:dyDescent="0.25">
      <c r="A19" s="34">
        <v>18</v>
      </c>
      <c r="B19" s="16">
        <v>2025</v>
      </c>
      <c r="C19" s="16">
        <v>4</v>
      </c>
      <c r="D19" s="17">
        <v>199</v>
      </c>
      <c r="E19" s="48"/>
      <c r="F19" s="19"/>
      <c r="G19" s="19"/>
      <c r="H19" s="39"/>
      <c r="I19" s="36"/>
      <c r="J19" s="21">
        <v>128333</v>
      </c>
      <c r="K19" s="22">
        <f t="shared" si="0"/>
        <v>124193.22580645161</v>
      </c>
      <c r="L19" s="23">
        <v>31</v>
      </c>
      <c r="M19" s="23">
        <v>29</v>
      </c>
      <c r="N19" s="23">
        <v>1</v>
      </c>
      <c r="O19" s="23">
        <v>0</v>
      </c>
      <c r="P19" s="23">
        <v>0</v>
      </c>
      <c r="Q19" s="24">
        <f>Table14[[#This Row],[Total Days]]-Table14[[#This Row],[Days Worked]]-Table14[[#This Row],[AL]]-Table14[[#This Row],[PL]]-Table14[[#This Row],[BL/ML]]</f>
        <v>1</v>
      </c>
      <c r="R19" s="25">
        <f t="shared" si="1"/>
        <v>30</v>
      </c>
      <c r="S19" s="21">
        <v>128333</v>
      </c>
      <c r="T19" s="26">
        <f t="shared" si="3"/>
        <v>15000</v>
      </c>
      <c r="U19" s="26">
        <f t="shared" si="4"/>
        <v>6000</v>
      </c>
      <c r="V19" s="26">
        <v>1000</v>
      </c>
      <c r="W19" s="26">
        <v>1600</v>
      </c>
      <c r="X19" s="26">
        <f t="shared" si="5"/>
        <v>104733</v>
      </c>
      <c r="Y19" s="26">
        <f t="shared" si="6"/>
        <v>4139.7741935483873</v>
      </c>
      <c r="Z19" s="26">
        <f t="shared" si="7"/>
        <v>14516.129032258064</v>
      </c>
      <c r="AA19" s="26">
        <f t="shared" si="8"/>
        <v>5806.4516129032263</v>
      </c>
      <c r="AB19" s="26">
        <f t="shared" si="9"/>
        <v>967.74193548387098</v>
      </c>
      <c r="AC19" s="26">
        <f t="shared" si="10"/>
        <v>1548.3870967741934</v>
      </c>
      <c r="AD19" s="26">
        <f t="shared" si="11"/>
        <v>101354.51612903226</v>
      </c>
      <c r="AE19" s="26">
        <f t="shared" si="12"/>
        <v>124193.22580645161</v>
      </c>
      <c r="AF19" s="26">
        <v>0</v>
      </c>
      <c r="AG19" s="26">
        <v>0</v>
      </c>
      <c r="AH19" s="26">
        <f t="shared" si="14"/>
        <v>0</v>
      </c>
      <c r="AI19" s="27">
        <v>0</v>
      </c>
      <c r="AJ19" s="16">
        <f>ROUND(AE19*0.1,0)</f>
        <v>12419</v>
      </c>
      <c r="AK19" s="26">
        <f t="shared" si="16"/>
        <v>769.99800000000005</v>
      </c>
      <c r="AL19" s="28">
        <v>500</v>
      </c>
      <c r="AM19" s="29">
        <f t="shared" si="17"/>
        <v>110504.2278064516</v>
      </c>
      <c r="AN19" s="30">
        <v>0</v>
      </c>
      <c r="AO19" s="31">
        <v>0</v>
      </c>
      <c r="AP19" s="32">
        <v>0</v>
      </c>
    </row>
    <row r="20" spans="1:42" ht="36.75" customHeight="1" x14ac:dyDescent="0.25">
      <c r="A20" s="15">
        <v>19</v>
      </c>
      <c r="B20" s="16">
        <v>2025</v>
      </c>
      <c r="C20" s="16">
        <v>4</v>
      </c>
      <c r="D20" s="17">
        <v>199</v>
      </c>
      <c r="E20" s="35"/>
      <c r="F20" s="19"/>
      <c r="G20" s="19"/>
      <c r="H20" s="19"/>
      <c r="I20" s="36"/>
      <c r="J20" s="21">
        <v>120313</v>
      </c>
      <c r="K20" s="22">
        <f t="shared" si="0"/>
        <v>116431.93548387097</v>
      </c>
      <c r="L20" s="23">
        <v>31</v>
      </c>
      <c r="M20" s="23">
        <v>29</v>
      </c>
      <c r="N20" s="23">
        <v>1</v>
      </c>
      <c r="O20" s="23">
        <v>0</v>
      </c>
      <c r="P20" s="23">
        <v>0</v>
      </c>
      <c r="Q20" s="24">
        <f>Table14[[#This Row],[Total Days]]-Table14[[#This Row],[Days Worked]]-Table14[[#This Row],[AL]]-Table14[[#This Row],[PL]]-Table14[[#This Row],[BL/ML]]</f>
        <v>1</v>
      </c>
      <c r="R20" s="25">
        <f t="shared" si="1"/>
        <v>30</v>
      </c>
      <c r="S20" s="49">
        <v>118513</v>
      </c>
      <c r="T20" s="26">
        <f t="shared" si="3"/>
        <v>15000</v>
      </c>
      <c r="U20" s="26">
        <f t="shared" si="4"/>
        <v>6000</v>
      </c>
      <c r="V20" s="26">
        <v>1000</v>
      </c>
      <c r="W20" s="26">
        <v>1600</v>
      </c>
      <c r="X20" s="26">
        <f t="shared" si="5"/>
        <v>94913</v>
      </c>
      <c r="Y20" s="26">
        <f t="shared" si="6"/>
        <v>3823</v>
      </c>
      <c r="Z20" s="26">
        <f t="shared" si="7"/>
        <v>14516.129032258064</v>
      </c>
      <c r="AA20" s="26">
        <f t="shared" si="8"/>
        <v>5806.4516129032263</v>
      </c>
      <c r="AB20" s="26">
        <f t="shared" si="9"/>
        <v>967.74193548387098</v>
      </c>
      <c r="AC20" s="26">
        <f t="shared" si="10"/>
        <v>1548.3870967741934</v>
      </c>
      <c r="AD20" s="26">
        <f t="shared" si="11"/>
        <v>91851.290322580637</v>
      </c>
      <c r="AE20" s="26">
        <f t="shared" si="12"/>
        <v>114690</v>
      </c>
      <c r="AF20" s="26">
        <v>0</v>
      </c>
      <c r="AG20" s="26">
        <f t="shared" ref="AG20:AG37" si="21">Z20*12/100</f>
        <v>1741.9354838709678</v>
      </c>
      <c r="AH20" s="26">
        <f t="shared" si="14"/>
        <v>0</v>
      </c>
      <c r="AI20" s="27">
        <f t="shared" ref="AI20:AI37" si="22">IF(AE20&gt;20000,200,IF(AE20&gt;15000,150,))</f>
        <v>200</v>
      </c>
      <c r="AJ20" s="26">
        <v>0</v>
      </c>
      <c r="AK20" s="26">
        <f t="shared" si="16"/>
        <v>711.07799999999997</v>
      </c>
      <c r="AL20" s="28">
        <v>500</v>
      </c>
      <c r="AM20" s="29">
        <f t="shared" si="17"/>
        <v>111536.98651612904</v>
      </c>
      <c r="AN20" s="30">
        <f t="shared" ref="AN20:AN37" si="23">Z20*12/100</f>
        <v>1741.9354838709678</v>
      </c>
      <c r="AO20" s="31">
        <f t="shared" ref="AO20:AO37" si="24">IF(S20&gt;21000,0,(AE20+AF20)*3.25%)</f>
        <v>0</v>
      </c>
      <c r="AP20" s="32">
        <v>0</v>
      </c>
    </row>
    <row r="21" spans="1:42" ht="36.75" customHeight="1" x14ac:dyDescent="0.25">
      <c r="A21" s="34">
        <v>20</v>
      </c>
      <c r="B21" s="16">
        <v>2025</v>
      </c>
      <c r="C21" s="16">
        <v>4</v>
      </c>
      <c r="D21" s="17">
        <v>199</v>
      </c>
      <c r="E21" s="35"/>
      <c r="F21" s="19"/>
      <c r="G21" s="19"/>
      <c r="H21" s="37"/>
      <c r="I21" s="36"/>
      <c r="J21" s="21">
        <v>29551</v>
      </c>
      <c r="K21" s="22">
        <f t="shared" si="0"/>
        <v>29551</v>
      </c>
      <c r="L21" s="23">
        <v>31</v>
      </c>
      <c r="M21" s="23">
        <v>31</v>
      </c>
      <c r="N21" s="23">
        <v>0</v>
      </c>
      <c r="O21" s="23">
        <v>0</v>
      </c>
      <c r="P21" s="23">
        <v>0</v>
      </c>
      <c r="Q21" s="24">
        <f>Table14[[#This Row],[Total Days]]-Table14[[#This Row],[Days Worked]]-Table14[[#This Row],[AL]]-Table14[[#This Row],[PL]]-Table14[[#This Row],[BL/ML]]</f>
        <v>0</v>
      </c>
      <c r="R21" s="25">
        <f t="shared" si="1"/>
        <v>31</v>
      </c>
      <c r="S21" s="22">
        <f t="shared" ref="S21:S37" si="25">IF(J21&lt;15285,J21/1.1758,IF(AND(J21&lt;23758,J21&gt;=15285),J21/1.1638,IF(AND(J21&gt;=23758,J21&lt;34299),J21/1.1313,IF(J21&gt;=34299,(J21-1800)/1.0833,"Error"))))</f>
        <v>26121.276407672591</v>
      </c>
      <c r="T21" s="26">
        <f t="shared" si="3"/>
        <v>10448.510563069038</v>
      </c>
      <c r="U21" s="26">
        <f t="shared" si="4"/>
        <v>4179.4042252276149</v>
      </c>
      <c r="V21" s="26">
        <v>1000</v>
      </c>
      <c r="W21" s="26">
        <v>1600</v>
      </c>
      <c r="X21" s="26">
        <f t="shared" si="5"/>
        <v>8893.3616193759372</v>
      </c>
      <c r="Y21" s="26">
        <f t="shared" si="6"/>
        <v>0</v>
      </c>
      <c r="Z21" s="26">
        <f t="shared" si="7"/>
        <v>10448.510563069038</v>
      </c>
      <c r="AA21" s="26">
        <f t="shared" si="8"/>
        <v>4179.4042252276149</v>
      </c>
      <c r="AB21" s="26">
        <f t="shared" si="9"/>
        <v>1000</v>
      </c>
      <c r="AC21" s="26">
        <f t="shared" si="10"/>
        <v>1600</v>
      </c>
      <c r="AD21" s="26">
        <f t="shared" si="11"/>
        <v>8893.3616193759372</v>
      </c>
      <c r="AE21" s="26">
        <f t="shared" si="12"/>
        <v>26121.276407672591</v>
      </c>
      <c r="AF21" s="26">
        <v>0</v>
      </c>
      <c r="AG21" s="26">
        <f t="shared" si="21"/>
        <v>1253.8212675682846</v>
      </c>
      <c r="AH21" s="26">
        <f t="shared" si="14"/>
        <v>0</v>
      </c>
      <c r="AI21" s="27">
        <f t="shared" si="22"/>
        <v>200</v>
      </c>
      <c r="AJ21" s="26">
        <v>0</v>
      </c>
      <c r="AK21" s="26">
        <f t="shared" si="16"/>
        <v>156.72765844603555</v>
      </c>
      <c r="AL21" s="28">
        <v>500</v>
      </c>
      <c r="AM21" s="29">
        <f t="shared" si="17"/>
        <v>24010.727481658272</v>
      </c>
      <c r="AN21" s="30">
        <f t="shared" si="23"/>
        <v>1253.8212675682846</v>
      </c>
      <c r="AO21" s="31">
        <f t="shared" si="24"/>
        <v>0</v>
      </c>
      <c r="AP21" s="32">
        <f t="shared" ref="AP21:AP37" si="26">AE21*8.33/100</f>
        <v>2175.9023247591267</v>
      </c>
    </row>
    <row r="22" spans="1:42" ht="36.75" customHeight="1" x14ac:dyDescent="0.25">
      <c r="A22" s="15">
        <v>21</v>
      </c>
      <c r="B22" s="16">
        <v>2025</v>
      </c>
      <c r="C22" s="16">
        <v>4</v>
      </c>
      <c r="D22" s="17">
        <v>199</v>
      </c>
      <c r="E22" s="48"/>
      <c r="F22" s="19"/>
      <c r="G22" s="19"/>
      <c r="H22" s="50"/>
      <c r="I22" s="36"/>
      <c r="J22" s="51">
        <v>36856</v>
      </c>
      <c r="K22" s="22">
        <f t="shared" si="0"/>
        <v>36856.000000000007</v>
      </c>
      <c r="L22" s="23">
        <v>31</v>
      </c>
      <c r="M22" s="23">
        <v>30</v>
      </c>
      <c r="N22" s="23">
        <v>1</v>
      </c>
      <c r="O22" s="23">
        <v>0</v>
      </c>
      <c r="P22" s="23">
        <v>0</v>
      </c>
      <c r="Q22" s="24">
        <f>Table14[[#This Row],[Total Days]]-Table14[[#This Row],[Days Worked]]-Table14[[#This Row],[AL]]-Table14[[#This Row],[PL]]-Table14[[#This Row],[BL/ML]]</f>
        <v>0</v>
      </c>
      <c r="R22" s="25">
        <f t="shared" si="1"/>
        <v>31</v>
      </c>
      <c r="S22" s="22">
        <f t="shared" si="25"/>
        <v>32360.380319394444</v>
      </c>
      <c r="T22" s="26">
        <f t="shared" si="3"/>
        <v>15000</v>
      </c>
      <c r="U22" s="26">
        <f t="shared" si="4"/>
        <v>6000</v>
      </c>
      <c r="V22" s="26">
        <v>1000</v>
      </c>
      <c r="W22" s="26">
        <v>1600</v>
      </c>
      <c r="X22" s="26">
        <f t="shared" si="5"/>
        <v>8760.3803193944441</v>
      </c>
      <c r="Y22" s="26">
        <f t="shared" si="6"/>
        <v>0</v>
      </c>
      <c r="Z22" s="26">
        <f t="shared" si="7"/>
        <v>15000</v>
      </c>
      <c r="AA22" s="26">
        <f t="shared" si="8"/>
        <v>6000</v>
      </c>
      <c r="AB22" s="26">
        <f t="shared" si="9"/>
        <v>1000</v>
      </c>
      <c r="AC22" s="26">
        <f t="shared" si="10"/>
        <v>1600</v>
      </c>
      <c r="AD22" s="26">
        <f t="shared" si="11"/>
        <v>8760.3803193944441</v>
      </c>
      <c r="AE22" s="26">
        <f t="shared" si="12"/>
        <v>32360.380319394444</v>
      </c>
      <c r="AF22" s="26">
        <v>0</v>
      </c>
      <c r="AG22" s="26">
        <f t="shared" si="21"/>
        <v>1800</v>
      </c>
      <c r="AH22" s="26">
        <f t="shared" si="14"/>
        <v>0</v>
      </c>
      <c r="AI22" s="27">
        <f t="shared" si="22"/>
        <v>200</v>
      </c>
      <c r="AJ22" s="26">
        <v>0</v>
      </c>
      <c r="AK22" s="26">
        <f t="shared" si="16"/>
        <v>194.16228191636665</v>
      </c>
      <c r="AL22" s="28">
        <v>500</v>
      </c>
      <c r="AM22" s="29">
        <f t="shared" si="17"/>
        <v>29666.218037478076</v>
      </c>
      <c r="AN22" s="30">
        <f t="shared" si="23"/>
        <v>1800</v>
      </c>
      <c r="AO22" s="31">
        <f t="shared" si="24"/>
        <v>0</v>
      </c>
      <c r="AP22" s="32">
        <f t="shared" si="26"/>
        <v>2695.6196806055568</v>
      </c>
    </row>
    <row r="23" spans="1:42" ht="36.75" customHeight="1" x14ac:dyDescent="0.25">
      <c r="A23" s="34">
        <v>22</v>
      </c>
      <c r="B23" s="16">
        <v>2025</v>
      </c>
      <c r="C23" s="16">
        <v>4</v>
      </c>
      <c r="D23" s="17">
        <v>199</v>
      </c>
      <c r="E23" s="52"/>
      <c r="F23" s="19"/>
      <c r="G23" s="19"/>
      <c r="H23" s="39"/>
      <c r="I23" s="40"/>
      <c r="J23" s="51">
        <v>41000</v>
      </c>
      <c r="K23" s="22">
        <f t="shared" si="0"/>
        <v>41000</v>
      </c>
      <c r="L23" s="23">
        <v>31</v>
      </c>
      <c r="M23" s="23">
        <v>30</v>
      </c>
      <c r="N23" s="23">
        <v>1</v>
      </c>
      <c r="O23" s="23">
        <v>0</v>
      </c>
      <c r="P23" s="23">
        <v>0</v>
      </c>
      <c r="Q23" s="24">
        <f>Table14[[#This Row],[Total Days]]-Table14[[#This Row],[Days Worked]]-Table14[[#This Row],[AL]]-Table14[[#This Row],[PL]]-Table14[[#This Row],[BL/ML]]</f>
        <v>0</v>
      </c>
      <c r="R23" s="25">
        <f t="shared" si="1"/>
        <v>31</v>
      </c>
      <c r="S23" s="22">
        <f t="shared" si="25"/>
        <v>36185.728791655129</v>
      </c>
      <c r="T23" s="26">
        <f t="shared" si="3"/>
        <v>15000</v>
      </c>
      <c r="U23" s="26">
        <f t="shared" si="4"/>
        <v>6000</v>
      </c>
      <c r="V23" s="26">
        <v>1000</v>
      </c>
      <c r="W23" s="26">
        <v>1600</v>
      </c>
      <c r="X23" s="26">
        <f t="shared" si="5"/>
        <v>12585.728791655129</v>
      </c>
      <c r="Y23" s="26">
        <f t="shared" si="6"/>
        <v>0</v>
      </c>
      <c r="Z23" s="26">
        <f t="shared" si="7"/>
        <v>15000</v>
      </c>
      <c r="AA23" s="26">
        <f t="shared" si="8"/>
        <v>6000</v>
      </c>
      <c r="AB23" s="26">
        <f t="shared" si="9"/>
        <v>1000</v>
      </c>
      <c r="AC23" s="26">
        <f t="shared" si="10"/>
        <v>1600</v>
      </c>
      <c r="AD23" s="26">
        <f t="shared" si="11"/>
        <v>12585.728791655129</v>
      </c>
      <c r="AE23" s="26">
        <f t="shared" si="12"/>
        <v>36185.728791655129</v>
      </c>
      <c r="AF23" s="26">
        <v>0</v>
      </c>
      <c r="AG23" s="26">
        <f t="shared" si="21"/>
        <v>1800</v>
      </c>
      <c r="AH23" s="26">
        <f t="shared" si="14"/>
        <v>0</v>
      </c>
      <c r="AI23" s="27">
        <f t="shared" si="22"/>
        <v>200</v>
      </c>
      <c r="AJ23" s="26">
        <v>0</v>
      </c>
      <c r="AK23" s="26">
        <f t="shared" si="16"/>
        <v>217.11437274993077</v>
      </c>
      <c r="AL23" s="28">
        <v>500</v>
      </c>
      <c r="AM23" s="29">
        <f t="shared" si="17"/>
        <v>33468.614418905199</v>
      </c>
      <c r="AN23" s="30">
        <f t="shared" si="23"/>
        <v>1800</v>
      </c>
      <c r="AO23" s="31">
        <f t="shared" si="24"/>
        <v>0</v>
      </c>
      <c r="AP23" s="32">
        <f t="shared" si="26"/>
        <v>3014.2712083448719</v>
      </c>
    </row>
    <row r="24" spans="1:42" ht="36.75" customHeight="1" x14ac:dyDescent="0.25">
      <c r="A24" s="15">
        <v>23</v>
      </c>
      <c r="B24" s="16">
        <v>2025</v>
      </c>
      <c r="C24" s="16">
        <v>4</v>
      </c>
      <c r="D24" s="17">
        <v>199</v>
      </c>
      <c r="E24" s="52"/>
      <c r="F24" s="19"/>
      <c r="G24" s="19"/>
      <c r="H24" s="39"/>
      <c r="I24" s="36"/>
      <c r="J24" s="51">
        <v>45063</v>
      </c>
      <c r="K24" s="22">
        <f t="shared" si="0"/>
        <v>45063</v>
      </c>
      <c r="L24" s="23">
        <v>31</v>
      </c>
      <c r="M24" s="23">
        <v>29</v>
      </c>
      <c r="N24" s="23">
        <v>2</v>
      </c>
      <c r="O24" s="23">
        <v>0</v>
      </c>
      <c r="P24" s="23">
        <v>0</v>
      </c>
      <c r="Q24" s="24">
        <f>Table14[[#This Row],[Total Days]]-Table14[[#This Row],[Days Worked]]-Table14[[#This Row],[AL]]-Table14[[#This Row],[PL]]-Table14[[#This Row],[BL/ML]]</f>
        <v>0</v>
      </c>
      <c r="R24" s="25">
        <f t="shared" si="1"/>
        <v>31</v>
      </c>
      <c r="S24" s="22">
        <f t="shared" si="25"/>
        <v>39936.305732484077</v>
      </c>
      <c r="T24" s="26">
        <f t="shared" si="3"/>
        <v>15000</v>
      </c>
      <c r="U24" s="26">
        <f t="shared" si="4"/>
        <v>6000</v>
      </c>
      <c r="V24" s="26">
        <v>1000</v>
      </c>
      <c r="W24" s="26">
        <v>1600</v>
      </c>
      <c r="X24" s="26">
        <f t="shared" si="5"/>
        <v>16336.305732484077</v>
      </c>
      <c r="Y24" s="26">
        <f t="shared" si="6"/>
        <v>0</v>
      </c>
      <c r="Z24" s="26">
        <f t="shared" si="7"/>
        <v>15000</v>
      </c>
      <c r="AA24" s="26">
        <f t="shared" si="8"/>
        <v>6000</v>
      </c>
      <c r="AB24" s="26">
        <f t="shared" si="9"/>
        <v>1000</v>
      </c>
      <c r="AC24" s="26">
        <f t="shared" si="10"/>
        <v>1600</v>
      </c>
      <c r="AD24" s="26">
        <f t="shared" si="11"/>
        <v>16336.305732484079</v>
      </c>
      <c r="AE24" s="26">
        <f t="shared" si="12"/>
        <v>39936.305732484077</v>
      </c>
      <c r="AF24" s="26">
        <v>0</v>
      </c>
      <c r="AG24" s="26">
        <f t="shared" si="21"/>
        <v>1800</v>
      </c>
      <c r="AH24" s="26">
        <f t="shared" si="14"/>
        <v>0</v>
      </c>
      <c r="AI24" s="27">
        <f t="shared" si="22"/>
        <v>200</v>
      </c>
      <c r="AJ24" s="26">
        <v>0</v>
      </c>
      <c r="AK24" s="26">
        <f t="shared" si="16"/>
        <v>239.61783439490443</v>
      </c>
      <c r="AL24" s="28">
        <v>0</v>
      </c>
      <c r="AM24" s="29">
        <f t="shared" si="17"/>
        <v>37696.687898089171</v>
      </c>
      <c r="AN24" s="30">
        <f t="shared" si="23"/>
        <v>1800</v>
      </c>
      <c r="AO24" s="31">
        <f t="shared" si="24"/>
        <v>0</v>
      </c>
      <c r="AP24" s="32">
        <f t="shared" si="26"/>
        <v>3326.6942675159239</v>
      </c>
    </row>
    <row r="25" spans="1:42" ht="36.75" customHeight="1" x14ac:dyDescent="0.25">
      <c r="A25" s="34">
        <v>24</v>
      </c>
      <c r="B25" s="16">
        <v>2025</v>
      </c>
      <c r="C25" s="16">
        <v>4</v>
      </c>
      <c r="D25" s="17">
        <v>199</v>
      </c>
      <c r="E25" s="35"/>
      <c r="F25" s="19"/>
      <c r="G25" s="19"/>
      <c r="H25" s="41"/>
      <c r="I25" s="36"/>
      <c r="J25" s="16">
        <v>33688</v>
      </c>
      <c r="K25" s="22">
        <f t="shared" si="0"/>
        <v>31514.580645161292</v>
      </c>
      <c r="L25" s="23">
        <v>31</v>
      </c>
      <c r="M25" s="23">
        <v>28</v>
      </c>
      <c r="N25" s="23">
        <v>1</v>
      </c>
      <c r="O25" s="23">
        <v>0</v>
      </c>
      <c r="P25" s="23">
        <v>0</v>
      </c>
      <c r="Q25" s="24">
        <f>Table14[[#This Row],[Total Days]]-Table14[[#This Row],[Days Worked]]-Table14[[#This Row],[AL]]-Table14[[#This Row],[PL]]-Table14[[#This Row],[BL/ML]]</f>
        <v>2</v>
      </c>
      <c r="R25" s="25">
        <f t="shared" si="1"/>
        <v>29</v>
      </c>
      <c r="S25" s="22">
        <f t="shared" si="25"/>
        <v>29778.131353310353</v>
      </c>
      <c r="T25" s="26">
        <f t="shared" si="3"/>
        <v>11911.252541324142</v>
      </c>
      <c r="U25" s="26">
        <f t="shared" si="4"/>
        <v>4764.5010165296571</v>
      </c>
      <c r="V25" s="26">
        <v>1000</v>
      </c>
      <c r="W25" s="26">
        <v>1600</v>
      </c>
      <c r="X25" s="26">
        <f t="shared" si="5"/>
        <v>10502.377795456554</v>
      </c>
      <c r="Y25" s="26">
        <f t="shared" si="6"/>
        <v>1921.1697647297001</v>
      </c>
      <c r="Z25" s="26">
        <f t="shared" si="7"/>
        <v>11142.784635432263</v>
      </c>
      <c r="AA25" s="26">
        <f t="shared" si="8"/>
        <v>4457.1138541729051</v>
      </c>
      <c r="AB25" s="26">
        <f t="shared" si="9"/>
        <v>935.48387096774195</v>
      </c>
      <c r="AC25" s="26">
        <f t="shared" si="10"/>
        <v>1496.7741935483871</v>
      </c>
      <c r="AD25" s="26">
        <f t="shared" si="11"/>
        <v>9824.8050344593576</v>
      </c>
      <c r="AE25" s="26">
        <f t="shared" si="12"/>
        <v>27856.961588580652</v>
      </c>
      <c r="AF25" s="26">
        <v>0</v>
      </c>
      <c r="AG25" s="26">
        <f t="shared" si="21"/>
        <v>1337.1341562518717</v>
      </c>
      <c r="AH25" s="26">
        <f t="shared" si="14"/>
        <v>0</v>
      </c>
      <c r="AI25" s="27">
        <f t="shared" si="22"/>
        <v>200</v>
      </c>
      <c r="AJ25" s="26">
        <v>0</v>
      </c>
      <c r="AK25" s="26">
        <f t="shared" si="16"/>
        <v>178.66878811986211</v>
      </c>
      <c r="AL25" s="28">
        <v>500</v>
      </c>
      <c r="AM25" s="29">
        <f t="shared" si="17"/>
        <v>25641.158644208917</v>
      </c>
      <c r="AN25" s="30">
        <f t="shared" si="23"/>
        <v>1337.1341562518717</v>
      </c>
      <c r="AO25" s="31">
        <f t="shared" si="24"/>
        <v>0</v>
      </c>
      <c r="AP25" s="32">
        <f t="shared" si="26"/>
        <v>2320.4849003287686</v>
      </c>
    </row>
    <row r="26" spans="1:42" ht="36.75" customHeight="1" x14ac:dyDescent="0.25">
      <c r="A26" s="15">
        <v>25</v>
      </c>
      <c r="B26" s="16">
        <v>2025</v>
      </c>
      <c r="C26" s="16">
        <v>4</v>
      </c>
      <c r="D26" s="17">
        <v>199</v>
      </c>
      <c r="E26" s="35"/>
      <c r="F26" s="19"/>
      <c r="G26" s="19"/>
      <c r="H26" s="19"/>
      <c r="I26" s="36"/>
      <c r="J26" s="51">
        <v>40698</v>
      </c>
      <c r="K26" s="22">
        <f t="shared" si="0"/>
        <v>40698.000000000007</v>
      </c>
      <c r="L26" s="23">
        <v>31</v>
      </c>
      <c r="M26" s="23">
        <v>30</v>
      </c>
      <c r="N26" s="23">
        <v>0</v>
      </c>
      <c r="O26" s="23">
        <v>0</v>
      </c>
      <c r="P26" s="23">
        <v>1</v>
      </c>
      <c r="Q26" s="24">
        <f>Table14[[#This Row],[Total Days]]-Table14[[#This Row],[Days Worked]]-Table14[[#This Row],[AL]]-Table14[[#This Row],[PL]]-Table14[[#This Row],[BL/ML]]</f>
        <v>0</v>
      </c>
      <c r="R26" s="25">
        <f t="shared" si="1"/>
        <v>31</v>
      </c>
      <c r="S26" s="22">
        <f t="shared" si="25"/>
        <v>35906.950983107177</v>
      </c>
      <c r="T26" s="26">
        <f t="shared" si="3"/>
        <v>15000</v>
      </c>
      <c r="U26" s="26">
        <f t="shared" si="4"/>
        <v>6000</v>
      </c>
      <c r="V26" s="26">
        <v>1000</v>
      </c>
      <c r="W26" s="26">
        <v>1600</v>
      </c>
      <c r="X26" s="26">
        <f t="shared" si="5"/>
        <v>12306.950983107177</v>
      </c>
      <c r="Y26" s="26">
        <f t="shared" si="6"/>
        <v>0</v>
      </c>
      <c r="Z26" s="26">
        <f t="shared" si="7"/>
        <v>15000</v>
      </c>
      <c r="AA26" s="26">
        <f t="shared" si="8"/>
        <v>6000</v>
      </c>
      <c r="AB26" s="26">
        <f t="shared" si="9"/>
        <v>1000</v>
      </c>
      <c r="AC26" s="26">
        <f t="shared" si="10"/>
        <v>1600</v>
      </c>
      <c r="AD26" s="26">
        <f t="shared" si="11"/>
        <v>12306.950983107177</v>
      </c>
      <c r="AE26" s="26">
        <f t="shared" si="12"/>
        <v>35906.950983107177</v>
      </c>
      <c r="AF26" s="26">
        <v>0</v>
      </c>
      <c r="AG26" s="26">
        <f t="shared" si="21"/>
        <v>1800</v>
      </c>
      <c r="AH26" s="26">
        <f t="shared" si="14"/>
        <v>0</v>
      </c>
      <c r="AI26" s="27">
        <f t="shared" si="22"/>
        <v>200</v>
      </c>
      <c r="AJ26" s="26">
        <v>0</v>
      </c>
      <c r="AK26" s="26">
        <f t="shared" si="16"/>
        <v>215.44170589864305</v>
      </c>
      <c r="AL26" s="28">
        <v>500</v>
      </c>
      <c r="AM26" s="29">
        <f t="shared" si="17"/>
        <v>33191.509277208534</v>
      </c>
      <c r="AN26" s="30">
        <f t="shared" si="23"/>
        <v>1800</v>
      </c>
      <c r="AO26" s="31">
        <f t="shared" si="24"/>
        <v>0</v>
      </c>
      <c r="AP26" s="32">
        <f t="shared" si="26"/>
        <v>2991.0490168928281</v>
      </c>
    </row>
    <row r="27" spans="1:42" ht="36.75" customHeight="1" x14ac:dyDescent="0.25">
      <c r="A27" s="34">
        <v>26</v>
      </c>
      <c r="B27" s="16">
        <v>2025</v>
      </c>
      <c r="C27" s="16">
        <v>4</v>
      </c>
      <c r="D27" s="17">
        <v>199</v>
      </c>
      <c r="E27" s="48"/>
      <c r="F27" s="19"/>
      <c r="G27" s="19"/>
      <c r="H27" s="53"/>
      <c r="I27" s="36"/>
      <c r="J27" s="51">
        <v>139980</v>
      </c>
      <c r="K27" s="22">
        <f t="shared" si="0"/>
        <v>139980</v>
      </c>
      <c r="L27" s="23">
        <v>31</v>
      </c>
      <c r="M27" s="23">
        <v>30</v>
      </c>
      <c r="N27" s="23">
        <v>1</v>
      </c>
      <c r="O27" s="23">
        <v>0</v>
      </c>
      <c r="P27" s="23">
        <v>0</v>
      </c>
      <c r="Q27" s="24">
        <f>Table14[[#This Row],[Total Days]]-Table14[[#This Row],[Days Worked]]-Table14[[#This Row],[AL]]-Table14[[#This Row],[PL]]-Table14[[#This Row],[BL/ML]]</f>
        <v>0</v>
      </c>
      <c r="R27" s="25">
        <f t="shared" si="1"/>
        <v>31</v>
      </c>
      <c r="S27" s="22">
        <f t="shared" si="25"/>
        <v>127554.69399058433</v>
      </c>
      <c r="T27" s="26">
        <f t="shared" si="3"/>
        <v>15000</v>
      </c>
      <c r="U27" s="26">
        <f t="shared" si="4"/>
        <v>6000</v>
      </c>
      <c r="V27" s="26">
        <v>1000</v>
      </c>
      <c r="W27" s="26">
        <v>1600</v>
      </c>
      <c r="X27" s="26">
        <f t="shared" si="5"/>
        <v>103954.69399058433</v>
      </c>
      <c r="Y27" s="26">
        <f t="shared" si="6"/>
        <v>0</v>
      </c>
      <c r="Z27" s="26">
        <f t="shared" si="7"/>
        <v>15000</v>
      </c>
      <c r="AA27" s="26">
        <f t="shared" si="8"/>
        <v>6000</v>
      </c>
      <c r="AB27" s="26">
        <f t="shared" si="9"/>
        <v>1000</v>
      </c>
      <c r="AC27" s="26">
        <f t="shared" si="10"/>
        <v>1600</v>
      </c>
      <c r="AD27" s="26">
        <f t="shared" si="11"/>
        <v>103954.69399058433</v>
      </c>
      <c r="AE27" s="26">
        <f t="shared" si="12"/>
        <v>127554.69399058433</v>
      </c>
      <c r="AF27" s="26">
        <v>0</v>
      </c>
      <c r="AG27" s="26">
        <f t="shared" si="21"/>
        <v>1800</v>
      </c>
      <c r="AH27" s="26">
        <f t="shared" si="14"/>
        <v>0</v>
      </c>
      <c r="AI27" s="27">
        <f t="shared" si="22"/>
        <v>200</v>
      </c>
      <c r="AJ27" s="26">
        <v>0</v>
      </c>
      <c r="AK27" s="26">
        <f t="shared" si="16"/>
        <v>765.32816394350584</v>
      </c>
      <c r="AL27" s="28">
        <v>500</v>
      </c>
      <c r="AM27" s="29">
        <f t="shared" si="17"/>
        <v>124289.36582664083</v>
      </c>
      <c r="AN27" s="30">
        <f t="shared" si="23"/>
        <v>1800</v>
      </c>
      <c r="AO27" s="31">
        <f t="shared" si="24"/>
        <v>0</v>
      </c>
      <c r="AP27" s="32">
        <f t="shared" si="26"/>
        <v>10625.306009415675</v>
      </c>
    </row>
    <row r="28" spans="1:42" ht="36.75" customHeight="1" x14ac:dyDescent="0.25">
      <c r="A28" s="15">
        <v>27</v>
      </c>
      <c r="B28" s="16">
        <v>2025</v>
      </c>
      <c r="C28" s="16">
        <v>4</v>
      </c>
      <c r="D28" s="17">
        <v>199</v>
      </c>
      <c r="E28" s="54"/>
      <c r="F28" s="19"/>
      <c r="G28" s="19"/>
      <c r="H28" s="55"/>
      <c r="I28" s="45"/>
      <c r="J28" s="51">
        <v>18000</v>
      </c>
      <c r="K28" s="22">
        <f t="shared" si="0"/>
        <v>16258.064516129034</v>
      </c>
      <c r="L28" s="23">
        <v>31</v>
      </c>
      <c r="M28" s="23">
        <v>27</v>
      </c>
      <c r="N28" s="23">
        <v>1</v>
      </c>
      <c r="O28" s="23">
        <v>0</v>
      </c>
      <c r="P28" s="23">
        <v>0</v>
      </c>
      <c r="Q28" s="24">
        <f>Table14[[#This Row],[Total Days]]-Table14[[#This Row],[Days Worked]]-Table14[[#This Row],[AL]]-Table14[[#This Row],[PL]]-Table14[[#This Row],[BL/ML]]</f>
        <v>3</v>
      </c>
      <c r="R28" s="25">
        <f t="shared" si="1"/>
        <v>28</v>
      </c>
      <c r="S28" s="22">
        <f t="shared" si="25"/>
        <v>15466.575012888814</v>
      </c>
      <c r="T28" s="26">
        <f t="shared" si="3"/>
        <v>6186.6300051555263</v>
      </c>
      <c r="U28" s="26">
        <f t="shared" si="4"/>
        <v>2474.6520020622106</v>
      </c>
      <c r="V28" s="26">
        <v>1000</v>
      </c>
      <c r="W28" s="26">
        <v>1600</v>
      </c>
      <c r="X28" s="26">
        <f t="shared" si="5"/>
        <v>4205.2930056710775</v>
      </c>
      <c r="Y28" s="26">
        <f t="shared" si="6"/>
        <v>1496.7653238279497</v>
      </c>
      <c r="Z28" s="26">
        <f t="shared" si="7"/>
        <v>5587.9238756243467</v>
      </c>
      <c r="AA28" s="26">
        <f t="shared" si="8"/>
        <v>2235.1695502497387</v>
      </c>
      <c r="AB28" s="26">
        <f t="shared" si="9"/>
        <v>903.22580645161293</v>
      </c>
      <c r="AC28" s="26">
        <f t="shared" si="10"/>
        <v>1445.1612903225805</v>
      </c>
      <c r="AD28" s="26">
        <f t="shared" si="11"/>
        <v>3798.3291664125859</v>
      </c>
      <c r="AE28" s="26">
        <f t="shared" si="12"/>
        <v>13969.809689060865</v>
      </c>
      <c r="AF28" s="26">
        <v>0</v>
      </c>
      <c r="AG28" s="26">
        <f t="shared" si="21"/>
        <v>670.5508650749216</v>
      </c>
      <c r="AH28" s="26">
        <f t="shared" si="14"/>
        <v>104.77357266795649</v>
      </c>
      <c r="AI28" s="27">
        <f t="shared" si="22"/>
        <v>0</v>
      </c>
      <c r="AJ28" s="26">
        <v>0</v>
      </c>
      <c r="AK28" s="26">
        <f t="shared" si="16"/>
        <v>92.799450077332878</v>
      </c>
      <c r="AL28" s="28">
        <v>500</v>
      </c>
      <c r="AM28" s="29">
        <f t="shared" si="17"/>
        <v>12601.685801240654</v>
      </c>
      <c r="AN28" s="30">
        <f t="shared" si="23"/>
        <v>670.5508650749216</v>
      </c>
      <c r="AO28" s="31">
        <f t="shared" si="24"/>
        <v>454.01881489447811</v>
      </c>
      <c r="AP28" s="32">
        <f t="shared" si="26"/>
        <v>1163.6851470987701</v>
      </c>
    </row>
    <row r="29" spans="1:42" ht="36.75" customHeight="1" x14ac:dyDescent="0.25">
      <c r="A29" s="34">
        <v>28</v>
      </c>
      <c r="B29" s="16">
        <v>2025</v>
      </c>
      <c r="C29" s="16">
        <v>4</v>
      </c>
      <c r="D29" s="17">
        <v>199</v>
      </c>
      <c r="E29" s="54"/>
      <c r="F29" s="19"/>
      <c r="G29" s="19"/>
      <c r="H29" s="55"/>
      <c r="I29" s="45"/>
      <c r="J29" s="51">
        <v>18787</v>
      </c>
      <c r="K29" s="22">
        <f t="shared" si="0"/>
        <v>18786.999999999996</v>
      </c>
      <c r="L29" s="23">
        <v>31</v>
      </c>
      <c r="M29" s="23">
        <v>30</v>
      </c>
      <c r="N29" s="23">
        <v>1</v>
      </c>
      <c r="O29" s="23">
        <v>0</v>
      </c>
      <c r="P29" s="23">
        <v>0</v>
      </c>
      <c r="Q29" s="24">
        <f>Table14[[#This Row],[Total Days]]-Table14[[#This Row],[Days Worked]]-Table14[[#This Row],[AL]]-Table14[[#This Row],[PL]]-Table14[[#This Row],[BL/ML]]</f>
        <v>0</v>
      </c>
      <c r="R29" s="25">
        <f t="shared" si="1"/>
        <v>31</v>
      </c>
      <c r="S29" s="22">
        <f t="shared" si="25"/>
        <v>16142.808042619008</v>
      </c>
      <c r="T29" s="26">
        <f t="shared" si="3"/>
        <v>6457.1232170476032</v>
      </c>
      <c r="U29" s="26">
        <f t="shared" si="4"/>
        <v>2582.8492868190415</v>
      </c>
      <c r="V29" s="26">
        <v>1000</v>
      </c>
      <c r="W29" s="26">
        <v>1600</v>
      </c>
      <c r="X29" s="26">
        <f t="shared" si="5"/>
        <v>4502.8355387523634</v>
      </c>
      <c r="Y29" s="26">
        <f t="shared" si="6"/>
        <v>0</v>
      </c>
      <c r="Z29" s="26">
        <f t="shared" si="7"/>
        <v>6457.1232170476032</v>
      </c>
      <c r="AA29" s="26">
        <f t="shared" si="8"/>
        <v>2582.8492868190415</v>
      </c>
      <c r="AB29" s="26">
        <f t="shared" si="9"/>
        <v>1000</v>
      </c>
      <c r="AC29" s="26">
        <f t="shared" si="10"/>
        <v>1600</v>
      </c>
      <c r="AD29" s="26">
        <f t="shared" si="11"/>
        <v>4502.8355387523634</v>
      </c>
      <c r="AE29" s="26">
        <f t="shared" si="12"/>
        <v>16142.808042619006</v>
      </c>
      <c r="AF29" s="26">
        <v>0</v>
      </c>
      <c r="AG29" s="26">
        <f t="shared" si="21"/>
        <v>774.85478604571244</v>
      </c>
      <c r="AH29" s="26">
        <f t="shared" si="14"/>
        <v>121.07106031964254</v>
      </c>
      <c r="AI29" s="27">
        <f t="shared" si="22"/>
        <v>150</v>
      </c>
      <c r="AJ29" s="26">
        <v>0</v>
      </c>
      <c r="AK29" s="26">
        <f t="shared" si="16"/>
        <v>96.856848255714056</v>
      </c>
      <c r="AL29" s="28">
        <v>500</v>
      </c>
      <c r="AM29" s="29">
        <f t="shared" si="17"/>
        <v>14500.025347997936</v>
      </c>
      <c r="AN29" s="30">
        <f t="shared" si="23"/>
        <v>774.85478604571244</v>
      </c>
      <c r="AO29" s="31">
        <f t="shared" si="24"/>
        <v>524.64126138511767</v>
      </c>
      <c r="AP29" s="32">
        <f t="shared" si="26"/>
        <v>1344.6959099501632</v>
      </c>
    </row>
    <row r="30" spans="1:42" ht="36.75" customHeight="1" x14ac:dyDescent="0.25">
      <c r="A30" s="15">
        <v>29</v>
      </c>
      <c r="B30" s="16">
        <v>2025</v>
      </c>
      <c r="C30" s="16">
        <v>4</v>
      </c>
      <c r="D30" s="17">
        <v>199</v>
      </c>
      <c r="E30" s="54"/>
      <c r="F30" s="19"/>
      <c r="G30" s="19"/>
      <c r="H30" s="55"/>
      <c r="I30" s="45"/>
      <c r="J30" s="51">
        <v>35000</v>
      </c>
      <c r="K30" s="22">
        <f t="shared" si="0"/>
        <v>35000</v>
      </c>
      <c r="L30" s="23">
        <v>31</v>
      </c>
      <c r="M30" s="23">
        <v>31</v>
      </c>
      <c r="N30" s="23">
        <v>0</v>
      </c>
      <c r="O30" s="23">
        <v>0</v>
      </c>
      <c r="P30" s="23">
        <v>0</v>
      </c>
      <c r="Q30" s="24">
        <f>Table14[[#This Row],[Total Days]]-Table14[[#This Row],[Days Worked]]-Table14[[#This Row],[AL]]-Table14[[#This Row],[PL]]-Table14[[#This Row],[BL/ML]]</f>
        <v>0</v>
      </c>
      <c r="R30" s="25">
        <f t="shared" si="1"/>
        <v>31</v>
      </c>
      <c r="S30" s="22">
        <f t="shared" si="25"/>
        <v>30647.096833748732</v>
      </c>
      <c r="T30" s="26">
        <f t="shared" si="3"/>
        <v>15000</v>
      </c>
      <c r="U30" s="26">
        <f t="shared" si="4"/>
        <v>6000</v>
      </c>
      <c r="V30" s="26">
        <v>1000</v>
      </c>
      <c r="W30" s="26">
        <v>1600</v>
      </c>
      <c r="X30" s="26">
        <f t="shared" si="5"/>
        <v>7047.096833748732</v>
      </c>
      <c r="Y30" s="26">
        <f t="shared" si="6"/>
        <v>0</v>
      </c>
      <c r="Z30" s="26">
        <f t="shared" si="7"/>
        <v>15000</v>
      </c>
      <c r="AA30" s="26">
        <f t="shared" si="8"/>
        <v>6000</v>
      </c>
      <c r="AB30" s="26">
        <f t="shared" si="9"/>
        <v>1000</v>
      </c>
      <c r="AC30" s="26">
        <f t="shared" si="10"/>
        <v>1600</v>
      </c>
      <c r="AD30" s="26">
        <f t="shared" si="11"/>
        <v>7047.096833748732</v>
      </c>
      <c r="AE30" s="26">
        <f t="shared" si="12"/>
        <v>30647.096833748732</v>
      </c>
      <c r="AF30" s="26"/>
      <c r="AG30" s="26">
        <f t="shared" si="21"/>
        <v>1800</v>
      </c>
      <c r="AH30" s="26">
        <f t="shared" si="14"/>
        <v>0</v>
      </c>
      <c r="AI30" s="27">
        <f t="shared" si="22"/>
        <v>200</v>
      </c>
      <c r="AJ30" s="26">
        <v>0</v>
      </c>
      <c r="AK30" s="26">
        <f t="shared" si="16"/>
        <v>183.8825810024924</v>
      </c>
      <c r="AL30" s="28">
        <v>500</v>
      </c>
      <c r="AM30" s="29">
        <f t="shared" si="17"/>
        <v>27963.214252746238</v>
      </c>
      <c r="AN30" s="30">
        <f t="shared" si="23"/>
        <v>1800</v>
      </c>
      <c r="AO30" s="31">
        <f t="shared" si="24"/>
        <v>0</v>
      </c>
      <c r="AP30" s="32">
        <f t="shared" si="26"/>
        <v>2552.9031662512693</v>
      </c>
    </row>
    <row r="31" spans="1:42" ht="36.75" customHeight="1" x14ac:dyDescent="0.25">
      <c r="A31" s="34">
        <v>30</v>
      </c>
      <c r="B31" s="16">
        <v>2025</v>
      </c>
      <c r="C31" s="16">
        <v>4</v>
      </c>
      <c r="D31" s="17">
        <v>199</v>
      </c>
      <c r="E31" s="48"/>
      <c r="F31" s="19"/>
      <c r="G31" s="19"/>
      <c r="H31" s="19"/>
      <c r="I31" s="36"/>
      <c r="J31" s="21">
        <v>73150</v>
      </c>
      <c r="K31" s="22">
        <f t="shared" si="0"/>
        <v>73150.000000000015</v>
      </c>
      <c r="L31" s="23">
        <v>31</v>
      </c>
      <c r="M31" s="23">
        <v>26</v>
      </c>
      <c r="N31" s="23">
        <v>5</v>
      </c>
      <c r="O31" s="23">
        <v>0</v>
      </c>
      <c r="P31" s="23">
        <v>0</v>
      </c>
      <c r="Q31" s="24">
        <f>Table14[[#This Row],[Total Days]]-Table14[[#This Row],[Days Worked]]-Table14[[#This Row],[AL]]-Table14[[#This Row],[PL]]-Table14[[#This Row],[BL/ML]]</f>
        <v>0</v>
      </c>
      <c r="R31" s="25">
        <f t="shared" si="1"/>
        <v>31</v>
      </c>
      <c r="S31" s="22">
        <f t="shared" si="25"/>
        <v>65863.565032770246</v>
      </c>
      <c r="T31" s="26">
        <f t="shared" si="3"/>
        <v>15000</v>
      </c>
      <c r="U31" s="26">
        <f t="shared" si="4"/>
        <v>6000</v>
      </c>
      <c r="V31" s="26">
        <v>1000</v>
      </c>
      <c r="W31" s="26">
        <v>1600</v>
      </c>
      <c r="X31" s="26">
        <f t="shared" si="5"/>
        <v>42263.565032770246</v>
      </c>
      <c r="Y31" s="26">
        <f t="shared" si="6"/>
        <v>0</v>
      </c>
      <c r="Z31" s="26">
        <f t="shared" si="7"/>
        <v>15000</v>
      </c>
      <c r="AA31" s="26">
        <f t="shared" si="8"/>
        <v>6000</v>
      </c>
      <c r="AB31" s="26">
        <f t="shared" si="9"/>
        <v>1000</v>
      </c>
      <c r="AC31" s="26">
        <f t="shared" si="10"/>
        <v>1600</v>
      </c>
      <c r="AD31" s="26">
        <f t="shared" si="11"/>
        <v>42263.565032770246</v>
      </c>
      <c r="AE31" s="26">
        <f t="shared" si="12"/>
        <v>65863.565032770246</v>
      </c>
      <c r="AF31" s="26">
        <v>0</v>
      </c>
      <c r="AG31" s="26">
        <f t="shared" si="21"/>
        <v>1800</v>
      </c>
      <c r="AH31" s="26">
        <f t="shared" si="14"/>
        <v>0</v>
      </c>
      <c r="AI31" s="27">
        <f t="shared" si="22"/>
        <v>200</v>
      </c>
      <c r="AJ31" s="26">
        <v>0</v>
      </c>
      <c r="AK31" s="26">
        <f t="shared" si="16"/>
        <v>395.18139019662141</v>
      </c>
      <c r="AL31" s="28">
        <v>500</v>
      </c>
      <c r="AM31" s="29">
        <f t="shared" si="17"/>
        <v>62968.383642573623</v>
      </c>
      <c r="AN31" s="30">
        <f t="shared" si="23"/>
        <v>1800</v>
      </c>
      <c r="AO31" s="31">
        <f t="shared" si="24"/>
        <v>0</v>
      </c>
      <c r="AP31" s="32">
        <f t="shared" si="26"/>
        <v>5486.4349672297622</v>
      </c>
    </row>
    <row r="32" spans="1:42" ht="36.75" customHeight="1" x14ac:dyDescent="0.25">
      <c r="A32" s="15">
        <v>31</v>
      </c>
      <c r="B32" s="16">
        <v>2025</v>
      </c>
      <c r="C32" s="16">
        <v>4</v>
      </c>
      <c r="D32" s="17">
        <v>199</v>
      </c>
      <c r="E32" s="48"/>
      <c r="F32" s="19"/>
      <c r="G32" s="19"/>
      <c r="H32" s="56"/>
      <c r="I32" s="36"/>
      <c r="J32" s="21">
        <v>32095</v>
      </c>
      <c r="K32" s="22">
        <f t="shared" si="0"/>
        <v>32094.999999999996</v>
      </c>
      <c r="L32" s="23">
        <v>31</v>
      </c>
      <c r="M32" s="23">
        <v>29</v>
      </c>
      <c r="N32" s="23">
        <v>2</v>
      </c>
      <c r="O32" s="23">
        <v>0</v>
      </c>
      <c r="P32" s="23">
        <v>0</v>
      </c>
      <c r="Q32" s="24">
        <f>Table14[[#This Row],[Total Days]]-Table14[[#This Row],[Days Worked]]-Table14[[#This Row],[AL]]-Table14[[#This Row],[PL]]-Table14[[#This Row],[BL/ML]]</f>
        <v>0</v>
      </c>
      <c r="R32" s="25">
        <f t="shared" si="1"/>
        <v>31</v>
      </c>
      <c r="S32" s="22">
        <f t="shared" si="25"/>
        <v>28370.016794837797</v>
      </c>
      <c r="T32" s="26">
        <f t="shared" si="3"/>
        <v>11348.006717935119</v>
      </c>
      <c r="U32" s="26">
        <f t="shared" si="4"/>
        <v>4539.2026871740482</v>
      </c>
      <c r="V32" s="26">
        <v>1000</v>
      </c>
      <c r="W32" s="26">
        <v>1600</v>
      </c>
      <c r="X32" s="26">
        <f t="shared" si="5"/>
        <v>9882.8073897286267</v>
      </c>
      <c r="Y32" s="26">
        <f t="shared" si="6"/>
        <v>0</v>
      </c>
      <c r="Z32" s="26">
        <f t="shared" si="7"/>
        <v>11348.006717935119</v>
      </c>
      <c r="AA32" s="26">
        <f t="shared" si="8"/>
        <v>4539.2026871740482</v>
      </c>
      <c r="AB32" s="26">
        <f t="shared" si="9"/>
        <v>1000</v>
      </c>
      <c r="AC32" s="26">
        <f t="shared" si="10"/>
        <v>1600</v>
      </c>
      <c r="AD32" s="26">
        <f t="shared" si="11"/>
        <v>9882.8073897286267</v>
      </c>
      <c r="AE32" s="26">
        <f t="shared" si="12"/>
        <v>28370.016794837793</v>
      </c>
      <c r="AF32" s="26">
        <v>0</v>
      </c>
      <c r="AG32" s="26">
        <f t="shared" si="21"/>
        <v>1361.7608061522144</v>
      </c>
      <c r="AH32" s="26">
        <f t="shared" si="14"/>
        <v>0</v>
      </c>
      <c r="AI32" s="27">
        <f t="shared" si="22"/>
        <v>200</v>
      </c>
      <c r="AJ32" s="26">
        <v>0</v>
      </c>
      <c r="AK32" s="26">
        <f t="shared" si="16"/>
        <v>170.2201007690268</v>
      </c>
      <c r="AL32" s="28">
        <v>0</v>
      </c>
      <c r="AM32" s="29">
        <f t="shared" si="17"/>
        <v>26638.035887916551</v>
      </c>
      <c r="AN32" s="30">
        <f t="shared" si="23"/>
        <v>1361.7608061522144</v>
      </c>
      <c r="AO32" s="31">
        <f t="shared" si="24"/>
        <v>0</v>
      </c>
      <c r="AP32" s="32">
        <f t="shared" si="26"/>
        <v>2363.2223990099883</v>
      </c>
    </row>
    <row r="33" spans="1:42" ht="36.75" customHeight="1" x14ac:dyDescent="0.25">
      <c r="A33" s="34">
        <v>32</v>
      </c>
      <c r="B33" s="16">
        <v>2025</v>
      </c>
      <c r="C33" s="16">
        <v>4</v>
      </c>
      <c r="D33" s="17">
        <v>199</v>
      </c>
      <c r="E33" s="48"/>
      <c r="F33" s="19"/>
      <c r="G33" s="19"/>
      <c r="H33" s="55"/>
      <c r="I33" s="45"/>
      <c r="J33" s="21">
        <v>15001</v>
      </c>
      <c r="K33" s="22">
        <f t="shared" si="0"/>
        <v>10645.870967741939</v>
      </c>
      <c r="L33" s="23">
        <v>31</v>
      </c>
      <c r="M33" s="23">
        <v>21</v>
      </c>
      <c r="N33" s="23">
        <v>1</v>
      </c>
      <c r="O33" s="23">
        <v>0</v>
      </c>
      <c r="P33" s="23">
        <v>0</v>
      </c>
      <c r="Q33" s="24">
        <f>Table14[[#This Row],[Total Days]]-Table14[[#This Row],[Days Worked]]-Table14[[#This Row],[AL]]-Table14[[#This Row],[PL]]-Table14[[#This Row],[BL/ML]]</f>
        <v>9</v>
      </c>
      <c r="R33" s="25">
        <f t="shared" si="1"/>
        <v>22</v>
      </c>
      <c r="S33" s="22">
        <f t="shared" si="25"/>
        <v>12758.122129613881</v>
      </c>
      <c r="T33" s="26">
        <f t="shared" si="3"/>
        <v>6379.0610648069405</v>
      </c>
      <c r="U33" s="26">
        <f t="shared" si="4"/>
        <v>2551.6244259227765</v>
      </c>
      <c r="V33" s="26">
        <v>1000</v>
      </c>
      <c r="W33" s="26">
        <v>1600</v>
      </c>
      <c r="X33" s="26">
        <f t="shared" si="5"/>
        <v>1227.436638884164</v>
      </c>
      <c r="Y33" s="26">
        <f t="shared" si="6"/>
        <v>3703.9709408556428</v>
      </c>
      <c r="Z33" s="26">
        <f t="shared" si="7"/>
        <v>4527.0755943791191</v>
      </c>
      <c r="AA33" s="26">
        <f t="shared" si="8"/>
        <v>1810.8302377516479</v>
      </c>
      <c r="AB33" s="26">
        <f t="shared" si="9"/>
        <v>709.67741935483866</v>
      </c>
      <c r="AC33" s="26">
        <f t="shared" si="10"/>
        <v>1135.483870967742</v>
      </c>
      <c r="AD33" s="26">
        <f t="shared" si="11"/>
        <v>871.0840663048906</v>
      </c>
      <c r="AE33" s="26">
        <f t="shared" si="12"/>
        <v>9054.1511887582401</v>
      </c>
      <c r="AF33" s="26">
        <v>0</v>
      </c>
      <c r="AG33" s="26">
        <f t="shared" si="21"/>
        <v>543.24907132549424</v>
      </c>
      <c r="AH33" s="26">
        <f t="shared" si="14"/>
        <v>67.906133915686794</v>
      </c>
      <c r="AI33" s="27">
        <f t="shared" si="22"/>
        <v>0</v>
      </c>
      <c r="AJ33" s="26">
        <v>0</v>
      </c>
      <c r="AK33" s="26">
        <f t="shared" si="16"/>
        <v>76.54873277768327</v>
      </c>
      <c r="AL33" s="28">
        <v>500</v>
      </c>
      <c r="AM33" s="29">
        <f t="shared" si="17"/>
        <v>7866.4472507393757</v>
      </c>
      <c r="AN33" s="30">
        <f t="shared" si="23"/>
        <v>543.24907132549424</v>
      </c>
      <c r="AO33" s="31">
        <f t="shared" si="24"/>
        <v>294.25991363464283</v>
      </c>
      <c r="AP33" s="32">
        <f t="shared" si="26"/>
        <v>754.21079402356145</v>
      </c>
    </row>
    <row r="34" spans="1:42" ht="36.75" customHeight="1" x14ac:dyDescent="0.25">
      <c r="A34" s="15">
        <v>33</v>
      </c>
      <c r="B34" s="16">
        <v>2025</v>
      </c>
      <c r="C34" s="16">
        <v>4</v>
      </c>
      <c r="D34" s="17">
        <v>199</v>
      </c>
      <c r="E34" s="52"/>
      <c r="F34" s="19"/>
      <c r="G34" s="19"/>
      <c r="H34" s="39"/>
      <c r="I34" s="40"/>
      <c r="J34" s="21">
        <v>34559</v>
      </c>
      <c r="K34" s="22">
        <f t="shared" si="0"/>
        <v>34559</v>
      </c>
      <c r="L34" s="23">
        <v>31</v>
      </c>
      <c r="M34" s="23">
        <v>31</v>
      </c>
      <c r="N34" s="23">
        <v>0</v>
      </c>
      <c r="O34" s="23">
        <v>0</v>
      </c>
      <c r="P34" s="23">
        <v>0</v>
      </c>
      <c r="Q34" s="24">
        <f>Table14[[#This Row],[Total Days]]-Table14[[#This Row],[Days Worked]]-Table14[[#This Row],[AL]]-Table14[[#This Row],[PL]]-Table14[[#This Row],[BL/ML]]</f>
        <v>0</v>
      </c>
      <c r="R34" s="25">
        <f t="shared" si="1"/>
        <v>31</v>
      </c>
      <c r="S34" s="22">
        <f t="shared" si="25"/>
        <v>30240.007384842611</v>
      </c>
      <c r="T34" s="26">
        <f t="shared" si="3"/>
        <v>15000</v>
      </c>
      <c r="U34" s="26">
        <f t="shared" si="4"/>
        <v>6000</v>
      </c>
      <c r="V34" s="26">
        <v>1000</v>
      </c>
      <c r="W34" s="26">
        <v>1600</v>
      </c>
      <c r="X34" s="26">
        <f t="shared" si="5"/>
        <v>6640.0073848426109</v>
      </c>
      <c r="Y34" s="26">
        <f t="shared" si="6"/>
        <v>0</v>
      </c>
      <c r="Z34" s="26">
        <f t="shared" si="7"/>
        <v>15000</v>
      </c>
      <c r="AA34" s="26">
        <f t="shared" si="8"/>
        <v>6000</v>
      </c>
      <c r="AB34" s="26">
        <f t="shared" si="9"/>
        <v>1000</v>
      </c>
      <c r="AC34" s="26">
        <f t="shared" si="10"/>
        <v>1600</v>
      </c>
      <c r="AD34" s="26">
        <f t="shared" si="11"/>
        <v>6640.0073848426109</v>
      </c>
      <c r="AE34" s="26">
        <f t="shared" si="12"/>
        <v>30240.007384842611</v>
      </c>
      <c r="AF34" s="26">
        <v>0</v>
      </c>
      <c r="AG34" s="26">
        <f t="shared" si="21"/>
        <v>1800</v>
      </c>
      <c r="AH34" s="26">
        <f t="shared" si="14"/>
        <v>0</v>
      </c>
      <c r="AI34" s="27">
        <f t="shared" si="22"/>
        <v>200</v>
      </c>
      <c r="AJ34" s="26">
        <v>0</v>
      </c>
      <c r="AK34" s="26">
        <f t="shared" si="16"/>
        <v>181.44004430905568</v>
      </c>
      <c r="AL34" s="28">
        <v>500</v>
      </c>
      <c r="AM34" s="29">
        <f t="shared" si="17"/>
        <v>27558.567340533555</v>
      </c>
      <c r="AN34" s="30">
        <f t="shared" si="23"/>
        <v>1800</v>
      </c>
      <c r="AO34" s="31">
        <f t="shared" si="24"/>
        <v>0</v>
      </c>
      <c r="AP34" s="32">
        <f t="shared" si="26"/>
        <v>2518.9926151573895</v>
      </c>
    </row>
    <row r="35" spans="1:42" ht="36.75" customHeight="1" x14ac:dyDescent="0.25">
      <c r="A35" s="34">
        <v>34</v>
      </c>
      <c r="B35" s="16">
        <v>2025</v>
      </c>
      <c r="C35" s="16">
        <v>4</v>
      </c>
      <c r="D35" s="17">
        <v>199</v>
      </c>
      <c r="E35" s="52"/>
      <c r="F35" s="19"/>
      <c r="G35" s="19"/>
      <c r="H35" s="39"/>
      <c r="I35" s="40"/>
      <c r="J35" s="21">
        <v>26250</v>
      </c>
      <c r="K35" s="22">
        <f t="shared" si="0"/>
        <v>25403.22580645161</v>
      </c>
      <c r="L35" s="23">
        <v>31</v>
      </c>
      <c r="M35" s="23">
        <v>29</v>
      </c>
      <c r="N35" s="23">
        <v>1</v>
      </c>
      <c r="O35" s="23">
        <v>0</v>
      </c>
      <c r="P35" s="23">
        <v>0</v>
      </c>
      <c r="Q35" s="24">
        <f>Table14[[#This Row],[Total Days]]-Table14[[#This Row],[Days Worked]]-Table14[[#This Row],[AL]]-Table14[[#This Row],[PL]]-Table14[[#This Row],[BL/ML]]</f>
        <v>1</v>
      </c>
      <c r="R35" s="25">
        <f t="shared" si="1"/>
        <v>30</v>
      </c>
      <c r="S35" s="22">
        <f t="shared" si="25"/>
        <v>23203.394325112702</v>
      </c>
      <c r="T35" s="26">
        <f t="shared" si="3"/>
        <v>9281.3577300450816</v>
      </c>
      <c r="U35" s="26">
        <f t="shared" si="4"/>
        <v>3712.5430920180329</v>
      </c>
      <c r="V35" s="26">
        <v>1000</v>
      </c>
      <c r="W35" s="26">
        <v>1600</v>
      </c>
      <c r="X35" s="26">
        <f t="shared" si="5"/>
        <v>7609.4935030495872</v>
      </c>
      <c r="Y35" s="26">
        <f t="shared" si="6"/>
        <v>748.49659113266785</v>
      </c>
      <c r="Z35" s="26">
        <f t="shared" si="7"/>
        <v>8981.9590935920132</v>
      </c>
      <c r="AA35" s="26">
        <f t="shared" si="8"/>
        <v>3592.7836374368057</v>
      </c>
      <c r="AB35" s="26">
        <f t="shared" si="9"/>
        <v>967.74193548387098</v>
      </c>
      <c r="AC35" s="26">
        <f t="shared" si="10"/>
        <v>1548.3870967741934</v>
      </c>
      <c r="AD35" s="26">
        <f t="shared" si="11"/>
        <v>7364.0259706931483</v>
      </c>
      <c r="AE35" s="26">
        <f t="shared" si="12"/>
        <v>22454.897733980033</v>
      </c>
      <c r="AF35" s="26">
        <v>0</v>
      </c>
      <c r="AG35" s="26">
        <f t="shared" si="21"/>
        <v>1077.8350912310416</v>
      </c>
      <c r="AH35" s="26">
        <f t="shared" si="14"/>
        <v>0</v>
      </c>
      <c r="AI35" s="27">
        <f t="shared" si="22"/>
        <v>200</v>
      </c>
      <c r="AJ35" s="26">
        <v>0</v>
      </c>
      <c r="AK35" s="26">
        <f t="shared" si="16"/>
        <v>139.22036595067618</v>
      </c>
      <c r="AL35" s="28">
        <f>500+1666</f>
        <v>2166</v>
      </c>
      <c r="AM35" s="29">
        <f t="shared" si="17"/>
        <v>18871.842276798314</v>
      </c>
      <c r="AN35" s="30">
        <f t="shared" si="23"/>
        <v>1077.8350912310416</v>
      </c>
      <c r="AO35" s="31">
        <f t="shared" si="24"/>
        <v>0</v>
      </c>
      <c r="AP35" s="32">
        <f t="shared" si="26"/>
        <v>1870.4929812405369</v>
      </c>
    </row>
    <row r="36" spans="1:42" ht="36.75" customHeight="1" x14ac:dyDescent="0.25">
      <c r="A36" s="15">
        <v>35</v>
      </c>
      <c r="B36" s="16">
        <v>2025</v>
      </c>
      <c r="C36" s="16">
        <v>4</v>
      </c>
      <c r="D36" s="17">
        <v>199</v>
      </c>
      <c r="E36" s="52"/>
      <c r="F36" s="19"/>
      <c r="G36" s="19"/>
      <c r="H36" s="19"/>
      <c r="I36" s="36"/>
      <c r="J36" s="21">
        <v>15001</v>
      </c>
      <c r="K36" s="22">
        <f t="shared" si="0"/>
        <v>15001</v>
      </c>
      <c r="L36" s="23">
        <v>31</v>
      </c>
      <c r="M36" s="23">
        <v>31</v>
      </c>
      <c r="N36" s="23">
        <v>0</v>
      </c>
      <c r="O36" s="23">
        <v>0</v>
      </c>
      <c r="P36" s="23">
        <v>0</v>
      </c>
      <c r="Q36" s="24">
        <f>Table14[[#This Row],[Total Days]]-Table14[[#This Row],[Days Worked]]-Table14[[#This Row],[AL]]-Table14[[#This Row],[PL]]-Table14[[#This Row],[BL/ML]]</f>
        <v>0</v>
      </c>
      <c r="R36" s="25">
        <f t="shared" si="1"/>
        <v>31</v>
      </c>
      <c r="S36" s="22">
        <f t="shared" si="25"/>
        <v>12758.122129613881</v>
      </c>
      <c r="T36" s="26">
        <f t="shared" si="3"/>
        <v>6379.0610648069405</v>
      </c>
      <c r="U36" s="26">
        <f t="shared" si="4"/>
        <v>2551.6244259227765</v>
      </c>
      <c r="V36" s="26">
        <v>1000</v>
      </c>
      <c r="W36" s="26">
        <v>1600</v>
      </c>
      <c r="X36" s="26">
        <f t="shared" si="5"/>
        <v>1227.436638884164</v>
      </c>
      <c r="Y36" s="26">
        <f t="shared" si="6"/>
        <v>0</v>
      </c>
      <c r="Z36" s="26">
        <f t="shared" si="7"/>
        <v>6379.0610648069405</v>
      </c>
      <c r="AA36" s="26">
        <f t="shared" si="8"/>
        <v>2551.6244259227765</v>
      </c>
      <c r="AB36" s="26">
        <f t="shared" si="9"/>
        <v>1000</v>
      </c>
      <c r="AC36" s="26">
        <f t="shared" si="10"/>
        <v>1600</v>
      </c>
      <c r="AD36" s="26">
        <f t="shared" si="11"/>
        <v>1227.436638884164</v>
      </c>
      <c r="AE36" s="26">
        <f t="shared" si="12"/>
        <v>12758.122129613881</v>
      </c>
      <c r="AF36" s="26">
        <v>0</v>
      </c>
      <c r="AG36" s="26">
        <f t="shared" si="21"/>
        <v>765.48732777683279</v>
      </c>
      <c r="AH36" s="26">
        <f t="shared" si="14"/>
        <v>95.685915972104098</v>
      </c>
      <c r="AI36" s="27">
        <f t="shared" si="22"/>
        <v>0</v>
      </c>
      <c r="AJ36" s="26">
        <v>0</v>
      </c>
      <c r="AK36" s="26">
        <f t="shared" si="16"/>
        <v>76.54873277768327</v>
      </c>
      <c r="AL36" s="28">
        <v>0</v>
      </c>
      <c r="AM36" s="29">
        <f t="shared" si="17"/>
        <v>11820.400153087261</v>
      </c>
      <c r="AN36" s="30">
        <f t="shared" si="23"/>
        <v>765.48732777683279</v>
      </c>
      <c r="AO36" s="31">
        <f t="shared" si="24"/>
        <v>414.63896921245117</v>
      </c>
      <c r="AP36" s="32">
        <f t="shared" si="26"/>
        <v>1062.7515733968364</v>
      </c>
    </row>
    <row r="37" spans="1:42" ht="36.75" customHeight="1" x14ac:dyDescent="0.25">
      <c r="A37" s="34">
        <v>36</v>
      </c>
      <c r="B37" s="16">
        <v>2025</v>
      </c>
      <c r="C37" s="16">
        <v>4</v>
      </c>
      <c r="D37" s="17">
        <v>199</v>
      </c>
      <c r="E37" s="52"/>
      <c r="F37" s="19"/>
      <c r="G37" s="19"/>
      <c r="H37" s="19"/>
      <c r="I37" s="36"/>
      <c r="J37" s="21">
        <v>15001</v>
      </c>
      <c r="K37" s="22">
        <f t="shared" si="0"/>
        <v>15001</v>
      </c>
      <c r="L37" s="23">
        <v>31</v>
      </c>
      <c r="M37" s="23">
        <v>31</v>
      </c>
      <c r="N37" s="23">
        <v>0</v>
      </c>
      <c r="O37" s="23">
        <v>0</v>
      </c>
      <c r="P37" s="23">
        <v>0</v>
      </c>
      <c r="Q37" s="24">
        <f>Table14[[#This Row],[Total Days]]-Table14[[#This Row],[Days Worked]]-Table14[[#This Row],[AL]]-Table14[[#This Row],[PL]]-Table14[[#This Row],[BL/ML]]</f>
        <v>0</v>
      </c>
      <c r="R37" s="25">
        <f t="shared" si="1"/>
        <v>31</v>
      </c>
      <c r="S37" s="22">
        <f t="shared" si="25"/>
        <v>12758.122129613881</v>
      </c>
      <c r="T37" s="26">
        <f t="shared" si="3"/>
        <v>6379.0610648069405</v>
      </c>
      <c r="U37" s="26">
        <f t="shared" si="4"/>
        <v>2551.6244259227765</v>
      </c>
      <c r="V37" s="26">
        <v>1000</v>
      </c>
      <c r="W37" s="26">
        <v>1600</v>
      </c>
      <c r="X37" s="26">
        <f t="shared" si="5"/>
        <v>1227.436638884164</v>
      </c>
      <c r="Y37" s="26">
        <f t="shared" si="6"/>
        <v>0</v>
      </c>
      <c r="Z37" s="26">
        <f t="shared" si="7"/>
        <v>6379.0610648069405</v>
      </c>
      <c r="AA37" s="26">
        <f t="shared" si="8"/>
        <v>2551.6244259227765</v>
      </c>
      <c r="AB37" s="26">
        <f t="shared" si="9"/>
        <v>1000</v>
      </c>
      <c r="AC37" s="26">
        <f t="shared" si="10"/>
        <v>1600</v>
      </c>
      <c r="AD37" s="26">
        <f t="shared" si="11"/>
        <v>1227.436638884164</v>
      </c>
      <c r="AE37" s="26">
        <f t="shared" si="12"/>
        <v>12758.122129613881</v>
      </c>
      <c r="AF37" s="26"/>
      <c r="AG37" s="26">
        <f t="shared" si="21"/>
        <v>765.48732777683279</v>
      </c>
      <c r="AH37" s="26">
        <f t="shared" si="14"/>
        <v>95.685915972104098</v>
      </c>
      <c r="AI37" s="27">
        <f t="shared" si="22"/>
        <v>0</v>
      </c>
      <c r="AJ37" s="26">
        <v>0</v>
      </c>
      <c r="AK37" s="26">
        <f t="shared" si="16"/>
        <v>76.54873277768327</v>
      </c>
      <c r="AL37" s="28">
        <v>0</v>
      </c>
      <c r="AM37" s="29">
        <f t="shared" si="17"/>
        <v>11820.400153087261</v>
      </c>
      <c r="AN37" s="57">
        <f t="shared" si="23"/>
        <v>765.48732777683279</v>
      </c>
      <c r="AO37" s="58">
        <f t="shared" si="24"/>
        <v>414.63896921245117</v>
      </c>
      <c r="AP37" s="59">
        <f t="shared" si="26"/>
        <v>1062.7515733968364</v>
      </c>
    </row>
    <row r="38" spans="1:42" ht="36.75" customHeight="1" x14ac:dyDescent="0.25">
      <c r="A38" s="60"/>
      <c r="B38" s="61"/>
      <c r="C38" s="61"/>
      <c r="D38" s="61"/>
      <c r="E38" s="62" t="s">
        <v>42</v>
      </c>
      <c r="F38" s="63"/>
      <c r="G38" s="64"/>
      <c r="H38" s="65"/>
      <c r="I38" s="66"/>
      <c r="J38" s="63">
        <f>SUBTOTAL(109,Table14[Actual CTC Without Loss Of Pay])</f>
        <v>1682425.2234</v>
      </c>
      <c r="K38" s="63">
        <f>SUBTOTAL(109,Table14[LOP CTC])</f>
        <v>1614912.7841419356</v>
      </c>
      <c r="L38" s="63">
        <f>SUBTOTAL(109,Table14[Total Days])</f>
        <v>1116</v>
      </c>
      <c r="M38" s="63">
        <f>SUBTOTAL(109,Table14[Days Worked])</f>
        <v>980.5</v>
      </c>
      <c r="N38" s="63">
        <f>SUBTOTAL(109,Table14[AL])</f>
        <v>40</v>
      </c>
      <c r="O38" s="63">
        <f>SUBTOTAL(109,Table14[PL])</f>
        <v>0</v>
      </c>
      <c r="P38" s="63">
        <f>SUBTOTAL(109,Table14[BL/ML])</f>
        <v>1</v>
      </c>
      <c r="Q38" s="63">
        <f>SUBTOTAL(109,Table14[LOP])</f>
        <v>94.5</v>
      </c>
      <c r="R38" s="63">
        <f>SUBTOTAL(109,Table14[Days Paid])</f>
        <v>1021.5</v>
      </c>
      <c r="S38" s="63">
        <f>SUBTOTAL(109,Table14[CONSILE SALARY])</f>
        <v>1523377.8486172522</v>
      </c>
      <c r="T38" s="63">
        <f>SUBTOTAL(109,Table14[BASIC])</f>
        <v>407698.55326662172</v>
      </c>
      <c r="U38" s="63">
        <f>SUBTOTAL(109,Table14[HRA])</f>
        <v>163079.4213066487</v>
      </c>
      <c r="V38" s="63">
        <f>SUBTOTAL(109,Table14[CCA])</f>
        <v>36000</v>
      </c>
      <c r="W38" s="63">
        <f>SUBTOTAL(109,Table14[TRP_ALW])</f>
        <v>57600</v>
      </c>
      <c r="X38" s="63">
        <f>SUBTOTAL(109,Table14[O_ALW1])</f>
        <v>858999.87404398271</v>
      </c>
      <c r="Y38" s="63">
        <f>SUBTOTAL(109,Table14[LOP2])</f>
        <v>59171.423560888252</v>
      </c>
      <c r="Z38" s="63">
        <f>SUBTOTAL(109,Table14[BASIC3])</f>
        <v>385876.95449011639</v>
      </c>
      <c r="AA38" s="63">
        <f>SUBTOTAL(109,Table14[HRA4])</f>
        <v>154350.78179604656</v>
      </c>
      <c r="AB38" s="63">
        <f>SUBTOTAL(109,Table14[CCA5])</f>
        <v>32951.612903225803</v>
      </c>
      <c r="AC38" s="63">
        <f>SUBTOTAL(109,Table14[TRP_ALW6])</f>
        <v>52722.580645161295</v>
      </c>
      <c r="AD38" s="63">
        <f>SUBTOTAL(109,Table14[O_ALW17])</f>
        <v>838304.49522181461</v>
      </c>
      <c r="AE38" s="63">
        <f>SUBTOTAL(109,Table14[Gross Pay])</f>
        <v>1464206.4250563642</v>
      </c>
      <c r="AF38" s="63">
        <f>SUBTOTAL(109,Table14[PLB])</f>
        <v>0</v>
      </c>
      <c r="AG38" s="63">
        <f>SUBTOTAL(109,Table14[PF])</f>
        <v>44563.299054942996</v>
      </c>
      <c r="AH38" s="63">
        <f>SUBTOTAL(109,Table14[ESI])</f>
        <v>940.07019994844813</v>
      </c>
      <c r="AI38" s="63">
        <f>SUBTOTAL(109,Table14[PT])</f>
        <v>4950</v>
      </c>
      <c r="AJ38" s="63">
        <f>SUBTOTAL(109,Table14[TDS])</f>
        <v>12419</v>
      </c>
      <c r="AK38" s="63">
        <f>SUBTOTAL(109,Table14[GPAP])</f>
        <v>9140.2670917035175</v>
      </c>
      <c r="AL38" s="63">
        <f>SUBTOTAL(109,Table14[OTH_DEDS])</f>
        <v>17166</v>
      </c>
      <c r="AM38" s="67">
        <f>SUBTOTAL(109,Table14[NET_PAY])</f>
        <v>1375027.7887097695</v>
      </c>
      <c r="AN38" s="68">
        <f>SUBTOTAL(109,Table14[PF Employer Share])</f>
        <v>44563.299054942996</v>
      </c>
      <c r="AO38" s="69">
        <f>SUBTOTAL(109,Table14[ESI Employer Share])</f>
        <v>4073.6375331099421</v>
      </c>
      <c r="AP38" s="69">
        <f>SUBTOTAL(109,Table14[Bonus])</f>
        <v>102069.42249751776</v>
      </c>
    </row>
    <row r="40" spans="1:42" s="14" customFormat="1" x14ac:dyDescent="0.25">
      <c r="A40" s="33"/>
      <c r="B40" s="33"/>
      <c r="C40" s="33"/>
      <c r="D40" s="33"/>
      <c r="E40" s="70"/>
      <c r="F40" s="33"/>
      <c r="G40" s="70"/>
      <c r="H40" s="70"/>
      <c r="I40" s="33"/>
      <c r="J40" s="33"/>
      <c r="K40" s="71"/>
      <c r="L40" s="33"/>
      <c r="M40" s="33"/>
      <c r="N40" s="33"/>
      <c r="O40" s="33"/>
      <c r="P40" s="33"/>
      <c r="Q40" s="33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</row>
    <row r="41" spans="1:42" x14ac:dyDescent="0.25">
      <c r="D41" s="72" t="s">
        <v>43</v>
      </c>
      <c r="E41" s="72"/>
      <c r="F41" s="72"/>
      <c r="G41" s="72"/>
      <c r="H41" s="72"/>
      <c r="I41" s="72"/>
      <c r="J41" s="72"/>
      <c r="K41" s="72"/>
    </row>
    <row r="42" spans="1:42" x14ac:dyDescent="0.25">
      <c r="D42" s="72"/>
      <c r="E42" s="72"/>
      <c r="F42" s="72"/>
      <c r="G42" s="72"/>
      <c r="H42" s="72"/>
      <c r="I42" s="72"/>
      <c r="J42" s="72"/>
      <c r="K42" s="72"/>
    </row>
    <row r="43" spans="1:42" x14ac:dyDescent="0.25">
      <c r="D43" s="72"/>
      <c r="E43" s="72"/>
      <c r="F43" s="72"/>
      <c r="G43" s="72"/>
      <c r="H43" s="72"/>
      <c r="I43" s="72"/>
      <c r="J43" s="72"/>
      <c r="K43" s="72"/>
    </row>
    <row r="44" spans="1:42" x14ac:dyDescent="0.25">
      <c r="D44" s="72"/>
      <c r="E44" s="72"/>
      <c r="F44" s="72"/>
      <c r="G44" s="72"/>
      <c r="H44" s="72"/>
      <c r="I44" s="72"/>
      <c r="J44" s="72"/>
      <c r="K44" s="72"/>
    </row>
    <row r="45" spans="1:42" x14ac:dyDescent="0.25">
      <c r="D45" s="72"/>
      <c r="E45" s="72"/>
      <c r="F45" s="72"/>
      <c r="G45" s="72"/>
      <c r="H45" s="72"/>
      <c r="I45" s="72"/>
      <c r="J45" s="72"/>
      <c r="K45" s="72"/>
    </row>
    <row r="46" spans="1:42" x14ac:dyDescent="0.25">
      <c r="D46" s="72"/>
      <c r="E46" s="72"/>
      <c r="F46" s="72"/>
      <c r="G46" s="72"/>
      <c r="H46" s="72"/>
      <c r="I46" s="72"/>
      <c r="J46" s="72"/>
      <c r="K46" s="72"/>
    </row>
  </sheetData>
  <sheetProtection selectLockedCells="1"/>
  <mergeCells count="1">
    <mergeCell ref="D41:K46"/>
  </mergeCells>
  <conditionalFormatting sqref="Y2:Y37 Y39:Y1048576">
    <cfRule type="cellIs" dxfId="88" priority="1" operator="greaterThan">
      <formula>0</formula>
    </cfRule>
  </conditionalFormatting>
  <pageMargins left="0.15748031496063" right="0.15748031496063" top="0.59055118110236204" bottom="0.66929133858267698" header="0.23622047244094499" footer="0.27559055118110198"/>
  <pageSetup scale="61" orientation="landscape" r:id="rId1"/>
  <headerFooter>
    <oddHeader>&amp;L&amp;"-,Bold"&amp;14SALARY SHEET FOR THE MONTH OF APRIL-2025&amp;R&amp;"-,Bold"&amp;14Accord Power Conversion Pvt Ltd. (Corporate)</oddHeader>
    <oddFooter>&amp;L&amp;"-,Bold"&amp;14Prepared By:&amp;C&amp;"-,Bold"&amp;14Verified By:&amp;R&amp;"-,Bold"&amp;14Approved By:                           .</oddFooter>
  </headerFooter>
  <colBreaks count="1" manualBreakCount="1">
    <brk id="39" max="1048575" man="1"/>
  </colBreak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cORPORATE</vt:lpstr>
      <vt:lpstr>cORPORATE!Print_Titles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HR2</dc:creator>
  <cp:lastModifiedBy>HR2</cp:lastModifiedBy>
  <dcterms:created xsi:type="dcterms:W3CDTF">2025-06-12T05:29:17Z</dcterms:created>
  <dcterms:modified xsi:type="dcterms:W3CDTF">2025-06-12T05:29:33Z</dcterms:modified>
</cp:coreProperties>
</file>