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台語朗讀" sheetId="1" r:id="rId3"/>
  </sheets>
  <definedNames/>
  <calcPr/>
</workbook>
</file>

<file path=xl/sharedStrings.xml><?xml version="1.0" encoding="utf-8"?>
<sst xmlns="http://schemas.openxmlformats.org/spreadsheetml/2006/main" count="1051" uniqueCount="643">
  <si>
    <t>0-Index</t>
  </si>
  <si>
    <t>篇目</t>
  </si>
  <si>
    <t>作者</t>
  </si>
  <si>
    <t>聲音</t>
  </si>
  <si>
    <t>說明</t>
  </si>
  <si>
    <t>林如卿</t>
  </si>
  <si>
    <t>108社</t>
  </si>
  <si>
    <t>守家女</t>
  </si>
  <si>
    <t>蔡淑惠</t>
  </si>
  <si>
    <t>王麗惠</t>
  </si>
  <si>
    <t>108-509</t>
  </si>
  <si>
    <t>曾江山</t>
  </si>
  <si>
    <t>宋展旭</t>
  </si>
  <si>
    <t>林連鍠</t>
  </si>
  <si>
    <t>蔡慧君</t>
  </si>
  <si>
    <t>108-505</t>
  </si>
  <si>
    <t>A-lîng</t>
  </si>
  <si>
    <t>田美瑜</t>
  </si>
  <si>
    <t>蘇心怡</t>
  </si>
  <si>
    <t>108-502</t>
  </si>
  <si>
    <t>洪淑昭</t>
  </si>
  <si>
    <t>許嘉勇</t>
  </si>
  <si>
    <t>108教</t>
  </si>
  <si>
    <t>陳惠珠</t>
  </si>
  <si>
    <t>黃文俊</t>
  </si>
  <si>
    <t>徐華聲</t>
  </si>
  <si>
    <t>黃靜惠</t>
  </si>
  <si>
    <t>温鳳瑜</t>
  </si>
  <si>
    <t>林月央</t>
  </si>
  <si>
    <t>黃惠祺</t>
  </si>
  <si>
    <t>白麗芬</t>
  </si>
  <si>
    <t>賴珮瑄</t>
  </si>
  <si>
    <t>杜育虹</t>
  </si>
  <si>
    <t>廖永平</t>
  </si>
  <si>
    <t>黃琬芸</t>
  </si>
  <si>
    <t>108高</t>
  </si>
  <si>
    <t>朱志煒</t>
  </si>
  <si>
    <t>108-309</t>
  </si>
  <si>
    <t>張淑芳</t>
  </si>
  <si>
    <t>曾裕櫑</t>
  </si>
  <si>
    <t>曾文慧</t>
  </si>
  <si>
    <t>108-306</t>
  </si>
  <si>
    <t>楊玲怡</t>
  </si>
  <si>
    <t>108-305</t>
  </si>
  <si>
    <t>陳美虹</t>
  </si>
  <si>
    <t>吳政修</t>
  </si>
  <si>
    <t>陳雅菁</t>
  </si>
  <si>
    <t>賴又嘉</t>
  </si>
  <si>
    <t>曾菁怡</t>
  </si>
  <si>
    <t>108中</t>
  </si>
  <si>
    <t>張淑貞</t>
  </si>
  <si>
    <t>呂淑惠</t>
  </si>
  <si>
    <t>蔡麗萍</t>
  </si>
  <si>
    <t>鍾育紋</t>
  </si>
  <si>
    <t>洪宿芬</t>
  </si>
  <si>
    <t>秦麗</t>
  </si>
  <si>
    <t>陳春美</t>
  </si>
  <si>
    <t>沈瑩玲</t>
  </si>
  <si>
    <t>108小</t>
  </si>
  <si>
    <t>黃美銀</t>
  </si>
  <si>
    <t>蔡瀚儀</t>
  </si>
  <si>
    <t>王秀容</t>
  </si>
  <si>
    <t>艾茵</t>
  </si>
  <si>
    <t>謝慈愛</t>
  </si>
  <si>
    <t>周世雄</t>
  </si>
  <si>
    <t>郭聿恩</t>
  </si>
  <si>
    <t>洪協強</t>
  </si>
  <si>
    <t>107高</t>
  </si>
  <si>
    <t>楊允言</t>
  </si>
  <si>
    <t>洪素琴</t>
  </si>
  <si>
    <t>呂文茹</t>
  </si>
  <si>
    <t>蔡天享</t>
  </si>
  <si>
    <t>陳秀菊</t>
  </si>
  <si>
    <t>Tè Huân-suan</t>
  </si>
  <si>
    <t>邱素綢</t>
  </si>
  <si>
    <t>蘇嘉祺</t>
  </si>
  <si>
    <t>陳素年</t>
  </si>
  <si>
    <t>張照權</t>
  </si>
  <si>
    <t>107中</t>
  </si>
  <si>
    <t>楊月卿</t>
  </si>
  <si>
    <t>簡金蓮</t>
  </si>
  <si>
    <t>林宜男</t>
  </si>
  <si>
    <t>程惠如</t>
  </si>
  <si>
    <t>陳明芳</t>
  </si>
  <si>
    <t>顧怡君</t>
  </si>
  <si>
    <t>黃惠玉</t>
  </si>
  <si>
    <t>107小</t>
  </si>
  <si>
    <t>吳秀卿</t>
  </si>
  <si>
    <t>王雪瑜</t>
  </si>
  <si>
    <t>簡惠珠</t>
  </si>
  <si>
    <t>陳忠本</t>
  </si>
  <si>
    <t>游勝榮</t>
  </si>
  <si>
    <t>楊雅秀</t>
  </si>
  <si>
    <t>106-610</t>
  </si>
  <si>
    <t>106大</t>
  </si>
  <si>
    <t>106-609</t>
  </si>
  <si>
    <t>陳秋貴</t>
  </si>
  <si>
    <t>106-608</t>
  </si>
  <si>
    <t>許新源</t>
  </si>
  <si>
    <t>106-607</t>
  </si>
  <si>
    <t>陳昭蓉</t>
  </si>
  <si>
    <t>106-606</t>
  </si>
  <si>
    <t>106-605</t>
  </si>
  <si>
    <t>106-604</t>
  </si>
  <si>
    <t>蔡連真</t>
  </si>
  <si>
    <t>106-603</t>
  </si>
  <si>
    <t>林滿足</t>
  </si>
  <si>
    <t>106-602</t>
  </si>
  <si>
    <t>林美麗</t>
  </si>
  <si>
    <t>106-601</t>
  </si>
  <si>
    <t>106社</t>
  </si>
  <si>
    <t>駱寶雲</t>
  </si>
  <si>
    <t>林淑美</t>
  </si>
  <si>
    <t>張逸嫻</t>
  </si>
  <si>
    <t>李盈萱</t>
  </si>
  <si>
    <t>洪媛麗</t>
  </si>
  <si>
    <t>林淑期</t>
  </si>
  <si>
    <t>張月惠</t>
  </si>
  <si>
    <t>後山人</t>
  </si>
  <si>
    <t>老猴</t>
  </si>
  <si>
    <t>侯信男</t>
  </si>
  <si>
    <t>106教</t>
  </si>
  <si>
    <t>蔡宗禮</t>
  </si>
  <si>
    <t>柳青亮</t>
  </si>
  <si>
    <t>劉孟宜</t>
  </si>
  <si>
    <t>蔡素珠</t>
  </si>
  <si>
    <t>紀春綢</t>
  </si>
  <si>
    <t>林吟徽</t>
  </si>
  <si>
    <t>夏玉華</t>
  </si>
  <si>
    <t>邱瓊誼</t>
  </si>
  <si>
    <t>阿真</t>
  </si>
  <si>
    <t>106高</t>
  </si>
  <si>
    <t>黃美華</t>
  </si>
  <si>
    <t>蔡惠芬</t>
  </si>
  <si>
    <t>鄭昱蘋</t>
  </si>
  <si>
    <t>林義和</t>
  </si>
  <si>
    <t>王朝源</t>
  </si>
  <si>
    <t>林炤慧</t>
  </si>
  <si>
    <t>106中</t>
  </si>
  <si>
    <t>翁佩詩</t>
  </si>
  <si>
    <t>林秀子</t>
  </si>
  <si>
    <t>pe7-a2-kiann2</t>
  </si>
  <si>
    <t>106小</t>
  </si>
  <si>
    <t>bo2-tshin-tseh</t>
  </si>
  <si>
    <t>林玫汝</t>
  </si>
  <si>
    <t>gun2 beh ka7</t>
  </si>
  <si>
    <t>ke-nng7-ko</t>
  </si>
  <si>
    <t>tua3 ti</t>
  </si>
  <si>
    <t>a-bu2 e5</t>
  </si>
  <si>
    <t>lai5-khi3</t>
  </si>
  <si>
    <t>韓滿</t>
  </si>
  <si>
    <t>be7 bang7</t>
  </si>
  <si>
    <t>林綉華</t>
  </si>
  <si>
    <t>hoo7 ta-ke</t>
  </si>
  <si>
    <t>廖妍媚</t>
  </si>
  <si>
    <t>105-610</t>
  </si>
  <si>
    <t>105大</t>
  </si>
  <si>
    <t>hi2-tshiu7-a2</t>
  </si>
  <si>
    <t>王亮月</t>
  </si>
  <si>
    <t>105-609</t>
  </si>
  <si>
    <t>tai5-uan5 tsui2-gu5</t>
  </si>
  <si>
    <t>105-608</t>
  </si>
  <si>
    <t>tian2-nga2</t>
  </si>
  <si>
    <t>105-607</t>
  </si>
  <si>
    <t>iu5-hak8</t>
  </si>
  <si>
    <t>105-606</t>
  </si>
  <si>
    <t>a-ma2 e5 han-tsi5</t>
  </si>
  <si>
    <t>105-605</t>
  </si>
  <si>
    <t>pak-kok</t>
  </si>
  <si>
    <t>王崇憲</t>
  </si>
  <si>
    <t>105-604</t>
  </si>
  <si>
    <t>un-luan2</t>
  </si>
  <si>
    <t>郭家華</t>
  </si>
  <si>
    <t>105-603</t>
  </si>
  <si>
    <t>bu7-ia7</t>
  </si>
  <si>
    <t>105-602</t>
  </si>
  <si>
    <t>a-ma2 e5 sim</t>
  </si>
  <si>
    <t>林美瑢</t>
  </si>
  <si>
    <t>105-601</t>
  </si>
  <si>
    <t>khoo2-kue-hong</t>
  </si>
  <si>
    <t>謝惠珠</t>
  </si>
  <si>
    <t>105社</t>
  </si>
  <si>
    <t>hai2-khau2</t>
  </si>
  <si>
    <t>su-liam7 jin7-tsin</t>
  </si>
  <si>
    <t>tsit8 se3-ki2</t>
  </si>
  <si>
    <t>鄒瑞梅</t>
  </si>
  <si>
    <t>hong-thai-me5</t>
  </si>
  <si>
    <t>簡惠英</t>
  </si>
  <si>
    <t>ke-lang5 e5</t>
  </si>
  <si>
    <t>賴錫真</t>
  </si>
  <si>
    <t>tse3 kang</t>
  </si>
  <si>
    <t>陳筱伶</t>
  </si>
  <si>
    <t>kut8</t>
  </si>
  <si>
    <t>陳瑪莉</t>
  </si>
  <si>
    <t>khan-koo</t>
  </si>
  <si>
    <t>tshue-kue2</t>
  </si>
  <si>
    <t>a-kau5</t>
  </si>
  <si>
    <t>洪美芳</t>
  </si>
  <si>
    <t>huai5-liam7</t>
  </si>
  <si>
    <t>楊文清</t>
  </si>
  <si>
    <t>ki5-thai7</t>
  </si>
  <si>
    <t>105教</t>
  </si>
  <si>
    <t>ai3 thak8-tsheh</t>
  </si>
  <si>
    <t>林榮淑</t>
  </si>
  <si>
    <t>kan-khoo2</t>
  </si>
  <si>
    <t>a-pa</t>
  </si>
  <si>
    <t>suann-hai2</t>
  </si>
  <si>
    <t>khai-khun2</t>
  </si>
  <si>
    <t>彩禾</t>
  </si>
  <si>
    <t>洪振春</t>
  </si>
  <si>
    <t>senn3-mia7</t>
  </si>
  <si>
    <t>nng7 siang</t>
  </si>
  <si>
    <t>tshai3-kue</t>
  </si>
  <si>
    <t>am3-kong-tsiau2</t>
  </si>
  <si>
    <t>霽虹</t>
  </si>
  <si>
    <t>tng7-suann3</t>
  </si>
  <si>
    <t>林曉瑛</t>
  </si>
  <si>
    <t>loo5-hue</t>
  </si>
  <si>
    <t>魏俊陽</t>
  </si>
  <si>
    <t>105高</t>
  </si>
  <si>
    <t>lam5-hue5</t>
  </si>
  <si>
    <t>涂瑛砡</t>
  </si>
  <si>
    <t>tian7-tsu2</t>
  </si>
  <si>
    <t>范嘉云</t>
  </si>
  <si>
    <t>kiann5-loo7</t>
  </si>
  <si>
    <t>ng5-kim-hoo7</t>
  </si>
  <si>
    <t>李筱雯</t>
  </si>
  <si>
    <t>khin5-khiam7</t>
  </si>
  <si>
    <t>thinn-kong</t>
  </si>
  <si>
    <t>ing2-too7</t>
  </si>
  <si>
    <t>劉文桂</t>
  </si>
  <si>
    <t>tsong2-phoo3-sai</t>
  </si>
  <si>
    <t>沈祚瑋</t>
  </si>
  <si>
    <t>thian-jian5</t>
  </si>
  <si>
    <t>koo3-hiong</t>
  </si>
  <si>
    <t>簡繡芬</t>
  </si>
  <si>
    <t>105中</t>
  </si>
  <si>
    <t>guan2 tau tsit</t>
  </si>
  <si>
    <t>gi5-lan5 e5</t>
  </si>
  <si>
    <t>廖輝煌</t>
  </si>
  <si>
    <t>juah8-thinn</t>
  </si>
  <si>
    <t>ai3 thak8</t>
  </si>
  <si>
    <t>oo-ma3-ma3</t>
  </si>
  <si>
    <t>吳令宜</t>
  </si>
  <si>
    <t>kah a-ma2</t>
  </si>
  <si>
    <t>陳美雪</t>
  </si>
  <si>
    <t>sio2-kim-ing</t>
  </si>
  <si>
    <t>ka-ting5</t>
  </si>
  <si>
    <t>蔡春芬</t>
  </si>
  <si>
    <t>105小</t>
  </si>
  <si>
    <t>hit ni5</t>
  </si>
  <si>
    <t>徐禎偵</t>
  </si>
  <si>
    <t>a-ma2</t>
  </si>
  <si>
    <t>葉家仁</t>
  </si>
  <si>
    <t>a-bu2 kah</t>
  </si>
  <si>
    <t>hong-thai-thinn</t>
  </si>
  <si>
    <t>邱碧華</t>
  </si>
  <si>
    <t>pong7 bi2-phang</t>
  </si>
  <si>
    <t>ka thau5-tsang</t>
  </si>
  <si>
    <t>guan2 tau e5</t>
  </si>
  <si>
    <t>thau tsiah8</t>
  </si>
  <si>
    <t>林桂鄉</t>
  </si>
  <si>
    <t>104大</t>
  </si>
  <si>
    <t>a-ma2 e5 lau7</t>
  </si>
  <si>
    <t>gua2 hioh-liang5</t>
  </si>
  <si>
    <t>江澄樹</t>
  </si>
  <si>
    <t>lan5-bong5</t>
  </si>
  <si>
    <t>謝金色</t>
  </si>
  <si>
    <t>tsit8 sok</t>
  </si>
  <si>
    <t>104社</t>
  </si>
  <si>
    <t>ainn7-kin</t>
  </si>
  <si>
    <t>廖淑鳳</t>
  </si>
  <si>
    <t>sio-tsiu2</t>
  </si>
  <si>
    <t>pang-kio5</t>
  </si>
  <si>
    <t>pe7-bu2</t>
  </si>
  <si>
    <t>gua2 iu7-koh</t>
  </si>
  <si>
    <t>102社104社</t>
  </si>
  <si>
    <t>tso3-kang</t>
  </si>
  <si>
    <t>102教104社</t>
  </si>
  <si>
    <t>lang5 na7</t>
  </si>
  <si>
    <t>陳克德</t>
  </si>
  <si>
    <t>tsham3-hue2</t>
  </si>
  <si>
    <t>陳素經</t>
  </si>
  <si>
    <t>099社102教104社</t>
  </si>
  <si>
    <t>bang7-hai2</t>
  </si>
  <si>
    <t>林晏如</t>
  </si>
  <si>
    <t>099教102教104社</t>
  </si>
  <si>
    <t>m7-kam</t>
  </si>
  <si>
    <t>ta-ke</t>
  </si>
  <si>
    <t>099大102教104社</t>
  </si>
  <si>
    <t>siann-im</t>
  </si>
  <si>
    <t>104教</t>
  </si>
  <si>
    <t>Line</t>
  </si>
  <si>
    <t>藍春瑞</t>
  </si>
  <si>
    <t>kut-lat8</t>
  </si>
  <si>
    <t>丁鳳珍</t>
  </si>
  <si>
    <t>102社104教</t>
  </si>
  <si>
    <t>mi7-tann3-a2</t>
  </si>
  <si>
    <t>蔡淑芬</t>
  </si>
  <si>
    <t>tng2-lai5</t>
  </si>
  <si>
    <t>101高104教</t>
  </si>
  <si>
    <t>tsng-kha</t>
  </si>
  <si>
    <t>薛玉麗</t>
  </si>
  <si>
    <t>101中102社104教</t>
  </si>
  <si>
    <t>劉春蓮</t>
  </si>
  <si>
    <t>100社102社104教</t>
  </si>
  <si>
    <t>sin-poo</t>
  </si>
  <si>
    <t>邱文錫</t>
  </si>
  <si>
    <t>099中99高102社104教</t>
  </si>
  <si>
    <t>tsing5-si3</t>
  </si>
  <si>
    <t>胡璿蕙</t>
  </si>
  <si>
    <t>099社102教104教</t>
  </si>
  <si>
    <t>a-sang3</t>
  </si>
  <si>
    <t>陳昆龍</t>
  </si>
  <si>
    <t>099社100教101大102社104教</t>
  </si>
  <si>
    <t>tsinn5-tang5-a2</t>
  </si>
  <si>
    <t>104高</t>
  </si>
  <si>
    <t>a-bu2 e5 siong3</t>
  </si>
  <si>
    <t>kah lan</t>
  </si>
  <si>
    <t>oo-tann2</t>
  </si>
  <si>
    <t>102大104高</t>
  </si>
  <si>
    <t>bang7-tiong</t>
  </si>
  <si>
    <t>莊桂英</t>
  </si>
  <si>
    <t>099社101教101社102大104高</t>
  </si>
  <si>
    <t>tshai2-kng3</t>
  </si>
  <si>
    <t>陳士彰</t>
  </si>
  <si>
    <t>099教102大104高</t>
  </si>
  <si>
    <t>hiunn-ting-kha</t>
  </si>
  <si>
    <t>鄭家和</t>
  </si>
  <si>
    <t>099高100社101大102大104高</t>
  </si>
  <si>
    <t>jit8-thau5</t>
  </si>
  <si>
    <t>陳韋豪</t>
  </si>
  <si>
    <t>101社104高</t>
  </si>
  <si>
    <t>hit-ni5</t>
  </si>
  <si>
    <t>蔡幸紋</t>
  </si>
  <si>
    <t>099大100教101社102大104高</t>
  </si>
  <si>
    <t>iu5-tang5-hue</t>
  </si>
  <si>
    <t>陳文和</t>
  </si>
  <si>
    <t>099教101社104高</t>
  </si>
  <si>
    <t>a-bu2 e5 kha</t>
  </si>
  <si>
    <t>104中</t>
  </si>
  <si>
    <t>se2-tshiu2</t>
  </si>
  <si>
    <t>phah kan-lok8</t>
  </si>
  <si>
    <t>姚志龍</t>
  </si>
  <si>
    <t>un7-tong7</t>
  </si>
  <si>
    <t>吳永行</t>
  </si>
  <si>
    <t>100小101小103小104中</t>
  </si>
  <si>
    <t>a-bu2 thak8</t>
  </si>
  <si>
    <t>李月瑛</t>
  </si>
  <si>
    <t>099教101社102小103小104中</t>
  </si>
  <si>
    <t>king-tsio</t>
  </si>
  <si>
    <t>許忠和</t>
  </si>
  <si>
    <t>102中103中104中</t>
  </si>
  <si>
    <t>pang3-oh8</t>
  </si>
  <si>
    <t>游蒼林</t>
  </si>
  <si>
    <t>102小103小104中</t>
  </si>
  <si>
    <t>phue5-kau5</t>
  </si>
  <si>
    <t>藍淑貞</t>
  </si>
  <si>
    <t>100小102中104中</t>
  </si>
  <si>
    <t>Tai5-uan5 e5</t>
  </si>
  <si>
    <t>104小</t>
  </si>
  <si>
    <t>tau7-hue</t>
  </si>
  <si>
    <t>ing3-tshai3</t>
  </si>
  <si>
    <t>ian-hue2</t>
  </si>
  <si>
    <t>101小103中104小</t>
  </si>
  <si>
    <t>101高103中104小</t>
  </si>
  <si>
    <t>tsiah8 kah poo2</t>
  </si>
  <si>
    <t>陳憲國</t>
  </si>
  <si>
    <t>100中102中104小</t>
  </si>
  <si>
    <t>kam2-a2-tiam3</t>
  </si>
  <si>
    <t>蔡櫻華</t>
  </si>
  <si>
    <t>099小101小102中104小</t>
  </si>
  <si>
    <t>099社101高101大102中104小</t>
  </si>
  <si>
    <t>jin5-sing</t>
  </si>
  <si>
    <t>103-610</t>
  </si>
  <si>
    <t>103大</t>
  </si>
  <si>
    <t>lau7-bu2 e5</t>
  </si>
  <si>
    <t>Han-Bān</t>
  </si>
  <si>
    <t>103-609</t>
  </si>
  <si>
    <t>gu5-tshia</t>
  </si>
  <si>
    <t>103-608</t>
  </si>
  <si>
    <t>giok8-lan5-hue</t>
  </si>
  <si>
    <t>103-607</t>
  </si>
  <si>
    <t>kiann5-ki5</t>
  </si>
  <si>
    <t>廖瑞昌</t>
  </si>
  <si>
    <t>103-606</t>
  </si>
  <si>
    <t>thng5-tshiunn2</t>
  </si>
  <si>
    <t>平安嬸仔</t>
  </si>
  <si>
    <t>103-604</t>
  </si>
  <si>
    <t>103社</t>
  </si>
  <si>
    <t>poo-sim</t>
  </si>
  <si>
    <t>kiann lang5 tshua7</t>
  </si>
  <si>
    <t>足滿完</t>
  </si>
  <si>
    <t>ai3 e5 koo3-su7</t>
  </si>
  <si>
    <t>suann-ian5-sui</t>
  </si>
  <si>
    <t>hiok-tshuan hun</t>
  </si>
  <si>
    <t>劉明新</t>
  </si>
  <si>
    <t>100大101教103社</t>
  </si>
  <si>
    <t>hiok-tshuan e5</t>
  </si>
  <si>
    <t>103教</t>
  </si>
  <si>
    <t>khioh tua7-tsui2</t>
  </si>
  <si>
    <t>劉方</t>
  </si>
  <si>
    <t>siu-sing5</t>
  </si>
  <si>
    <t>hua5-san</t>
  </si>
  <si>
    <t>雅惠</t>
  </si>
  <si>
    <t>ong5 kian3</t>
  </si>
  <si>
    <t>楊婷婷</t>
  </si>
  <si>
    <t>bin5-hong</t>
  </si>
  <si>
    <t>103高</t>
  </si>
  <si>
    <t>koo3-hiong e5 tsu-bi7</t>
  </si>
  <si>
    <t>tshong-a2</t>
  </si>
  <si>
    <t>東部客</t>
  </si>
  <si>
    <t>khi3-bi7</t>
  </si>
  <si>
    <t>喜悅</t>
  </si>
  <si>
    <t>Tai5-gi2 kah</t>
  </si>
  <si>
    <t>tshau3-tau7-hu7</t>
  </si>
  <si>
    <t>李宜芳</t>
  </si>
  <si>
    <t>lai5-khi3 khun2</t>
  </si>
  <si>
    <t>廖晴安</t>
  </si>
  <si>
    <t>103中</t>
  </si>
  <si>
    <t>su-liam7 hue2</t>
  </si>
  <si>
    <t>khong-tiong</t>
  </si>
  <si>
    <t>io5 gin2-a2</t>
  </si>
  <si>
    <t>103小</t>
  </si>
  <si>
    <t>khuann3 tian7-si7</t>
  </si>
  <si>
    <t>oo-kiat-a2</t>
  </si>
  <si>
    <t>102-610</t>
  </si>
  <si>
    <t>102大</t>
  </si>
  <si>
    <t>san-bing5</t>
  </si>
  <si>
    <t>102-608</t>
  </si>
  <si>
    <t>sann-kak-a2</t>
  </si>
  <si>
    <t>102社</t>
  </si>
  <si>
    <t>jio7-thang2</t>
  </si>
  <si>
    <t>102教</t>
  </si>
  <si>
    <t>koo thiann3</t>
  </si>
  <si>
    <t>102高</t>
  </si>
  <si>
    <t>siau3-lian5</t>
  </si>
  <si>
    <t>102高104大</t>
  </si>
  <si>
    <t>a-gi7</t>
  </si>
  <si>
    <t>102中103中</t>
  </si>
  <si>
    <t>ke-lang5</t>
  </si>
  <si>
    <t>101教103大</t>
  </si>
  <si>
    <t>tso3 gin2-a2</t>
  </si>
  <si>
    <t>蔡瑋琳</t>
  </si>
  <si>
    <t>101教101大102大104大</t>
  </si>
  <si>
    <t>huan5-hua5</t>
  </si>
  <si>
    <t>101高103中</t>
  </si>
  <si>
    <t>ma-ma</t>
  </si>
  <si>
    <t>101高</t>
  </si>
  <si>
    <t>lai5-khi3 ang5-thau5</t>
  </si>
  <si>
    <t>101中</t>
  </si>
  <si>
    <t>Tai5-uan5 si7</t>
  </si>
  <si>
    <t>sng3-mia7-sian</t>
  </si>
  <si>
    <t>101小</t>
  </si>
  <si>
    <t>hue2-tshia</t>
  </si>
  <si>
    <t>許奕晨</t>
  </si>
  <si>
    <t>101小103小</t>
  </si>
  <si>
    <t>tsit8-pai2 siong7</t>
  </si>
  <si>
    <t>熊美德</t>
  </si>
  <si>
    <t>siu5-tsui2</t>
  </si>
  <si>
    <t>101小102教103社</t>
  </si>
  <si>
    <t>thng5-tshang</t>
  </si>
  <si>
    <t>胡民祥</t>
  </si>
  <si>
    <t>100社</t>
  </si>
  <si>
    <t>kah Tai5-uan5</t>
  </si>
  <si>
    <t>張宏榮</t>
  </si>
  <si>
    <t>tsau3</t>
  </si>
  <si>
    <t>bak8-ni7</t>
  </si>
  <si>
    <t>陳弘昌</t>
  </si>
  <si>
    <t>kong2-tioh8</t>
  </si>
  <si>
    <t>100社101教</t>
  </si>
  <si>
    <t>sun5-pok</t>
  </si>
  <si>
    <t>邱富理</t>
  </si>
  <si>
    <t>khan ti-ko</t>
  </si>
  <si>
    <t>鹿港仙</t>
  </si>
  <si>
    <t>bo5 thian-liong5</t>
  </si>
  <si>
    <t>春瑞</t>
  </si>
  <si>
    <t>ing-ko</t>
  </si>
  <si>
    <t>hit-tin7 hau2-hai2</t>
  </si>
  <si>
    <t>黃提銘</t>
  </si>
  <si>
    <t>100教</t>
  </si>
  <si>
    <t>hoo7 tang-suann</t>
  </si>
  <si>
    <t>任冠樹</t>
  </si>
  <si>
    <t>ing2-kiu2</t>
  </si>
  <si>
    <t>林央敏</t>
  </si>
  <si>
    <t>kong2 tshin-tsiann5</t>
  </si>
  <si>
    <t>A-jîn</t>
  </si>
  <si>
    <t>su-liam7</t>
  </si>
  <si>
    <t>100教103高</t>
  </si>
  <si>
    <t>a-hua5</t>
  </si>
  <si>
    <t>100教101社103大</t>
  </si>
  <si>
    <t>bo2-gi2</t>
  </si>
  <si>
    <t>方耀乾</t>
  </si>
  <si>
    <t>ting3 kan-lok8</t>
  </si>
  <si>
    <t>100教103教</t>
  </si>
  <si>
    <t>lai5 tsit8 tsiah</t>
  </si>
  <si>
    <t>陳潔民</t>
  </si>
  <si>
    <t>100大</t>
  </si>
  <si>
    <t>loh8-suann-hong</t>
  </si>
  <si>
    <t>黃瓊儀</t>
  </si>
  <si>
    <t>tsap8-tshai3</t>
  </si>
  <si>
    <t>陳廷宣</t>
  </si>
  <si>
    <t>khin-siann</t>
  </si>
  <si>
    <t>koo3-hiong e5</t>
  </si>
  <si>
    <t>張志成</t>
  </si>
  <si>
    <t>kau2-hun7-a2</t>
  </si>
  <si>
    <t>蘇坤泉</t>
  </si>
  <si>
    <t>100高</t>
  </si>
  <si>
    <t>tshinn-ia7</t>
  </si>
  <si>
    <t>林洪權</t>
  </si>
  <si>
    <t>lam5-siu3-suann</t>
  </si>
  <si>
    <t>尤東林</t>
  </si>
  <si>
    <t>peh-suann</t>
  </si>
  <si>
    <t>Nâ A-lâm</t>
  </si>
  <si>
    <t>gua2 e5 koo3-hiong</t>
  </si>
  <si>
    <t>陳清裕</t>
  </si>
  <si>
    <t>100高101高103大</t>
  </si>
  <si>
    <t>hue5-lian5-tau7</t>
  </si>
  <si>
    <t>tik-kong2</t>
  </si>
  <si>
    <t>洪錦田</t>
  </si>
  <si>
    <t>tshenn-me5</t>
  </si>
  <si>
    <t>陳明仁</t>
  </si>
  <si>
    <t>gueh8-tho5-hue</t>
  </si>
  <si>
    <t>林文平</t>
  </si>
  <si>
    <t>tai5-uan5 tshiunn7</t>
  </si>
  <si>
    <t>王麗蜜</t>
  </si>
  <si>
    <t>khin-pian7</t>
  </si>
  <si>
    <t>100中</t>
  </si>
  <si>
    <t>hing7-hok</t>
  </si>
  <si>
    <t>劉美玉</t>
  </si>
  <si>
    <t>100中101中</t>
  </si>
  <si>
    <t>spa</t>
  </si>
  <si>
    <t>100中103高</t>
  </si>
  <si>
    <t>gu5-hi</t>
  </si>
  <si>
    <t>紀傳洲</t>
  </si>
  <si>
    <t>tiam2-sim</t>
  </si>
  <si>
    <t>Flyfish</t>
  </si>
  <si>
    <t>A-lâm</t>
  </si>
  <si>
    <t>phah-lah8</t>
  </si>
  <si>
    <t>100小</t>
  </si>
  <si>
    <t>a-ma2 e5 tshai3</t>
  </si>
  <si>
    <t>kim-san</t>
  </si>
  <si>
    <t>100小101高102社</t>
  </si>
  <si>
    <t>a-tai</t>
  </si>
  <si>
    <t>紀傳州</t>
  </si>
  <si>
    <t>tham-sim</t>
  </si>
  <si>
    <t>江秀鳳</t>
  </si>
  <si>
    <t>u7 gueh8-niu5</t>
  </si>
  <si>
    <t>王宗傑</t>
  </si>
  <si>
    <t>gi5-lan5</t>
  </si>
  <si>
    <t>099社102教</t>
  </si>
  <si>
    <t>tshim-tshim</t>
  </si>
  <si>
    <t>099小99高101高103高</t>
  </si>
  <si>
    <t>lok8-kang2</t>
  </si>
  <si>
    <t>099大99教</t>
  </si>
  <si>
    <t>thih-loo7</t>
  </si>
  <si>
    <t>李淑貞</t>
  </si>
  <si>
    <t>099中102教103社</t>
  </si>
  <si>
    <t>kong2-koo2</t>
  </si>
  <si>
    <t>099教100大101教102中</t>
  </si>
  <si>
    <t>tui3 so-inn5-a2</t>
  </si>
  <si>
    <t>趙玉華</t>
  </si>
  <si>
    <t>099小100教103大</t>
  </si>
  <si>
    <t>puah8-pue</t>
  </si>
  <si>
    <t>徐嘉澤</t>
  </si>
  <si>
    <t>099教101教101社103社</t>
  </si>
  <si>
    <t>poo7-lok8</t>
  </si>
  <si>
    <t>吳正任</t>
  </si>
  <si>
    <t>099社101大103社</t>
  </si>
  <si>
    <t>ia2-sing</t>
  </si>
  <si>
    <t>曹麗華</t>
  </si>
  <si>
    <t>099中102大</t>
  </si>
  <si>
    <t>kuan3-tshuan</t>
  </si>
  <si>
    <t>陳怡君、蘇頌淇</t>
  </si>
  <si>
    <t>099中</t>
  </si>
  <si>
    <t>ke-lang5-kang2</t>
  </si>
  <si>
    <t>099高100社101社103教</t>
  </si>
  <si>
    <t>oo-liong5</t>
  </si>
  <si>
    <t>尤碧豔</t>
  </si>
  <si>
    <t>101小102教103教</t>
  </si>
  <si>
    <t>khi3-siong7</t>
  </si>
  <si>
    <t>099小102中</t>
  </si>
  <si>
    <t>hang7-a2-lai7</t>
  </si>
  <si>
    <t>王湘富</t>
  </si>
  <si>
    <t>099小101中</t>
  </si>
  <si>
    <t>099中101教101大102小103小</t>
  </si>
  <si>
    <t>a-kong</t>
  </si>
  <si>
    <t>蘇毓涵</t>
  </si>
  <si>
    <t>099小100中102小</t>
  </si>
  <si>
    <t>hua-kong</t>
  </si>
  <si>
    <t>陳為信</t>
  </si>
  <si>
    <t>099社</t>
  </si>
  <si>
    <t>pe7-kiann2</t>
  </si>
  <si>
    <t>099社101教103社</t>
  </si>
  <si>
    <t>hong3</t>
  </si>
  <si>
    <t>張翠苓</t>
  </si>
  <si>
    <t>099社100教101教102社</t>
  </si>
  <si>
    <t>koo-iann2</t>
  </si>
  <si>
    <t>陳怡伶</t>
  </si>
  <si>
    <t>099中101中</t>
  </si>
  <si>
    <t>mia7-un7</t>
  </si>
  <si>
    <t>黃文達</t>
  </si>
  <si>
    <t>099教101社103教</t>
  </si>
  <si>
    <t>gun2 tau</t>
  </si>
  <si>
    <t>099中102小</t>
  </si>
  <si>
    <t>phue</t>
  </si>
  <si>
    <t>吳嘉芬</t>
  </si>
  <si>
    <t>099社101教102小</t>
  </si>
  <si>
    <t>gua2 kah</t>
  </si>
  <si>
    <t>林瓊琳</t>
  </si>
  <si>
    <t>099大102高</t>
  </si>
  <si>
    <t>099中102高104大</t>
  </si>
  <si>
    <t>gua2 mui2 tang</t>
  </si>
  <si>
    <t>kiann5-tshut</t>
  </si>
  <si>
    <t>王薈雯</t>
  </si>
  <si>
    <t>099大101高101大102小</t>
  </si>
  <si>
    <t>kam-guan7</t>
  </si>
  <si>
    <t>蘇世雄</t>
  </si>
  <si>
    <t>099高101高</t>
  </si>
  <si>
    <t>ing2-uan2</t>
  </si>
  <si>
    <t>099教101社102高104大</t>
  </si>
  <si>
    <t>tai5-uan5 kua</t>
  </si>
  <si>
    <t>張詩瑄</t>
  </si>
  <si>
    <t>099高100大101大103大</t>
  </si>
  <si>
    <t>tsui2-kau-a2</t>
  </si>
  <si>
    <t>許珮旻</t>
  </si>
  <si>
    <t>099小101小101中</t>
  </si>
  <si>
    <t>hoo7 a-bu2</t>
  </si>
  <si>
    <t>劉育君</t>
  </si>
  <si>
    <t>099小102小</t>
  </si>
  <si>
    <t>hoo7 gua2</t>
  </si>
  <si>
    <t>許沛琳</t>
  </si>
  <si>
    <t>099高100大102高104大</t>
  </si>
  <si>
    <t>goo7-gueh8</t>
  </si>
  <si>
    <t>賴淳茹</t>
  </si>
  <si>
    <t>099大101中102高</t>
  </si>
  <si>
    <t>suann-ting2</t>
  </si>
  <si>
    <t>楊昇展</t>
  </si>
  <si>
    <t>mi5-sin2</t>
  </si>
  <si>
    <t>099高100大101教102高</t>
  </si>
  <si>
    <t>Grace</t>
  </si>
  <si>
    <t>廖張皭</t>
  </si>
  <si>
    <t>099教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</si>
</sst>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2.0"/>
    </font>
    <font>
      <u/>
      <sz val="12.0"/>
      <color rgb="FF0000FF"/>
    </font>
    <font/>
    <font>
      <u/>
      <sz val="12.0"/>
      <color rgb="FF0000FF"/>
    </font>
    <font>
      <sz val="12.0"/>
      <color rgb="FF000000"/>
      <name val="細明體"/>
    </font>
    <font>
      <color rgb="FF000000"/>
      <name val="Arial"/>
    </font>
    <font>
      <sz val="10.0"/>
    </font>
    <font>
      <sz val="8.0"/>
    </font>
    <font>
      <u/>
      <sz val="12.0"/>
      <color rgb="FF0000FF"/>
    </font>
    <font>
      <u/>
      <sz val="12.0"/>
      <color rgb="FF0000FF"/>
    </font>
    <font>
      <u/>
      <sz val="12.0"/>
      <color rgb="FF0000FF"/>
    </font>
    <font>
      <u/>
      <sz val="12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 shrinkToFit="0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6" numFmtId="0" xfId="0" applyAlignment="1" applyBorder="1" applyFill="1" applyFont="1">
      <alignment horizontal="left" readingOrder="0"/>
    </xf>
    <xf borderId="0" fillId="2" fontId="7" numFmtId="0" xfId="0" applyAlignment="1" applyFont="1">
      <alignment horizontal="left" readingOrder="0"/>
    </xf>
    <xf borderId="1" fillId="0" fontId="8" numFmtId="0" xfId="0" applyAlignment="1" applyBorder="1" applyFont="1">
      <alignment readingOrder="0"/>
    </xf>
    <xf borderId="1" fillId="0" fontId="9" numFmtId="0" xfId="0" applyBorder="1" applyFont="1"/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0"/>
    </xf>
    <xf borderId="1" fillId="0" fontId="10" numFmtId="0" xfId="0" applyAlignment="1" applyBorder="1" applyFont="1">
      <alignment readingOrder="0" shrinkToFit="0" wrapText="0"/>
    </xf>
    <xf borderId="1" fillId="0" fontId="7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/>
    </xf>
    <xf borderId="1" fillId="2" fontId="7" numFmtId="0" xfId="0" applyAlignment="1" applyBorder="1" applyFont="1">
      <alignment horizontal="left" readingOrder="0"/>
    </xf>
    <xf borderId="1" fillId="0" fontId="11" numFmtId="0" xfId="0" applyAlignment="1" applyBorder="1" applyFont="1">
      <alignment readingOrder="0" shrinkToFit="0" wrapText="0"/>
    </xf>
    <xf borderId="1" fillId="0" fontId="12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hidden="1" min="1" max="1" width="14.29"/>
    <col customWidth="1" min="2" max="2" width="36.14"/>
    <col customWidth="1" min="3" max="3" width="17.14"/>
    <col customWidth="1" min="4" max="4" width="12.43"/>
    <col customWidth="1" min="5" max="5" width="21.29"/>
    <col customWidth="1" min="6" max="6" width="3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tr">
        <f>HYPERLINK("http://www.jen-pin.com.tw/","大部份聲音檔是真平台語網提供ê")</f>
        <v>大部份聲音檔是真平台語網提供ê</v>
      </c>
    </row>
    <row r="2">
      <c r="A2" s="3"/>
      <c r="B2" s="4" t="str">
        <f>HYPERLINK("ip194097.ntcu.edu.tw/longthok/bj/108-512.pdf","暗戀的苦湯")</f>
        <v>暗戀的苦湯</v>
      </c>
      <c r="C2" s="5" t="s">
        <v>5</v>
      </c>
      <c r="D2" s="4" t="str">
        <f>HYPERLINK("ip194097.ntcu.edu.tw/longthok/si/108-512暗戀的苦湯.mp3","108-512")</f>
        <v>108-512</v>
      </c>
      <c r="E2" s="3" t="s">
        <v>6</v>
      </c>
      <c r="F2" s="6"/>
    </row>
    <row r="3">
      <c r="A3" s="3"/>
      <c r="B3" s="4" t="str">
        <f>HYPERLINK("ip194097.ntcu.edu.tw/longthok/bj/108-511.pdf","跋落去田溝仔")</f>
        <v>跋落去田溝仔</v>
      </c>
      <c r="C3" s="5" t="s">
        <v>7</v>
      </c>
      <c r="D3" s="4" t="str">
        <f>HYPERLINK("ip194097.ntcu.edu.tw/longthok/si/108-511跋落去田溝仔.mp3","108-511")</f>
        <v>108-511</v>
      </c>
      <c r="E3" s="3" t="s">
        <v>6</v>
      </c>
      <c r="F3" s="6"/>
    </row>
    <row r="4">
      <c r="A4" s="3"/>
      <c r="B4" s="4" t="str">
        <f>HYPERLINK("ip194097.ntcu.edu.tw/longthok/bj/108-510.pdf","一路順風")</f>
        <v>一路順風</v>
      </c>
      <c r="C4" s="5" t="s">
        <v>8</v>
      </c>
      <c r="D4" s="4" t="str">
        <f>HYPERLINK("ip194097.ntcu.edu.tw/longthok/si/108-510一路順風.mp3","108-510")</f>
        <v>108-510</v>
      </c>
      <c r="E4" s="3" t="s">
        <v>6</v>
      </c>
      <c r="F4" s="6"/>
    </row>
    <row r="5">
      <c r="A5" s="3"/>
      <c r="B5" s="4" t="str">
        <f>HYPERLINK("ip194097.ntcu.edu.tw/longthok/bj/108-509.pdf","薅蔥仔")</f>
        <v>薅蔥仔</v>
      </c>
      <c r="C5" s="5" t="s">
        <v>9</v>
      </c>
      <c r="D5" s="7" t="s">
        <v>10</v>
      </c>
      <c r="E5" s="3" t="s">
        <v>6</v>
      </c>
      <c r="F5" s="6"/>
    </row>
    <row r="6">
      <c r="A6" s="3"/>
      <c r="B6" s="4" t="str">
        <f>HYPERLINK("ip194097.ntcu.edu.tw/longthok/bj/108-508.pdf","問貓")</f>
        <v>問貓</v>
      </c>
      <c r="C6" s="5" t="s">
        <v>11</v>
      </c>
      <c r="D6" s="4" t="str">
        <f>HYPERLINK("ip194097.ntcu.edu.tw/longthok/si/108-508問貓.mp3","108-508")</f>
        <v>108-508</v>
      </c>
      <c r="E6" s="3" t="s">
        <v>6</v>
      </c>
      <c r="F6" s="6"/>
    </row>
    <row r="7">
      <c r="A7" s="3"/>
      <c r="B7" s="4" t="str">
        <f>HYPERLINK("ip194097.ntcu.edu.tw/longthok/bj/108-507.pdf","冤來做夫妻")</f>
        <v>冤來做夫妻</v>
      </c>
      <c r="C7" s="5" t="s">
        <v>12</v>
      </c>
      <c r="D7" s="4" t="str">
        <f>HYPERLINK("ip194097.ntcu.edu.tw/longthok/si/108-507冤來做夫妻.mp3","108-507")</f>
        <v>108-507</v>
      </c>
      <c r="E7" s="3" t="s">
        <v>6</v>
      </c>
      <c r="F7" s="6"/>
    </row>
    <row r="8">
      <c r="A8" s="3"/>
      <c r="B8" s="4" t="str">
        <f>HYPERLINK("ip194097.ntcu.edu.tw/longthok/bj/108-506.pdf","阿爸的牛車")</f>
        <v>阿爸的牛車</v>
      </c>
      <c r="C8" s="5" t="s">
        <v>13</v>
      </c>
      <c r="D8" s="4" t="str">
        <f>HYPERLINK("ip194097.ntcu.edu.tw/longthok/si/108-506阿爸的牛車.mp3","108-506")</f>
        <v>108-506</v>
      </c>
      <c r="E8" s="3" t="s">
        <v>6</v>
      </c>
      <c r="F8" s="6"/>
    </row>
    <row r="9">
      <c r="A9" s="3"/>
      <c r="B9" s="4" t="str">
        <f>HYPERLINK("ip194097.ntcu.edu.tw/longthok/bj/108-505.pdf","奶仔囝")</f>
        <v>奶仔囝</v>
      </c>
      <c r="C9" s="5" t="s">
        <v>14</v>
      </c>
      <c r="D9" s="7" t="s">
        <v>15</v>
      </c>
      <c r="E9" s="3" t="s">
        <v>6</v>
      </c>
      <c r="F9" s="6"/>
    </row>
    <row r="10">
      <c r="A10" s="3"/>
      <c r="B10" s="4" t="str">
        <f>HYPERLINK("ip194097.ntcu.edu.tw/longthok/bj/108-504.pdf","過年")</f>
        <v>過年</v>
      </c>
      <c r="C10" s="5" t="s">
        <v>16</v>
      </c>
      <c r="D10" s="4" t="str">
        <f>HYPERLINK("ip194097.ntcu.edu.tw/longthok/si/108-504過年.mp3","108-504")</f>
        <v>108-504</v>
      </c>
      <c r="E10" s="3" t="s">
        <v>6</v>
      </c>
      <c r="F10" s="6"/>
    </row>
    <row r="11">
      <c r="A11" s="3"/>
      <c r="B11" s="4" t="str">
        <f>HYPERLINK("ip194097.ntcu.edu.tw/longthok/bj/108-503.pdf","豉梅仔")</f>
        <v>豉梅仔</v>
      </c>
      <c r="C11" s="5" t="s">
        <v>17</v>
      </c>
      <c r="D11" s="4" t="str">
        <f>HYPERLINK("ip194097.ntcu.edu.tw/longthok/si/108-503豉梅仔.mp3","108-503")</f>
        <v>108-503</v>
      </c>
      <c r="E11" s="3" t="s">
        <v>6</v>
      </c>
      <c r="F11" s="6"/>
    </row>
    <row r="12">
      <c r="A12" s="3"/>
      <c r="B12" s="4" t="str">
        <f>HYPERLINK("ip194097.ntcu.edu.tw/longthok/bj/108-502.pdf","好好仔食，好好仔睏。")</f>
        <v>好好仔食，好好仔睏。</v>
      </c>
      <c r="C12" s="5" t="s">
        <v>18</v>
      </c>
      <c r="D12" s="7" t="s">
        <v>19</v>
      </c>
      <c r="E12" s="3" t="s">
        <v>6</v>
      </c>
      <c r="F12" s="6"/>
    </row>
    <row r="13">
      <c r="A13" s="3"/>
      <c r="B13" s="4" t="str">
        <f>HYPERLINK("ip194097.ntcu.edu.tw/longthok/bj/108-501.pdf","熱人的粿")</f>
        <v>熱人的粿</v>
      </c>
      <c r="C13" s="5" t="s">
        <v>20</v>
      </c>
      <c r="D13" s="4" t="str">
        <f>HYPERLINK("ip194097.ntcu.edu.tw/longthok/si/108-501熱人的粿.mp3","108-501")</f>
        <v>108-501</v>
      </c>
      <c r="E13" s="3" t="s">
        <v>6</v>
      </c>
      <c r="F13" s="6"/>
    </row>
    <row r="14">
      <c r="A14" s="3"/>
      <c r="B14" s="4" t="str">
        <f>HYPERLINK("ip194097.ntcu.edu.tw/longthok/bj/108-412.pdf","和仔先")</f>
        <v>和仔先</v>
      </c>
      <c r="C14" s="5" t="s">
        <v>21</v>
      </c>
      <c r="D14" s="4" t="str">
        <f>HYPERLINK("ip194097.ntcu.edu.tw/longthok/si/108-412和仔先.mp3","108-412")</f>
        <v>108-412</v>
      </c>
      <c r="E14" s="3" t="s">
        <v>22</v>
      </c>
      <c r="F14" s="6"/>
    </row>
    <row r="15">
      <c r="A15" s="3"/>
      <c r="B15" s="4" t="str">
        <f>HYPERLINK("ip194097.ntcu.edu.tw/longthok/bj/108-411.pdf","我考牢矣")</f>
        <v>我考牢矣</v>
      </c>
      <c r="C15" s="5" t="s">
        <v>23</v>
      </c>
      <c r="D15" s="4" t="str">
        <f>HYPERLINK("ip194097.ntcu.edu.tw/longthok/si/108-411我考牢矣.mp3","108-411")</f>
        <v>108-411</v>
      </c>
      <c r="E15" s="3" t="s">
        <v>22</v>
      </c>
      <c r="F15" s="6"/>
    </row>
    <row r="16">
      <c r="A16" s="3"/>
      <c r="B16" s="4" t="str">
        <f>HYPERLINK("ip194097.ntcu.edu.tw/longthok/bj/108-410.pdf","陪阿母坐高鐵")</f>
        <v>陪阿母坐高鐵</v>
      </c>
      <c r="C16" s="5" t="s">
        <v>24</v>
      </c>
      <c r="D16" s="4" t="str">
        <f>HYPERLINK("ip194097.ntcu.edu.tw/longthok/si/108-410陪阿母坐高鐵.mp3","108-410")</f>
        <v>108-410</v>
      </c>
      <c r="E16" s="3" t="s">
        <v>22</v>
      </c>
      <c r="F16" s="6"/>
    </row>
    <row r="17">
      <c r="A17" s="3"/>
      <c r="B17" s="4" t="str">
        <f>HYPERLINK("ip194097.ntcu.edu.tw/longthok/bj/108-409.pdf","翕相")</f>
        <v>翕相</v>
      </c>
      <c r="C17" s="5" t="s">
        <v>25</v>
      </c>
      <c r="D17" s="4" t="str">
        <f>HYPERLINK("ip194097.ntcu.edu.tw/longthok/si/108-409翕相.mp3","108-409")</f>
        <v>108-409</v>
      </c>
      <c r="E17" s="3" t="s">
        <v>22</v>
      </c>
      <c r="F17" s="6"/>
    </row>
    <row r="18">
      <c r="A18" s="3"/>
      <c r="B18" s="4" t="str">
        <f>HYPERLINK("ip194097.ntcu.edu.tw/longthok/bj/108-408.pdf","囡仔的根底佮翼股")</f>
        <v>囡仔的根底佮翼股</v>
      </c>
      <c r="C18" s="5" t="s">
        <v>26</v>
      </c>
      <c r="D18" s="4" t="str">
        <f>HYPERLINK("ip194097.ntcu.edu.tw/longthok/si/108-408囡仔的根底佮翼股.mp3","108-408")</f>
        <v>108-408</v>
      </c>
      <c r="E18" s="3" t="s">
        <v>22</v>
      </c>
      <c r="F18" s="6"/>
    </row>
    <row r="19">
      <c r="A19" s="3"/>
      <c r="B19" s="4" t="str">
        <f>HYPERLINK("ip194097.ntcu.edu.tw/longthok/bj/108-407.pdf","頭一擺牚腿")</f>
        <v>頭一擺牚腿</v>
      </c>
      <c r="C19" s="5" t="s">
        <v>27</v>
      </c>
      <c r="D19" s="4" t="str">
        <f>HYPERLINK("ip194097.ntcu.edu.tw/longthok/si/108-407頭一擺牚腿.mp3","108-407")</f>
        <v>108-407</v>
      </c>
      <c r="E19" s="3" t="s">
        <v>22</v>
      </c>
      <c r="F19" s="6"/>
    </row>
    <row r="20">
      <c r="A20" s="3"/>
      <c r="B20" s="4" t="str">
        <f>HYPERLINK("ip194097.ntcu.edu.tw/longthok/bj/108-406.pdf","內心的感動")</f>
        <v>內心的感動</v>
      </c>
      <c r="C20" s="5" t="s">
        <v>28</v>
      </c>
      <c r="D20" s="4" t="str">
        <f>HYPERLINK("ip194097.ntcu.edu.tw/longthok/si/108-406內心的感動.mp3","108-406")</f>
        <v>108-406</v>
      </c>
      <c r="E20" s="3" t="s">
        <v>22</v>
      </c>
      <c r="F20" s="6"/>
    </row>
    <row r="21">
      <c r="A21" s="3"/>
      <c r="B21" s="4" t="str">
        <f>HYPERLINK("ip194097.ntcu.edu.tw/longthok/bj/108-405.pdf","牽電火")</f>
        <v>牽電火</v>
      </c>
      <c r="C21" s="5" t="s">
        <v>29</v>
      </c>
      <c r="D21" s="4" t="str">
        <f>HYPERLINK("ip194097.ntcu.edu.tw/longthok/si/108-405牽電火.mp3","108-405")</f>
        <v>108-405</v>
      </c>
      <c r="E21" s="3" t="s">
        <v>22</v>
      </c>
      <c r="F21" s="6"/>
    </row>
    <row r="22">
      <c r="A22" s="3"/>
      <c r="B22" s="4" t="str">
        <f>HYPERLINK("ip194097.ntcu.edu.tw/longthok/bj/108-404.pdf","窗仔墘的景緻")</f>
        <v>窗仔墘的景緻</v>
      </c>
      <c r="C22" s="5" t="s">
        <v>30</v>
      </c>
      <c r="D22" s="4" t="str">
        <f>HYPERLINK("ip194097.ntcu.edu.tw/longthok/si/108-404窗仔墘的景緻.mp3","108-404")</f>
        <v>108-404</v>
      </c>
      <c r="E22" s="3" t="s">
        <v>22</v>
      </c>
      <c r="F22" s="6"/>
    </row>
    <row r="23">
      <c r="A23" s="3"/>
      <c r="B23" s="4" t="str">
        <f>HYPERLINK("ip194097.ntcu.edu.tw/longthok/bj/108-403.pdf","哎！我哪會袂大咧！")</f>
        <v>哎！我哪會袂大咧！</v>
      </c>
      <c r="C23" s="5" t="s">
        <v>31</v>
      </c>
      <c r="D23" s="4" t="str">
        <f>HYPERLINK("ip194097.ntcu.edu.tw/longthok/si/108-403哎！我哪會袂大咧！.mp3","108-403")</f>
        <v>108-403</v>
      </c>
      <c r="E23" s="3" t="s">
        <v>22</v>
      </c>
      <c r="F23" s="6"/>
    </row>
    <row r="24">
      <c r="A24" s="3"/>
      <c r="B24" s="4" t="str">
        <f>HYPERLINK("ip194097.ntcu.edu.tw/longthok/bj/108-402.pdf","校園上媠的所在")</f>
        <v>校園上媠的所在</v>
      </c>
      <c r="C24" s="5" t="s">
        <v>32</v>
      </c>
      <c r="D24" s="4" t="str">
        <f>HYPERLINK("ip194097.ntcu.edu.tw/longthok/si/108-402校園上媠的所在.mp3","108-402")</f>
        <v>108-402</v>
      </c>
      <c r="E24" s="3" t="s">
        <v>22</v>
      </c>
      <c r="F24" s="6"/>
    </row>
    <row r="25">
      <c r="A25" s="3"/>
      <c r="B25" s="4" t="str">
        <f>HYPERLINK("ip194097.ntcu.edu.tw/longthok/bj/108-401.pdf","分享的快樂")</f>
        <v>分享的快樂</v>
      </c>
      <c r="C25" s="5" t="s">
        <v>33</v>
      </c>
      <c r="D25" s="4" t="str">
        <f>HYPERLINK("ip194097.ntcu.edu.tw/longthok/si/108-401分享的快樂.mp3","108-401")</f>
        <v>108-401</v>
      </c>
      <c r="E25" s="3" t="s">
        <v>22</v>
      </c>
      <c r="F25" s="6"/>
    </row>
    <row r="26">
      <c r="A26" s="3"/>
      <c r="B26" s="4" t="str">
        <f>HYPERLINK("ip194097.ntcu.edu.tw/longthok/bj/108-310.pdf","愛媠的代價")</f>
        <v>愛媠的代價</v>
      </c>
      <c r="C26" s="5" t="s">
        <v>34</v>
      </c>
      <c r="D26" s="4" t="str">
        <f>HYPERLINK("ip194097.ntcu.edu.tw/longthok/si/108-310愛媠的代價.mp3","108-310")</f>
        <v>108-310</v>
      </c>
      <c r="E26" s="3" t="s">
        <v>35</v>
      </c>
      <c r="F26" s="6"/>
    </row>
    <row r="27">
      <c r="A27" s="3"/>
      <c r="B27" s="4" t="str">
        <f>HYPERLINK("ip194097.ntcu.edu.tw/longthok/bj/108-309.pdf","潮州燒冷冰的故事")</f>
        <v>潮州燒冷冰的故事</v>
      </c>
      <c r="C27" s="5" t="s">
        <v>36</v>
      </c>
      <c r="D27" s="7" t="s">
        <v>37</v>
      </c>
      <c r="E27" s="3" t="s">
        <v>35</v>
      </c>
      <c r="F27" s="6"/>
    </row>
    <row r="28">
      <c r="A28" s="3"/>
      <c r="B28" s="4" t="str">
        <f>HYPERLINK("ip194097.ntcu.edu.tw/longthok/bj/108-308.pdf","公車")</f>
        <v>公車</v>
      </c>
      <c r="C28" s="5" t="s">
        <v>38</v>
      </c>
      <c r="D28" s="4" t="str">
        <f>HYPERLINK("ip194097.ntcu.edu.tw/longthok/si/108-308公車.mp3","108-308")</f>
        <v>108-308</v>
      </c>
      <c r="E28" s="3" t="s">
        <v>35</v>
      </c>
      <c r="F28" s="6"/>
    </row>
    <row r="29">
      <c r="A29" s="3"/>
      <c r="B29" s="4" t="str">
        <f>HYPERLINK("ip194097.ntcu.edu.tw/longthok/bj/108-307.pdf","踮大雪山頂種樹仔")</f>
        <v>踮大雪山頂種樹仔</v>
      </c>
      <c r="C29" s="5" t="s">
        <v>39</v>
      </c>
      <c r="D29" s="4" t="str">
        <f>HYPERLINK("ip194097.ntcu.edu.tw/longthok/si/108-307踮大雪山頂種樹仔.mp3","108-307")</f>
        <v>108-307</v>
      </c>
      <c r="E29" s="3" t="s">
        <v>35</v>
      </c>
      <c r="F29" s="6"/>
    </row>
    <row r="30">
      <c r="A30" s="3"/>
      <c r="B30" s="4" t="str">
        <f>HYPERLINK("ip194097.ntcu.edu.tw/longthok/bj/108-306.pdf","來去看飛行機生卵")</f>
        <v>來去看飛行機生卵</v>
      </c>
      <c r="C30" s="5" t="s">
        <v>40</v>
      </c>
      <c r="D30" s="7" t="s">
        <v>41</v>
      </c>
      <c r="E30" s="3" t="s">
        <v>35</v>
      </c>
      <c r="F30" s="6"/>
    </row>
    <row r="31">
      <c r="A31" s="3"/>
      <c r="B31" s="4" t="str">
        <f>HYPERLINK("ip194097.ntcu.edu.tw/longthok/bj/108-305.pdf","快樂毋通凊彩")</f>
        <v>快樂毋通凊彩</v>
      </c>
      <c r="C31" s="5" t="s">
        <v>42</v>
      </c>
      <c r="D31" s="7" t="s">
        <v>43</v>
      </c>
      <c r="E31" s="3" t="s">
        <v>35</v>
      </c>
      <c r="F31" s="6"/>
    </row>
    <row r="32">
      <c r="A32" s="3"/>
      <c r="B32" s="4" t="str">
        <f>HYPERLINK("ip194097.ntcu.edu.tw/longthok/bj/108-304.pdf","我的人生，我創造。")</f>
        <v>我的人生，我創造。</v>
      </c>
      <c r="C32" s="5" t="s">
        <v>44</v>
      </c>
      <c r="D32" s="4" t="str">
        <f>HYPERLINK("ip194097.ntcu.edu.tw/longthok/si/108-304我的人生，我創造.mp3","108-304")</f>
        <v>108-304</v>
      </c>
      <c r="E32" s="3" t="s">
        <v>35</v>
      </c>
      <c r="F32" s="6"/>
    </row>
    <row r="33">
      <c r="A33" s="3"/>
      <c r="B33" s="4" t="str">
        <f>HYPERLINK("ip194097.ntcu.edu.tw/longthok/bj/108-303.pdf","變魔術")</f>
        <v>變魔術</v>
      </c>
      <c r="C33" s="5" t="s">
        <v>45</v>
      </c>
      <c r="D33" s="4" t="str">
        <f>HYPERLINK("ip194097.ntcu.edu.tw/longthok/si/108-303變魔術.mp3","108-303")</f>
        <v>108-303</v>
      </c>
      <c r="E33" s="3" t="s">
        <v>35</v>
      </c>
      <c r="F33" s="6"/>
    </row>
    <row r="34">
      <c r="A34" s="3"/>
      <c r="B34" s="4" t="str">
        <f>HYPERLINK("ip194097.ntcu.edu.tw/longthok/bj/108-302.pdf","白糖粿")</f>
        <v>白糖粿</v>
      </c>
      <c r="C34" s="5" t="s">
        <v>46</v>
      </c>
      <c r="D34" s="4" t="str">
        <f>HYPERLINK("ip194097.ntcu.edu.tw/longthok/si/108-302白糖粿.mp3","108-302")</f>
        <v>108-302</v>
      </c>
      <c r="E34" s="3" t="s">
        <v>35</v>
      </c>
      <c r="F34" s="6"/>
    </row>
    <row r="35">
      <c r="A35" s="3"/>
      <c r="B35" s="4" t="str">
        <f>HYPERLINK("ip194097.ntcu.edu.tw/longthok/bj/108-301.pdf","綿仔紙佮阮滾耍笑")</f>
        <v>綿仔紙佮阮滾耍笑</v>
      </c>
      <c r="C35" s="5" t="s">
        <v>47</v>
      </c>
      <c r="D35" s="4" t="str">
        <f>HYPERLINK("ip194097.ntcu.edu.tw/longthok/si/108-301棉仔紙佮阮滾耍笑.mp3","108-301")</f>
        <v>108-301</v>
      </c>
      <c r="E35" s="3" t="s">
        <v>35</v>
      </c>
      <c r="F35" s="6"/>
    </row>
    <row r="36">
      <c r="A36" s="3"/>
      <c r="B36" s="4" t="str">
        <f>HYPERLINK("ip194097.ntcu.edu.tw/longthok/bj/108-208.pdf","香菇頭")</f>
        <v>香菇頭</v>
      </c>
      <c r="C36" s="5" t="s">
        <v>48</v>
      </c>
      <c r="D36" s="4" t="str">
        <f>HYPERLINK("ip194097.ntcu.edu.tw/longthok/si/108-208香菇頭.mp3","108-208")</f>
        <v>108-208</v>
      </c>
      <c r="E36" s="3" t="s">
        <v>49</v>
      </c>
      <c r="F36" s="6"/>
    </row>
    <row r="37">
      <c r="A37" s="3"/>
      <c r="B37" s="4" t="str">
        <f>HYPERLINK("ip194097.ntcu.edu.tw/longthok/bj/108-207.pdf","Khú-looh")</f>
        <v>Khú-looh</v>
      </c>
      <c r="C37" s="5" t="s">
        <v>50</v>
      </c>
      <c r="D37" s="4" t="str">
        <f>HYPERLINK("ip194097.ntcu.edu.tw/longthok/si/108-207Khu-looh.mp3","108-207")</f>
        <v>108-207</v>
      </c>
      <c r="E37" s="3" t="s">
        <v>49</v>
      </c>
      <c r="F37" s="6"/>
    </row>
    <row r="38">
      <c r="A38" s="3"/>
      <c r="B38" s="4" t="str">
        <f>HYPERLINK("ip194097.ntcu.edu.tw/longthok/bj/108-206.pdf","有你，足好的！")</f>
        <v>有你，足好的！</v>
      </c>
      <c r="C38" s="5" t="s">
        <v>51</v>
      </c>
      <c r="D38" s="4" t="str">
        <f>HYPERLINK("ip194097.ntcu.edu.tw/longthok/si/108-206有你，足好的.mp3","108-206")</f>
        <v>108-206</v>
      </c>
      <c r="E38" s="3" t="s">
        <v>49</v>
      </c>
      <c r="F38" s="6"/>
    </row>
    <row r="39">
      <c r="A39" s="3"/>
      <c r="B39" s="4" t="str">
        <f>HYPERLINK("ip194097.ntcu.edu.tw/longthok/bj/108-205.pdf","講臺灣話若像欶空氣")</f>
        <v>講臺灣話若像欶空氣</v>
      </c>
      <c r="C39" s="5" t="s">
        <v>52</v>
      </c>
      <c r="D39" s="4" t="str">
        <f>HYPERLINK("ip194097.ntcu.edu.tw/longthok/si/108-205講臺灣話若像欶空氣.mp3","108-205")</f>
        <v>108-205</v>
      </c>
      <c r="E39" s="3" t="s">
        <v>49</v>
      </c>
      <c r="F39" s="6"/>
    </row>
    <row r="40">
      <c r="A40" s="3"/>
      <c r="B40" s="4" t="str">
        <f>HYPERLINK("ip194097.ntcu.edu.tw/longthok/bj/108-204.pdf","為阿媽朗讀")</f>
        <v>為阿媽朗讀</v>
      </c>
      <c r="C40" s="5" t="s">
        <v>53</v>
      </c>
      <c r="D40" s="4" t="str">
        <f>HYPERLINK("ip194097.ntcu.edu.tw/longthok/si/108-204為阿媽朗讀.mp3","108-204")</f>
        <v>108-204</v>
      </c>
      <c r="E40" s="3" t="s">
        <v>49</v>
      </c>
      <c r="F40" s="6"/>
    </row>
    <row r="41">
      <c r="A41" s="3"/>
      <c r="B41" s="4" t="str">
        <f>HYPERLINK("ip194097.ntcu.edu.tw/longthok/bj/108-203.pdf","大兄")</f>
        <v>大兄</v>
      </c>
      <c r="C41" s="5" t="s">
        <v>54</v>
      </c>
      <c r="D41" s="4" t="str">
        <f>HYPERLINK("ip194097.ntcu.edu.tw/longthok/si/108-203大兄.mp3","108-203")</f>
        <v>108-203</v>
      </c>
      <c r="E41" s="3" t="s">
        <v>49</v>
      </c>
      <c r="F41" s="6"/>
    </row>
    <row r="42">
      <c r="A42" s="3"/>
      <c r="B42" s="4" t="str">
        <f>HYPERLINK("ip194097.ntcu.edu.tw/longthok/bj/108-202.pdf","一份送袂出去的禮物")</f>
        <v>一份送袂出去的禮物</v>
      </c>
      <c r="C42" s="5" t="s">
        <v>55</v>
      </c>
      <c r="D42" s="4" t="str">
        <f>HYPERLINK("ip194097.ntcu.edu.tw/longthok/si/108-202一份送袂出去的禮物.mp3","108-202")</f>
        <v>108-202</v>
      </c>
      <c r="E42" s="3" t="s">
        <v>49</v>
      </c>
      <c r="F42" s="6"/>
    </row>
    <row r="43">
      <c r="A43" s="3"/>
      <c r="B43" s="4" t="str">
        <f>HYPERLINK("ip194097.ntcu.edu.tw/longthok/bj/108-201.pdf","貓仔姊的一工")</f>
        <v>貓仔姊的一工</v>
      </c>
      <c r="C43" s="5" t="s">
        <v>56</v>
      </c>
      <c r="D43" s="4" t="str">
        <f>HYPERLINK("ip194097.ntcu.edu.tw/longthok/si/108-201貓仔姊的一工.mp3","108-201")</f>
        <v>108-201</v>
      </c>
      <c r="E43" s="3" t="s">
        <v>49</v>
      </c>
      <c r="F43" s="6"/>
    </row>
    <row r="44">
      <c r="A44" s="3"/>
      <c r="B44" s="4" t="str">
        <f>HYPERLINK("ip194097.ntcu.edu.tw/longthok/bj/108-108.pdf","巧豬")</f>
        <v>巧豬</v>
      </c>
      <c r="C44" s="5" t="s">
        <v>57</v>
      </c>
      <c r="D44" s="4" t="str">
        <f>HYPERLINK("ip194097.ntcu.edu.tw/longthok/si/108-108巧豬.mp3","108-108")</f>
        <v>108-108</v>
      </c>
      <c r="E44" s="3" t="s">
        <v>58</v>
      </c>
      <c r="F44" s="6"/>
    </row>
    <row r="45">
      <c r="A45" s="3"/>
      <c r="B45" s="4" t="str">
        <f>HYPERLINK("ip194097.ntcu.edu.tw/longthok/bj/108-107.pdf","磅麥仔芳")</f>
        <v>磅麥仔芳</v>
      </c>
      <c r="C45" s="5" t="s">
        <v>59</v>
      </c>
      <c r="D45" s="4" t="str">
        <f>HYPERLINK("ip194097.ntcu.edu.tw/longthok/si/108-107磅麥仔芳.mp3","108-107")</f>
        <v>108-107</v>
      </c>
      <c r="E45" s="3" t="s">
        <v>58</v>
      </c>
      <c r="F45" s="6"/>
    </row>
    <row r="46">
      <c r="A46" s="3"/>
      <c r="B46" s="4" t="str">
        <f>HYPERLINK("ip194097.ntcu.edu.tw/longthok/bj/108-106.pdf","歇睏日")</f>
        <v>歇睏日</v>
      </c>
      <c r="C46" s="5" t="s">
        <v>60</v>
      </c>
      <c r="D46" s="4" t="str">
        <f>HYPERLINK("ip194097.ntcu.edu.tw/longthok/si/108-106歇睏日.mp3","108-106")</f>
        <v>108-106</v>
      </c>
      <c r="E46" s="3" t="s">
        <v>58</v>
      </c>
      <c r="F46" s="6"/>
    </row>
    <row r="47">
      <c r="A47" s="3"/>
      <c r="B47" s="4" t="str">
        <f>HYPERLINK("ip194097.ntcu.edu.tw/longthok/bj/108-105.pdf","蝴蝶公主")</f>
        <v>蝴蝶公主</v>
      </c>
      <c r="C47" s="5" t="s">
        <v>61</v>
      </c>
      <c r="D47" s="4" t="str">
        <f>HYPERLINK("ip194097.ntcu.edu.tw/longthok/si/108-105蝴蝶公主.mp3","108-105")</f>
        <v>108-105</v>
      </c>
      <c r="E47" s="3" t="s">
        <v>58</v>
      </c>
      <c r="F47" s="6"/>
    </row>
    <row r="48">
      <c r="A48" s="3"/>
      <c r="B48" s="4" t="str">
        <f>HYPERLINK("ip194097.ntcu.edu.tw/longthok/bj/108-104.pdf","牆圍內的囡仔")</f>
        <v>牆圍內的囡仔</v>
      </c>
      <c r="C48" s="5" t="s">
        <v>62</v>
      </c>
      <c r="D48" s="4" t="str">
        <f>HYPERLINK("ip194097.ntcu.edu.tw/longthok/si/108-104牆圍仔內的囡仔.mp3","108-104")</f>
        <v>108-104</v>
      </c>
      <c r="E48" s="3" t="s">
        <v>58</v>
      </c>
      <c r="F48" s="6"/>
    </row>
    <row r="49">
      <c r="A49" s="3"/>
      <c r="B49" s="4" t="str">
        <f>HYPERLINK("ip194097.ntcu.edu.tw/longthok/bj/108-103.pdf","夢想新公園")</f>
        <v>夢想新公園</v>
      </c>
      <c r="C49" s="5" t="s">
        <v>63</v>
      </c>
      <c r="D49" s="4" t="str">
        <f>HYPERLINK("ip194097.ntcu.edu.tw/longthok/si/108-103夢想新公園.mp3","108-103")</f>
        <v>108-103</v>
      </c>
      <c r="E49" s="3" t="s">
        <v>58</v>
      </c>
      <c r="F49" s="6"/>
    </row>
    <row r="50">
      <c r="A50" s="3"/>
      <c r="B50" s="4" t="str">
        <f>HYPERLINK("ip194097.ntcu.edu.tw/longthok/bj/108-102.pdf","無尾巷")</f>
        <v>無尾巷</v>
      </c>
      <c r="C50" s="5" t="s">
        <v>64</v>
      </c>
      <c r="D50" s="4" t="str">
        <f>HYPERLINK("ip194097.ntcu.edu.tw/longthok/si/108-102無尾巷.mp3","108-102")</f>
        <v>108-102</v>
      </c>
      <c r="E50" s="3" t="s">
        <v>58</v>
      </c>
      <c r="F50" s="6"/>
    </row>
    <row r="51">
      <c r="A51" s="3"/>
      <c r="B51" s="4" t="str">
        <f>HYPERLINK("ip194097.ntcu.edu.tw/longthok/bj/108-101.pdf","糖霜丸")</f>
        <v>糖霜丸</v>
      </c>
      <c r="C51" s="5" t="s">
        <v>65</v>
      </c>
      <c r="D51" s="4" t="str">
        <f>HYPERLINK("ip194097.ntcu.edu.tw/longthok/si/108-101糖霜丸.mp3","108-101")</f>
        <v>108-101</v>
      </c>
      <c r="E51" s="3" t="s">
        <v>58</v>
      </c>
      <c r="F51" s="6"/>
    </row>
    <row r="52">
      <c r="A52" s="3"/>
      <c r="B52" s="4" t="str">
        <f>HYPERLINK("ip194097.ntcu.edu.tw/longthok/bj/107-310.pdf","查某祖")</f>
        <v>查某祖</v>
      </c>
      <c r="C52" s="5" t="s">
        <v>66</v>
      </c>
      <c r="D52" s="4" t="str">
        <f>HYPERLINK("ip194097.ntcu.edu.tw/longthok/si/107-310查某祖.mp3","107-310")</f>
        <v>107-310</v>
      </c>
      <c r="E52" s="3" t="s">
        <v>67</v>
      </c>
      <c r="F52" s="6"/>
    </row>
    <row r="53">
      <c r="A53" s="3"/>
      <c r="B53" s="4" t="str">
        <f>HYPERLINK("ip194097.ntcu.edu.tw/longthok/bj/107-309.pdf","彼年熱天的東部名產")</f>
        <v>彼年熱天的東部名產</v>
      </c>
      <c r="C53" s="5" t="s">
        <v>68</v>
      </c>
      <c r="D53" s="4" t="str">
        <f>HYPERLINK("ip194097.ntcu.edu.tw/longthok/si/107-309彼年熱天的東部名產.mp3","107-309")</f>
        <v>107-309</v>
      </c>
      <c r="E53" s="3" t="s">
        <v>67</v>
      </c>
      <c r="F53" s="6"/>
    </row>
    <row r="54">
      <c r="A54" s="3"/>
      <c r="B54" s="4" t="str">
        <f>HYPERLINK("ip194097.ntcu.edu.tw/longthok/bj/107-308.pdf","菜瓜棚仔")</f>
        <v>菜瓜棚仔</v>
      </c>
      <c r="C54" s="5" t="s">
        <v>69</v>
      </c>
      <c r="D54" s="4" t="str">
        <f>HYPERLINK("ip194097.ntcu.edu.tw/longthok/si/107-308菜瓜棚仔.mp3","107-308")</f>
        <v>107-308</v>
      </c>
      <c r="E54" s="3" t="s">
        <v>67</v>
      </c>
      <c r="F54" s="6"/>
    </row>
    <row r="55">
      <c r="A55" s="3"/>
      <c r="B55" s="4" t="str">
        <f>HYPERLINK("ip194097.ntcu.edu.tw/longthok/bj/107-307.pdf","冊桌仔")</f>
        <v>冊桌仔</v>
      </c>
      <c r="C55" s="5" t="s">
        <v>70</v>
      </c>
      <c r="D55" s="4" t="str">
        <f>HYPERLINK("ip194097.ntcu.edu.tw/longthok/si/107-307冊桌仔.mp3","107-307")</f>
        <v>107-307</v>
      </c>
      <c r="E55" s="3" t="s">
        <v>67</v>
      </c>
      <c r="F55" s="6"/>
    </row>
    <row r="56">
      <c r="A56" s="3"/>
      <c r="B56" s="4" t="str">
        <f>HYPERLINK("ip194097.ntcu.edu.tw/longthok/bj/107-306.pdf","咱來唱燈仔花")</f>
        <v>咱來唱燈仔花</v>
      </c>
      <c r="C56" s="5" t="s">
        <v>71</v>
      </c>
      <c r="D56" s="4" t="str">
        <f>HYPERLINK("ip194097.ntcu.edu.tw/longthok/si/107-306咱來唱燈仔花.mp3","107-306")</f>
        <v>107-306</v>
      </c>
      <c r="E56" s="3" t="s">
        <v>67</v>
      </c>
      <c r="F56" s="6"/>
    </row>
    <row r="57">
      <c r="A57" s="3"/>
      <c r="B57" s="4" t="str">
        <f>HYPERLINK("ip194097.ntcu.edu.tw/longthok/bj/107-305.pdf","難忘的滋味")</f>
        <v>難忘的滋味</v>
      </c>
      <c r="C57" s="5" t="s">
        <v>72</v>
      </c>
      <c r="D57" s="4" t="str">
        <f>HYPERLINK("ip194097.ntcu.edu.tw/longthok/si/107-305難忘的滋味.mp3","107-305")</f>
        <v>107-305</v>
      </c>
      <c r="E57" s="3" t="s">
        <v>67</v>
      </c>
      <c r="F57" s="6"/>
    </row>
    <row r="58">
      <c r="A58" s="3"/>
      <c r="B58" s="4" t="str">
        <f>HYPERLINK("ip194097.ntcu.edu.tw/longthok/bj/107-304.pdf","起點")</f>
        <v>起點</v>
      </c>
      <c r="C58" s="5" t="s">
        <v>73</v>
      </c>
      <c r="D58" s="4" t="str">
        <f>HYPERLINK("ip194097.ntcu.edu.tw/longthok/si/107-304起點.mp3","107-304")</f>
        <v>107-304</v>
      </c>
      <c r="E58" s="3" t="s">
        <v>67</v>
      </c>
      <c r="F58" s="6"/>
    </row>
    <row r="59">
      <c r="A59" s="3"/>
      <c r="B59" s="4" t="str">
        <f>HYPERLINK("ip194097.ntcu.edu.tw/longthok/bj/107-303.pdf","食王梨的方式")</f>
        <v>食王梨的方式</v>
      </c>
      <c r="C59" s="5" t="s">
        <v>74</v>
      </c>
      <c r="D59" s="4" t="str">
        <f>HYPERLINK("ip194097.ntcu.edu.tw/longthok/si/107-303食王梨的方式.mp3","107-303")</f>
        <v>107-303</v>
      </c>
      <c r="E59" s="3" t="s">
        <v>67</v>
      </c>
      <c r="F59" s="6"/>
    </row>
    <row r="60">
      <c r="A60" s="3"/>
      <c r="B60" s="4" t="str">
        <f>HYPERLINK("ip194097.ntcu.edu.tw/longthok/bj/107-302.pdf","春風吹")</f>
        <v>春風吹</v>
      </c>
      <c r="C60" s="5" t="s">
        <v>75</v>
      </c>
      <c r="D60" s="4" t="str">
        <f>HYPERLINK("ip194097.ntcu.edu.tw/longthok/si/107-302春風吹.mp3","107-302")</f>
        <v>107-302</v>
      </c>
      <c r="E60" s="3" t="s">
        <v>67</v>
      </c>
      <c r="F60" s="6"/>
    </row>
    <row r="61">
      <c r="A61" s="3"/>
      <c r="B61" s="4" t="str">
        <f>HYPERLINK("ip194097.ntcu.edu.tw/longthok/bj/107-301.pdf","春天的氣味")</f>
        <v>春天的氣味</v>
      </c>
      <c r="C61" s="5" t="s">
        <v>76</v>
      </c>
      <c r="D61" s="4" t="str">
        <f>HYPERLINK("ip194097.ntcu.edu.tw/longthok/si/107-301春天的氣味.mp3","107-301")</f>
        <v>107-301</v>
      </c>
      <c r="E61" s="3" t="s">
        <v>67</v>
      </c>
      <c r="F61" s="6"/>
    </row>
    <row r="62">
      <c r="A62" s="3"/>
      <c r="B62" s="4" t="str">
        <f>HYPERLINK("ip194097.ntcu.edu.tw/longthok/bj/107-208.pdf","老牛欲出嫁")</f>
        <v>老牛欲出嫁</v>
      </c>
      <c r="C62" s="5" t="s">
        <v>77</v>
      </c>
      <c r="D62" s="4" t="str">
        <f>HYPERLINK("ip194097.ntcu.edu.tw/longthok/si/107-208老牛欲出嫁.mp3","107-208")</f>
        <v>107-208</v>
      </c>
      <c r="E62" s="3" t="s">
        <v>78</v>
      </c>
      <c r="F62" s="6"/>
    </row>
    <row r="63">
      <c r="A63" s="3"/>
      <c r="B63" s="4" t="str">
        <f>HYPERLINK("ip194097.ntcu.edu.tw/longthok/bj/107-207.pdf","拭鏡的叔仔")</f>
        <v>拭鏡的叔仔</v>
      </c>
      <c r="C63" s="5" t="s">
        <v>79</v>
      </c>
      <c r="D63" s="4" t="str">
        <f>HYPERLINK("ip194097.ntcu.edu.tw/longthok/si/107-207拭鏡的叔仔.mp3","107-207")</f>
        <v>107-207</v>
      </c>
      <c r="E63" s="3" t="s">
        <v>78</v>
      </c>
      <c r="F63" s="6"/>
    </row>
    <row r="64">
      <c r="A64" s="3"/>
      <c r="B64" s="4" t="str">
        <f>HYPERLINK("ip194097.ntcu.edu.tw/longthok/bj/107-206.pdf","故鄉的苦楝")</f>
        <v>故鄉的苦楝</v>
      </c>
      <c r="C64" s="5" t="s">
        <v>80</v>
      </c>
      <c r="D64" s="4" t="str">
        <f>HYPERLINK("ip194097.ntcu.edu.tw/longthok/si/107-206故鄉的苦楝.mp3","107-206")</f>
        <v>107-206</v>
      </c>
      <c r="E64" s="3" t="s">
        <v>78</v>
      </c>
      <c r="F64" s="6"/>
    </row>
    <row r="65">
      <c r="A65" s="3"/>
      <c r="B65" s="4" t="str">
        <f>HYPERLINK("ip194097.ntcu.edu.tw/longthok/bj/107-205.pdf","食甲飽的餐廳")</f>
        <v>食甲飽的餐廳</v>
      </c>
      <c r="C65" s="5" t="s">
        <v>81</v>
      </c>
      <c r="D65" s="4" t="str">
        <f>HYPERLINK("ip194097.ntcu.edu.tw/longthok/si/107-205食甲飽的餐廳.mp3","107-205")</f>
        <v>107-205</v>
      </c>
      <c r="E65" s="3" t="s">
        <v>78</v>
      </c>
      <c r="F65" s="6"/>
    </row>
    <row r="66">
      <c r="A66" s="3"/>
      <c r="B66" s="4" t="str">
        <f>HYPERLINK("ip194097.ntcu.edu.tw/longthok/bj/107-204.pdf","阿爸的向望")</f>
        <v>阿爸的向望</v>
      </c>
      <c r="C66" s="5" t="s">
        <v>82</v>
      </c>
      <c r="D66" s="4" t="str">
        <f>HYPERLINK("ip194097.ntcu.edu.tw/longthok/si/107-204阿爸的向望.mp3","107-204")</f>
        <v>107-204</v>
      </c>
      <c r="E66" s="3" t="s">
        <v>78</v>
      </c>
      <c r="F66" s="6"/>
    </row>
    <row r="67">
      <c r="A67" s="3"/>
      <c r="B67" s="4" t="str">
        <f>HYPERLINK("ip194097.ntcu.edu.tw/longthok/bj/107-203.pdf","生目針")</f>
        <v>生目針</v>
      </c>
      <c r="C67" s="5" t="s">
        <v>83</v>
      </c>
      <c r="D67" s="4" t="str">
        <f>HYPERLINK("ip194097.ntcu.edu.tw/longthok/si/107-203生目針.mp3","107-203")</f>
        <v>107-203</v>
      </c>
      <c r="E67" s="3" t="s">
        <v>78</v>
      </c>
      <c r="F67" s="6"/>
    </row>
    <row r="68">
      <c r="A68" s="3"/>
      <c r="B68" s="4" t="str">
        <f>HYPERLINK("ip194097.ntcu.edu.tw/longthok/bj/107-202.pdf","說多謝")</f>
        <v>說多謝</v>
      </c>
      <c r="C68" s="5" t="s">
        <v>24</v>
      </c>
      <c r="D68" s="4" t="str">
        <f>HYPERLINK("ip194097.ntcu.edu.tw/longthok/si/107-202說多謝.mp3","107-202")</f>
        <v>107-202</v>
      </c>
      <c r="E68" s="3" t="s">
        <v>78</v>
      </c>
      <c r="F68" s="6"/>
    </row>
    <row r="69">
      <c r="A69" s="3"/>
      <c r="B69" s="4" t="str">
        <f>HYPERLINK("ip194097.ntcu.edu.tw/longthok/bj/107-201.pdf","小姐佮鱸鰻")</f>
        <v>小姐佮鱸鰻</v>
      </c>
      <c r="C69" s="5" t="s">
        <v>84</v>
      </c>
      <c r="D69" s="4" t="str">
        <f>HYPERLINK("ip194097.ntcu.edu.tw/longthok/si/107-201小姐佮鱸鰻.mp3","107-201")</f>
        <v>107-201</v>
      </c>
      <c r="E69" s="3" t="s">
        <v>78</v>
      </c>
      <c r="F69" s="6"/>
    </row>
    <row r="70">
      <c r="A70" s="3"/>
      <c r="B70" s="4" t="str">
        <f>HYPERLINK("ip194097.ntcu.edu.tw/longthok/bj/107-108.pdf","青紅燈")</f>
        <v>青紅燈</v>
      </c>
      <c r="C70" s="7" t="s">
        <v>85</v>
      </c>
      <c r="D70" s="4" t="str">
        <f>HYPERLINK("ip194097.ntcu.edu.tw/longthok/si/107-108青紅燈.mp3","107-108")</f>
        <v>107-108</v>
      </c>
      <c r="E70" s="3" t="s">
        <v>86</v>
      </c>
      <c r="F70" s="6"/>
    </row>
    <row r="71">
      <c r="A71" s="3"/>
      <c r="B71" s="4" t="str">
        <f>HYPERLINK("ip194097.ntcu.edu.tw/longthok/bj/107-107.pdf","快樂的兒童節")</f>
        <v>快樂的兒童節</v>
      </c>
      <c r="C71" s="7" t="s">
        <v>87</v>
      </c>
      <c r="D71" s="4" t="str">
        <f>HYPERLINK("ip194097.ntcu.edu.tw/longthok/si/107-107快樂的兒童節.mp3","107-107")</f>
        <v>107-107</v>
      </c>
      <c r="E71" s="8" t="s">
        <v>86</v>
      </c>
      <c r="F71" s="6"/>
    </row>
    <row r="72">
      <c r="A72" s="3"/>
      <c r="B72" s="4" t="str">
        <f>HYPERLINK("ip194097.ntcu.edu.tw/longthok/bj/107-106.pdf","頭一擺的音樂會")</f>
        <v>頭一擺的音樂會</v>
      </c>
      <c r="C72" s="7" t="s">
        <v>88</v>
      </c>
      <c r="D72" s="4" t="str">
        <f>HYPERLINK("ip194097.ntcu.edu.tw/longthok/si/107-106頭一擺的音樂會.mp3","107-106")</f>
        <v>107-106</v>
      </c>
      <c r="E72" s="3" t="s">
        <v>86</v>
      </c>
      <c r="F72" s="6"/>
    </row>
    <row r="73">
      <c r="A73" s="3"/>
      <c r="B73" s="4" t="str">
        <f>HYPERLINK("ip194097.ntcu.edu.tw/longthok/bj/107-105.pdf","愛會記得𤆬我轉來喔")</f>
        <v>愛會記得𤆬我轉來喔</v>
      </c>
      <c r="C73" s="7" t="s">
        <v>53</v>
      </c>
      <c r="D73" s="4" t="str">
        <f>HYPERLINK("ip194097.ntcu.edu.tw/longthok/si/107-105愛會記得tshua我轉來喔.mp3","107-105")</f>
        <v>107-105</v>
      </c>
      <c r="E73" s="8" t="s">
        <v>86</v>
      </c>
      <c r="F73" s="6"/>
    </row>
    <row r="74">
      <c r="A74" s="3"/>
      <c r="B74" s="4" t="str">
        <f>HYPERLINK("ip194097.ntcu.edu.tw/longthok/bj/107-104.pdf","炕塗窯")</f>
        <v>炕塗窯</v>
      </c>
      <c r="C74" s="7" t="s">
        <v>89</v>
      </c>
      <c r="D74" s="4" t="str">
        <f>HYPERLINK("ip194097.ntcu.edu.tw/longthok/si/107-104炕塗窯.mp3","107-104")</f>
        <v>107-104</v>
      </c>
      <c r="E74" s="3" t="s">
        <v>86</v>
      </c>
      <c r="F74" s="6"/>
    </row>
    <row r="75">
      <c r="A75" s="3"/>
      <c r="B75" s="4" t="str">
        <f>HYPERLINK("ip194097.ntcu.edu.tw/longthok/bj/107-103.pdf","愛綴路的")</f>
        <v>愛綴路的</v>
      </c>
      <c r="C75" s="7" t="s">
        <v>61</v>
      </c>
      <c r="D75" s="4" t="str">
        <f>HYPERLINK("ip194097.ntcu.edu.tw/longthok/si/107-103愛綴路的.mp3","107-103")</f>
        <v>107-103</v>
      </c>
      <c r="E75" s="8" t="s">
        <v>86</v>
      </c>
      <c r="F75" s="6"/>
    </row>
    <row r="76">
      <c r="A76" s="3"/>
      <c r="B76" s="4" t="str">
        <f>HYPERLINK("ip194097.ntcu.edu.tw/longthok/bj/107-102.pdf","抾拾")</f>
        <v>抾拾</v>
      </c>
      <c r="C76" s="7" t="s">
        <v>90</v>
      </c>
      <c r="D76" s="4" t="str">
        <f>HYPERLINK("ip194097.ntcu.edu.tw/longthok/si/107-102抾拾.mp3","107-102")</f>
        <v>107-102</v>
      </c>
      <c r="E76" s="3" t="s">
        <v>86</v>
      </c>
      <c r="F76" s="6"/>
    </row>
    <row r="77">
      <c r="A77" s="3"/>
      <c r="B77" s="4" t="str">
        <f>HYPERLINK("ip194097.ntcu.edu.tw/longthok/bj/107-101.pdf","公園")</f>
        <v>公園</v>
      </c>
      <c r="C77" s="7" t="s">
        <v>91</v>
      </c>
      <c r="D77" s="4" t="str">
        <f>HYPERLINK("ip194097.ntcu.edu.tw/longthok/si/107-101公園.mp3","107-101")</f>
        <v>107-101</v>
      </c>
      <c r="E77" s="8" t="s">
        <v>86</v>
      </c>
      <c r="F77" s="6"/>
    </row>
    <row r="78">
      <c r="A78" s="3"/>
      <c r="B78" s="4" t="str">
        <f>HYPERLINK("ip194097.ntcu.edu.tw/longthok/bj/106-610.pdf","數念")</f>
        <v>數念</v>
      </c>
      <c r="C78" s="7" t="s">
        <v>92</v>
      </c>
      <c r="D78" s="7" t="s">
        <v>93</v>
      </c>
      <c r="E78" s="3" t="s">
        <v>94</v>
      </c>
    </row>
    <row r="79">
      <c r="A79" s="3"/>
      <c r="B79" s="4" t="str">
        <f>HYPERLINK("ip194097.ntcu.edu.tw/longthok/bj/106-609.pdf","阿公佮狗")</f>
        <v>阿公佮狗</v>
      </c>
      <c r="C79" s="7" t="s">
        <v>79</v>
      </c>
      <c r="D79" s="7" t="s">
        <v>95</v>
      </c>
      <c r="E79" s="3" t="s">
        <v>94</v>
      </c>
      <c r="F79" s="9"/>
    </row>
    <row r="80">
      <c r="A80" s="3"/>
      <c r="B80" s="4" t="str">
        <f>HYPERLINK("ip194097.ntcu.edu.tw/longthok/bj/106-608.pdf","來去小琉球行春")</f>
        <v>來去小琉球行春</v>
      </c>
      <c r="C80" s="7" t="s">
        <v>96</v>
      </c>
      <c r="D80" s="7" t="s">
        <v>97</v>
      </c>
      <c r="E80" s="3" t="s">
        <v>94</v>
      </c>
      <c r="F80" s="6"/>
    </row>
    <row r="81">
      <c r="A81" s="3"/>
      <c r="B81" s="4" t="str">
        <f>HYPERLINK("ip194097.ntcu.edu.tw/longthok/bj/106-607.pdf","故鄉情")</f>
        <v>故鄉情</v>
      </c>
      <c r="C81" s="7" t="s">
        <v>98</v>
      </c>
      <c r="D81" s="7" t="s">
        <v>99</v>
      </c>
      <c r="E81" s="3" t="s">
        <v>94</v>
      </c>
      <c r="F81" s="6"/>
    </row>
    <row r="82">
      <c r="A82" s="3"/>
      <c r="B82" s="4" t="str">
        <f>HYPERLINK("ip194097.ntcu.edu.tw/longthok/bj/106-606.pdf","坐飛行機")</f>
        <v>坐飛行機</v>
      </c>
      <c r="C82" s="7" t="s">
        <v>100</v>
      </c>
      <c r="D82" s="7" t="s">
        <v>101</v>
      </c>
      <c r="E82" s="3" t="s">
        <v>94</v>
      </c>
      <c r="F82" s="6"/>
    </row>
    <row r="83">
      <c r="A83" s="3"/>
      <c r="B83" s="4" t="str">
        <f>HYPERLINK("ip194097.ntcu.edu.tw/longthok/bj/106-605.pdf","我干焦賰勇敢")</f>
        <v>我干焦賰勇敢</v>
      </c>
      <c r="C83" s="7" t="s">
        <v>83</v>
      </c>
      <c r="D83" s="7" t="s">
        <v>102</v>
      </c>
      <c r="E83" s="3" t="s">
        <v>94</v>
      </c>
      <c r="F83" s="6"/>
    </row>
    <row r="84">
      <c r="A84" s="3"/>
      <c r="B84" s="4" t="str">
        <f>HYPERLINK("ip194097.ntcu.edu.tw/longthok/bj/106-604.pdf","佮幸福約會")</f>
        <v>佮幸福約會</v>
      </c>
      <c r="C84" s="7" t="s">
        <v>76</v>
      </c>
      <c r="D84" s="7" t="s">
        <v>103</v>
      </c>
      <c r="E84" s="3" t="s">
        <v>94</v>
      </c>
      <c r="F84" s="6"/>
    </row>
    <row r="85">
      <c r="A85" s="3"/>
      <c r="B85" s="4" t="str">
        <f>HYPERLINK("ip194097.ntcu.edu.tw/longthok/bj/106-603.pdf","媽媽，請你也保重")</f>
        <v>媽媽，請你也保重</v>
      </c>
      <c r="C85" s="7" t="s">
        <v>104</v>
      </c>
      <c r="D85" s="7" t="s">
        <v>105</v>
      </c>
      <c r="E85" s="3" t="s">
        <v>94</v>
      </c>
      <c r="F85" s="6"/>
    </row>
    <row r="86">
      <c r="A86" s="3"/>
      <c r="B86" s="4" t="str">
        <f>HYPERLINK("ip194097.ntcu.edu.tw/longthok/bj/106-602.pdf","數念苦楝花")</f>
        <v>數念苦楝花</v>
      </c>
      <c r="C86" s="7" t="s">
        <v>106</v>
      </c>
      <c r="D86" s="7" t="s">
        <v>107</v>
      </c>
      <c r="E86" s="3" t="s">
        <v>94</v>
      </c>
      <c r="F86" s="6"/>
    </row>
    <row r="87">
      <c r="A87" s="3"/>
      <c r="B87" s="4" t="str">
        <f>HYPERLINK("ip194097.ntcu.edu.tw/longthok/bj/106-601.pdf","沉底")</f>
        <v>沉底</v>
      </c>
      <c r="C87" s="7" t="s">
        <v>108</v>
      </c>
      <c r="D87" s="7" t="s">
        <v>109</v>
      </c>
      <c r="E87" s="3" t="s">
        <v>94</v>
      </c>
      <c r="F87" s="6"/>
    </row>
    <row r="88">
      <c r="A88" s="3"/>
      <c r="B88" s="4" t="str">
        <f>HYPERLINK("ip194097.ntcu.edu.tw/longthok/bj/106-512.pdf","設使運命相替換")</f>
        <v>設使運命相替換</v>
      </c>
      <c r="C88" s="7" t="s">
        <v>68</v>
      </c>
      <c r="D88" s="4" t="str">
        <f>HYPERLINK("ip194097.ntcu.edu.tw/longthok/si/106-512設使運命相替換.mp3","106-512")</f>
        <v>106-512</v>
      </c>
      <c r="E88" s="3" t="s">
        <v>110</v>
      </c>
      <c r="F88" s="6"/>
    </row>
    <row r="89">
      <c r="A89" s="3"/>
      <c r="B89" s="4" t="str">
        <f>HYPERLINK("ip194097.ntcu.edu.tw/longthok/bj/106-511.pdf","阿嬸")</f>
        <v>阿嬸</v>
      </c>
      <c r="C89" s="7" t="s">
        <v>111</v>
      </c>
      <c r="D89" s="4" t="str">
        <f>HYPERLINK("ip194097.ntcu.edu.tw/longthok/si/106-511阿嬸.mp3","106-511")</f>
        <v>106-511</v>
      </c>
      <c r="E89" s="3" t="s">
        <v>110</v>
      </c>
      <c r="F89" s="6"/>
    </row>
    <row r="90">
      <c r="A90" s="3"/>
      <c r="B90" s="4" t="str">
        <f>HYPERLINK("ip194097.ntcu.edu.tw/longthok/bj/106-510.pdf","練習離別")</f>
        <v>練習離別</v>
      </c>
      <c r="C90" s="7" t="s">
        <v>112</v>
      </c>
      <c r="D90" s="4" t="str">
        <f>HYPERLINK("ip194097.ntcu.edu.tw/longthok/si/106-510練習離別.mp3","106-510")</f>
        <v>106-510</v>
      </c>
      <c r="E90" s="3" t="s">
        <v>110</v>
      </c>
      <c r="F90" s="6"/>
    </row>
    <row r="91">
      <c r="A91" s="3"/>
      <c r="B91" s="4" t="str">
        <f>HYPERLINK("ip194097.ntcu.edu.tw/longthok/bj/106-509.pdf","囥咧鎮地，擲掉討債")</f>
        <v>囥咧鎮地，擲掉討債</v>
      </c>
      <c r="C91" s="7" t="s">
        <v>113</v>
      </c>
      <c r="D91" s="4" t="str">
        <f>HYPERLINK("ip194097.ntcu.edu.tw/longthok/si/106-509囥咧鎮地，擲掉討債.mp3","106-509")</f>
        <v>106-509</v>
      </c>
      <c r="E91" s="3" t="s">
        <v>110</v>
      </c>
      <c r="F91" s="6"/>
    </row>
    <row r="92">
      <c r="A92" s="3"/>
      <c r="B92" s="4" t="str">
        <f>HYPERLINK("ip194097.ntcu.edu.tw/longthok/bj/106-508.pdf","大船落水，展希望")</f>
        <v>大船落水，展希望</v>
      </c>
      <c r="C92" s="7" t="s">
        <v>114</v>
      </c>
      <c r="D92" s="4" t="str">
        <f>HYPERLINK("ip194097.ntcu.edu.tw/longthok/si/106-508大船落水，展希望.mp3","106-508")</f>
        <v>106-508</v>
      </c>
      <c r="E92" s="3" t="s">
        <v>110</v>
      </c>
      <c r="F92" s="6"/>
    </row>
    <row r="93">
      <c r="A93" s="3"/>
      <c r="B93" s="4" t="str">
        <f>HYPERLINK("ip194097.ntcu.edu.tw/longthok/bj/106-507.pdf","紅豆情")</f>
        <v>紅豆情</v>
      </c>
      <c r="C93" s="7" t="s">
        <v>115</v>
      </c>
      <c r="D93" s="4" t="str">
        <f>HYPERLINK("ip194097.ntcu.edu.tw/longthok/si/106-507紅豆情.mp3","106-507")</f>
        <v>106-507</v>
      </c>
      <c r="E93" s="3" t="s">
        <v>110</v>
      </c>
      <c r="F93" s="6"/>
    </row>
    <row r="94">
      <c r="A94" s="3"/>
      <c r="B94" s="4" t="str">
        <f>HYPERLINK("ip194097.ntcu.edu.tw/longthok/bj/106-506.pdf","豬仔產婆")</f>
        <v>豬仔產婆</v>
      </c>
      <c r="C94" s="7" t="s">
        <v>116</v>
      </c>
      <c r="D94" s="4" t="str">
        <f>HYPERLINK("ip194097.ntcu.edu.tw/longthok/si/106-506豬仔產婆.mp3","106-506")</f>
        <v>106-506</v>
      </c>
      <c r="E94" s="3" t="s">
        <v>110</v>
      </c>
      <c r="F94" s="6"/>
    </row>
    <row r="95">
      <c r="A95" s="3"/>
      <c r="B95" s="4" t="str">
        <f>HYPERLINK("ip194097.ntcu.edu.tw/longthok/bj/106-505.pdf","緣份")</f>
        <v>緣份</v>
      </c>
      <c r="C95" s="7" t="s">
        <v>117</v>
      </c>
      <c r="D95" s="4" t="str">
        <f>HYPERLINK("ip194097.ntcu.edu.tw/longthok/si/106-505緣份.mp3","106-505")</f>
        <v>106-505</v>
      </c>
      <c r="E95" s="3" t="s">
        <v>110</v>
      </c>
      <c r="F95" s="6"/>
    </row>
    <row r="96">
      <c r="A96" s="3"/>
      <c r="B96" s="4" t="str">
        <f>HYPERLINK("ip194097.ntcu.edu.tw/longthok/bj/106-504.pdf","釋迦")</f>
        <v>釋迦</v>
      </c>
      <c r="C96" s="7" t="s">
        <v>118</v>
      </c>
      <c r="D96" s="4" t="str">
        <f>HYPERLINK("ip194097.ntcu.edu.tw/longthok/si/106-504釋迦.mp3","106-504")</f>
        <v>106-504</v>
      </c>
      <c r="E96" s="3" t="s">
        <v>110</v>
      </c>
      <c r="F96" s="6"/>
    </row>
    <row r="97">
      <c r="A97" s="3"/>
      <c r="B97" s="4" t="str">
        <f>HYPERLINK("ip194097.ntcu.edu.tw/longthok/bj/106-503.pdf","有量就有福")</f>
        <v>有量就有福</v>
      </c>
      <c r="C97" s="7" t="s">
        <v>100</v>
      </c>
      <c r="D97" s="4" t="str">
        <f>HYPERLINK("ip194097.ntcu.edu.tw/longthok/si/106-503有量就有福.mp3","106-503")</f>
        <v>106-503</v>
      </c>
      <c r="E97" s="3" t="s">
        <v>110</v>
      </c>
      <c r="F97" s="6"/>
    </row>
    <row r="98">
      <c r="A98" s="3"/>
      <c r="B98" s="4" t="str">
        <f>HYPERLINK("ip194097.ntcu.edu.tw/longthok/bj/106-502.pdf","無奈的世代")</f>
        <v>無奈的世代</v>
      </c>
      <c r="C98" s="7" t="s">
        <v>119</v>
      </c>
      <c r="D98" s="4" t="str">
        <f>HYPERLINK("ip194097.ntcu.edu.tw/longthok/si/106-502無奈的世代.mp3","106-502")</f>
        <v>106-502</v>
      </c>
      <c r="E98" s="3" t="s">
        <v>110</v>
      </c>
      <c r="F98" s="6"/>
    </row>
    <row r="99">
      <c r="A99" s="3"/>
      <c r="B99" s="4" t="str">
        <f>HYPERLINK("ip194097.ntcu.edu.tw/longthok/bj/106-501.pdf","阿母")</f>
        <v>阿母</v>
      </c>
      <c r="C99" s="7" t="s">
        <v>120</v>
      </c>
      <c r="D99" s="4" t="str">
        <f>HYPERLINK("ip194097.ntcu.edu.tw/longthok/si/106-501阿母.mp3","106-501")</f>
        <v>106-501</v>
      </c>
      <c r="E99" s="3" t="s">
        <v>110</v>
      </c>
      <c r="F99" s="6"/>
    </row>
    <row r="100">
      <c r="A100" s="3"/>
      <c r="B100" s="4" t="str">
        <f>HYPERLINK("ip194097.ntcu.edu.tw/longthok/bj/106-412.pdf","觸纏")</f>
        <v>觸纏</v>
      </c>
      <c r="C100" s="7" t="s">
        <v>21</v>
      </c>
      <c r="D100" s="4" t="str">
        <f>HYPERLINK("ip194097.ntcu.edu.tw/longthok/si/106-412觸纏.mp3","106-412")</f>
        <v>106-412</v>
      </c>
      <c r="E100" s="3" t="s">
        <v>121</v>
      </c>
      <c r="F100" s="6"/>
    </row>
    <row r="101">
      <c r="A101" s="3"/>
      <c r="B101" s="4" t="str">
        <f>HYPERLINK("ip194097.ntcu.edu.tw/longthok/bj/106-411.pdf","迎接第二个人生")</f>
        <v>迎接第二个人生</v>
      </c>
      <c r="C101" s="7" t="s">
        <v>122</v>
      </c>
      <c r="D101" s="4" t="str">
        <f>HYPERLINK("ip194097.ntcu.edu.tw/longthok/si/106-411迎接第二个人生.mp3","106-411")</f>
        <v>106-411</v>
      </c>
      <c r="E101" s="3" t="s">
        <v>121</v>
      </c>
      <c r="F101" s="9"/>
    </row>
    <row r="102">
      <c r="A102" s="3"/>
      <c r="B102" s="4" t="str">
        <f>HYPERLINK("ip194097.ntcu.edu.tw/longthok/bj/106-410.pdf","寫予囝兒的一張批")</f>
        <v>寫予囝兒的一張批</v>
      </c>
      <c r="C102" s="7" t="s">
        <v>123</v>
      </c>
      <c r="D102" s="4" t="str">
        <f>HYPERLINK("ip194097.ntcu.edu.tw/longthok/si/106-410寫予囝兒的一張批.mp3","106-410")</f>
        <v>106-410</v>
      </c>
      <c r="E102" s="3" t="s">
        <v>121</v>
      </c>
      <c r="F102" s="6"/>
    </row>
    <row r="103">
      <c r="A103" s="3"/>
      <c r="B103" s="4" t="str">
        <f>HYPERLINK("ip194097.ntcu.edu.tw/longthok/bj/106-409.pdf","溫泉鄉的頭幫車")</f>
        <v>溫泉鄉的頭幫車</v>
      </c>
      <c r="C103" s="7" t="s">
        <v>124</v>
      </c>
      <c r="D103" s="4" t="str">
        <f>HYPERLINK("ip194097.ntcu.edu.tw/longthok/si/106-409溫泉鄉的頭幫車.mp3","106-409")</f>
        <v>106-409</v>
      </c>
      <c r="E103" s="3" t="s">
        <v>121</v>
      </c>
      <c r="F103" s="6"/>
    </row>
    <row r="104">
      <c r="A104" s="3"/>
      <c r="B104" s="4" t="str">
        <f>HYPERLINK("ip194097.ntcu.edu.tw/longthok/bj/106-408.pdf","人生的路家己行")</f>
        <v>人生的路家己行</v>
      </c>
      <c r="C104" s="7" t="s">
        <v>125</v>
      </c>
      <c r="D104" s="4" t="str">
        <f>HYPERLINK("ip194097.ntcu.edu.tw/longthok/si/106-408人生的路家己走.mp3","106-408")</f>
        <v>106-408</v>
      </c>
      <c r="E104" s="3" t="s">
        <v>121</v>
      </c>
      <c r="F104" s="6"/>
    </row>
    <row r="105">
      <c r="A105" s="3"/>
      <c r="B105" s="4" t="str">
        <f>HYPERLINK("ip194097.ntcu.edu.tw/longthok/bj/106-407.pdf","考老師症候群")</f>
        <v>考老師症候群</v>
      </c>
      <c r="C105" s="7" t="s">
        <v>112</v>
      </c>
      <c r="D105" s="4" t="str">
        <f>HYPERLINK("ip194097.ntcu.edu.tw/longthok/si/106-407考老師症候群.mp3","106-407")</f>
        <v>106-407</v>
      </c>
      <c r="E105" s="3" t="s">
        <v>121</v>
      </c>
      <c r="F105" s="6"/>
    </row>
    <row r="106">
      <c r="A106" s="3"/>
      <c r="B106" s="4" t="str">
        <f>HYPERLINK("ip194097.ntcu.edu.tw/longthok/bj/106-406.pdf","熱人騎鐵馬")</f>
        <v>熱人騎鐵馬</v>
      </c>
      <c r="C106" s="7" t="s">
        <v>126</v>
      </c>
      <c r="D106" s="4" t="str">
        <f>HYPERLINK("ip194097.ntcu.edu.tw/longthok/si/106-406熱人騎鐵馬.mp3","106-406")</f>
        <v>106-406</v>
      </c>
      <c r="E106" s="3" t="s">
        <v>121</v>
      </c>
      <c r="F106" s="6"/>
    </row>
    <row r="107">
      <c r="A107" s="3"/>
      <c r="B107" s="4" t="str">
        <f>HYPERLINK("ip194097.ntcu.edu.tw/longthok/bj/106-405.pdf","傷痕")</f>
        <v>傷痕</v>
      </c>
      <c r="C107" s="7" t="s">
        <v>127</v>
      </c>
      <c r="D107" s="4" t="str">
        <f>HYPERLINK("ip194097.ntcu.edu.tw/longthok/si/106-405傷痕.mp3","106-405")</f>
        <v>106-405</v>
      </c>
      <c r="E107" s="3" t="s">
        <v>121</v>
      </c>
      <c r="F107" s="6"/>
    </row>
    <row r="108">
      <c r="A108" s="3"/>
      <c r="B108" s="4" t="str">
        <f>HYPERLINK("ip194097.ntcu.edu.tw/longthok/bj/106-404.pdf","粒積")</f>
        <v>粒積</v>
      </c>
      <c r="C108" s="7" t="s">
        <v>30</v>
      </c>
      <c r="D108" s="4" t="str">
        <f>HYPERLINK("ip194097.ntcu.edu.tw/longthok/si/106-404粒積.mp3","106-404")</f>
        <v>106-404</v>
      </c>
      <c r="E108" s="3" t="s">
        <v>121</v>
      </c>
      <c r="F108" s="6"/>
    </row>
    <row r="109">
      <c r="A109" s="3"/>
      <c r="B109" s="4" t="str">
        <f>HYPERLINK("ip194097.ntcu.edu.tw/longthok/bj/106-403.pdf","為你朗讀")</f>
        <v>為你朗讀</v>
      </c>
      <c r="C109" s="7" t="s">
        <v>108</v>
      </c>
      <c r="D109" s="4" t="str">
        <f>HYPERLINK("ip194097.ntcu.edu.tw/longthok/si/106-403為你朗讀.mp3","106-403")</f>
        <v>106-403</v>
      </c>
      <c r="E109" s="3" t="s">
        <v>121</v>
      </c>
      <c r="F109" s="6"/>
    </row>
    <row r="110">
      <c r="A110" s="3"/>
      <c r="B110" s="4" t="str">
        <f>HYPERLINK("ip194097.ntcu.edu.tw/longthok/bj/106-402.pdf","頭一个無老母的母親節")</f>
        <v>頭一个無老母的母親節</v>
      </c>
      <c r="C110" s="7" t="s">
        <v>128</v>
      </c>
      <c r="D110" s="4" t="str">
        <f>HYPERLINK("ip194097.ntcu.edu.tw/longthok/si/106-402頭一个無老母的母親節.mp3","106-402")</f>
        <v>106-402</v>
      </c>
      <c r="E110" s="3" t="s">
        <v>121</v>
      </c>
      <c r="F110" s="6"/>
    </row>
    <row r="111">
      <c r="A111" s="3"/>
      <c r="B111" s="4" t="str">
        <f>HYPERLINK("ip194097.ntcu.edu.tw/longthok/bj/106-401.pdf","勇敢做家己")</f>
        <v>勇敢做家己</v>
      </c>
      <c r="C111" s="7" t="s">
        <v>129</v>
      </c>
      <c r="D111" s="4" t="str">
        <f>HYPERLINK("ip194097.ntcu.edu.tw/longthok/si/106-401勇敢做家己.mp3","106-401")</f>
        <v>106-401</v>
      </c>
      <c r="E111" s="3" t="s">
        <v>121</v>
      </c>
      <c r="F111" s="6"/>
    </row>
    <row r="112">
      <c r="A112" s="3"/>
      <c r="B112" s="4" t="str">
        <f>HYPERLINK("ip194097.ntcu.edu.tw/longthok/bj/106-310.pdf","頭家佮辛勞")</f>
        <v>頭家佮辛勞</v>
      </c>
      <c r="C112" s="7" t="s">
        <v>130</v>
      </c>
      <c r="D112" s="4" t="str">
        <f>HYPERLINK("ip194097.ntcu.edu.tw/longthok/si/106-310頭家佮辛勞.mp3","106-310")</f>
        <v>106-310</v>
      </c>
      <c r="E112" s="3" t="s">
        <v>131</v>
      </c>
      <c r="F112" s="6"/>
    </row>
    <row r="113">
      <c r="A113" s="3"/>
      <c r="B113" s="4" t="str">
        <f>HYPERLINK("ip194097.ntcu.edu.tw/longthok/bj/106-309.pdf","阿母的禮物")</f>
        <v>阿母的禮物</v>
      </c>
      <c r="C113" s="7" t="s">
        <v>61</v>
      </c>
      <c r="D113" s="4" t="str">
        <f>HYPERLINK("ip194097.ntcu.edu.tw/longthok/si/106-309阿母的禮物.mp3","106-309")</f>
        <v>106-309</v>
      </c>
      <c r="E113" s="3" t="s">
        <v>131</v>
      </c>
      <c r="F113" s="6"/>
    </row>
    <row r="114">
      <c r="A114" s="3"/>
      <c r="B114" s="4" t="str">
        <f>HYPERLINK("ip194097.ntcu.edu.tw/longthok/bj/106-308.pdf","老母對囝兒的期待")</f>
        <v>老母對囝兒的期待</v>
      </c>
      <c r="C114" s="7" t="s">
        <v>132</v>
      </c>
      <c r="D114" s="4" t="str">
        <f>HYPERLINK("ip194097.ntcu.edu.tw/longthok/si/106-308老母對囝兒的期待.mp3","106-308")</f>
        <v>106-308</v>
      </c>
      <c r="E114" s="3" t="s">
        <v>131</v>
      </c>
      <c r="F114" s="6"/>
    </row>
    <row r="115">
      <c r="A115" s="3"/>
      <c r="B115" s="4" t="str">
        <f>HYPERLINK("ip194097.ntcu.edu.tw/longthok/bj/106-307.pdf","一步一跤跡")</f>
        <v>一步一跤跡</v>
      </c>
      <c r="C115" s="7" t="s">
        <v>133</v>
      </c>
      <c r="D115" s="4" t="str">
        <f>HYPERLINK("ip194097.ntcu.edu.tw/longthok/si/106-307一步一跤跡.mp3","106-307")</f>
        <v>106-307</v>
      </c>
      <c r="E115" s="3" t="s">
        <v>131</v>
      </c>
      <c r="F115" s="6"/>
    </row>
    <row r="116">
      <c r="A116" s="3"/>
      <c r="B116" s="4" t="str">
        <f>HYPERLINK("ip194097.ntcu.edu.tw/longthok/bj/106-306.pdf","緊來去走走咧")</f>
        <v>緊來去走走咧</v>
      </c>
      <c r="C116" s="7" t="s">
        <v>134</v>
      </c>
      <c r="D116" s="4" t="str">
        <f>HYPERLINK("ip194097.ntcu.edu.tw/longthok/si/106-306緊來去走走咧.mp3","106-306")</f>
        <v>106-306</v>
      </c>
      <c r="E116" s="3" t="s">
        <v>131</v>
      </c>
      <c r="F116" s="6"/>
    </row>
    <row r="117">
      <c r="A117" s="3"/>
      <c r="B117" s="4" t="str">
        <f>HYPERLINK("ip194097.ntcu.edu.tw/longthok/bj/106-305.pdf","種番薯飼鳥鼠")</f>
        <v>種番薯飼鳥鼠</v>
      </c>
      <c r="C117" s="7" t="s">
        <v>116</v>
      </c>
      <c r="D117" s="4" t="str">
        <f>HYPERLINK("ip194097.ntcu.edu.tw/longthok/si/106-305種番薯飼鳥鼠.mp3","106-305")</f>
        <v>106-305</v>
      </c>
      <c r="E117" s="3" t="s">
        <v>131</v>
      </c>
      <c r="F117" s="6"/>
    </row>
    <row r="118">
      <c r="A118" s="3"/>
      <c r="B118" s="4" t="str">
        <f>HYPERLINK("ip194097.ntcu.edu.tw/longthok/bj/106-304.pdf","炕窯")</f>
        <v>炕窯</v>
      </c>
      <c r="C118" s="7" t="s">
        <v>135</v>
      </c>
      <c r="D118" s="4" t="str">
        <f>HYPERLINK("ip194097.ntcu.edu.tw/longthok/si/106-304炕窯.mp3","106-304")</f>
        <v>106-304</v>
      </c>
      <c r="E118" s="3" t="s">
        <v>131</v>
      </c>
      <c r="F118" s="6"/>
    </row>
    <row r="119">
      <c r="A119" s="3"/>
      <c r="B119" s="4" t="str">
        <f>HYPERLINK("ip194097.ntcu.edu.tw/longthok/bj/106-303.pdf","跤踏車")</f>
        <v>跤踏車</v>
      </c>
      <c r="C119" s="7" t="s">
        <v>20</v>
      </c>
      <c r="D119" s="4" t="str">
        <f>HYPERLINK("ip194097.ntcu.edu.tw/longthok/si/106-303跤踏車.mp3","106-303")</f>
        <v>106-303</v>
      </c>
      <c r="E119" s="3" t="s">
        <v>131</v>
      </c>
      <c r="F119" s="6"/>
    </row>
    <row r="120">
      <c r="A120" s="3"/>
      <c r="B120" s="4" t="str">
        <f>HYPERLINK("ip194097.ntcu.edu.tw/longthok/bj/106-302.pdf","膨紗衫")</f>
        <v>膨紗衫</v>
      </c>
      <c r="C120" s="7" t="s">
        <v>136</v>
      </c>
      <c r="D120" s="4" t="str">
        <f>HYPERLINK("ip194097.ntcu.edu.tw/longthok/si/106-302膨紗衫.mp3","106-302")</f>
        <v>106-302</v>
      </c>
      <c r="E120" s="3" t="s">
        <v>131</v>
      </c>
      <c r="F120" s="6"/>
    </row>
    <row r="121">
      <c r="A121" s="3"/>
      <c r="B121" s="4" t="str">
        <f>HYPERLINK("ip194097.ntcu.edu.tw/longthok/bj/106-301.pdf","日日春")</f>
        <v>日日春</v>
      </c>
      <c r="C121" s="7" t="s">
        <v>137</v>
      </c>
      <c r="D121" s="4" t="str">
        <f>HYPERLINK("ip194097.ntcu.edu.tw/longthok/si/106-301日日春.mp3","106-301")</f>
        <v>106-301</v>
      </c>
      <c r="E121" s="3" t="s">
        <v>131</v>
      </c>
      <c r="F121" s="6"/>
    </row>
    <row r="122">
      <c r="A122" s="3"/>
      <c r="B122" s="4" t="str">
        <f>HYPERLINK("ip194097.ntcu.edu.tw/longthok/bj/106-208.pdf","佮阿媽去洗衫")</f>
        <v>佮阿媽去洗衫</v>
      </c>
      <c r="C122" s="7" t="s">
        <v>48</v>
      </c>
      <c r="D122" s="4" t="str">
        <f>HYPERLINK("ip194097.ntcu.edu.tw/longthok/si/106-208佮阿媽去洗衫.mp3","106-208")</f>
        <v>106-208</v>
      </c>
      <c r="E122" s="3" t="s">
        <v>138</v>
      </c>
      <c r="F122" s="6"/>
    </row>
    <row r="123">
      <c r="A123" s="3"/>
      <c r="B123" s="4" t="str">
        <f>HYPERLINK("ip194097.ntcu.edu.tw/longthok/bj/106-207.pdf","足𠢕毋通吼")</f>
        <v>足𠢕毋通吼</v>
      </c>
      <c r="C123" s="7" t="s">
        <v>61</v>
      </c>
      <c r="D123" s="4" t="str">
        <f>HYPERLINK("ip194097.ntcu.edu.tw/longthok/si/106-207足敖毋通吼.mp3","106-207")</f>
        <v>106-207</v>
      </c>
      <c r="E123" s="3" t="s">
        <v>138</v>
      </c>
      <c r="F123" s="9"/>
    </row>
    <row r="124">
      <c r="A124" s="3"/>
      <c r="B124" s="4" t="str">
        <f>HYPERLINK("ip194097.ntcu.edu.tw/longthok/bj/106-206.pdf","故鄉的記持")</f>
        <v>故鄉的記持</v>
      </c>
      <c r="C124" s="7" t="s">
        <v>139</v>
      </c>
      <c r="D124" s="4" t="str">
        <f>HYPERLINK("ip194097.ntcu.edu.tw/longthok/si/106-206故鄉的記持.mp3","106-206")</f>
        <v>106-206</v>
      </c>
      <c r="E124" s="3" t="s">
        <v>138</v>
      </c>
      <c r="F124" s="6"/>
    </row>
    <row r="125">
      <c r="A125" s="3"/>
      <c r="B125" s="4" t="str">
        <f>HYPERLINK("ip194097.ntcu.edu.tw/longthok/bj/106-205.pdf","阿母")</f>
        <v>阿母</v>
      </c>
      <c r="C125" s="7" t="s">
        <v>83</v>
      </c>
      <c r="D125" s="4" t="str">
        <f>HYPERLINK("ip194097.ntcu.edu.tw/longthok/si/106-205阿母.mp3","106-205")</f>
        <v>106-205</v>
      </c>
      <c r="E125" s="3" t="s">
        <v>138</v>
      </c>
      <c r="F125" s="6"/>
    </row>
    <row r="126">
      <c r="A126" s="3"/>
      <c r="B126" s="4" t="str">
        <f>HYPERLINK("ip194097.ntcu.edu.tw/longthok/bj/106-204.pdf","大伯公")</f>
        <v>大伯公</v>
      </c>
      <c r="C126" s="7" t="s">
        <v>20</v>
      </c>
      <c r="D126" s="4" t="str">
        <f>HYPERLINK("ip194097.ntcu.edu.tw/longthok/si/106-204大伯公.mp3","106-204")</f>
        <v>106-204</v>
      </c>
      <c r="E126" s="3" t="s">
        <v>138</v>
      </c>
      <c r="F126" s="6"/>
    </row>
    <row r="127">
      <c r="A127" s="3"/>
      <c r="B127" s="4" t="str">
        <f>HYPERLINK("ip194097.ntcu.edu.tw/longthok/bj/106-203.pdf","幸福的滋味")</f>
        <v>幸福的滋味</v>
      </c>
      <c r="C127" s="7" t="s">
        <v>140</v>
      </c>
      <c r="D127" s="4" t="str">
        <f>HYPERLINK("ip194097.ntcu.edu.tw/longthok/si/106-203幸福的滋味.mp3","106-203")</f>
        <v>106-203</v>
      </c>
      <c r="E127" s="3" t="s">
        <v>138</v>
      </c>
      <c r="F127" s="6"/>
    </row>
    <row r="128">
      <c r="A128" s="3"/>
      <c r="B128" s="4" t="str">
        <f>HYPERLINK("ip194097.ntcu.edu.tw/longthok/bj/106-202.pdf","做囡仔時代")</f>
        <v>做囡仔時代</v>
      </c>
      <c r="C128" s="7" t="s">
        <v>17</v>
      </c>
      <c r="D128" s="4" t="str">
        <f>HYPERLINK("ip194097.ntcu.edu.tw/longthok/si/106-202做囡仔時代.mp3","106-202")</f>
        <v>106-202</v>
      </c>
      <c r="E128" s="3" t="s">
        <v>138</v>
      </c>
      <c r="F128" s="6"/>
    </row>
    <row r="129">
      <c r="A129" s="3"/>
      <c r="B129" s="4" t="str">
        <f>HYPERLINK("ip194097.ntcu.edu.tw/longthok/bj/106-201.pdf","濁水彼條溪")</f>
        <v>濁水彼條溪</v>
      </c>
      <c r="C129" s="7" t="s">
        <v>44</v>
      </c>
      <c r="D129" s="4" t="str">
        <f>HYPERLINK("ip194097.ntcu.edu.tw/longthok/si/106-201濁水彼條溪.mp3","106-201")</f>
        <v>106-201</v>
      </c>
      <c r="E129" s="3" t="s">
        <v>138</v>
      </c>
      <c r="F129" s="6"/>
    </row>
    <row r="130">
      <c r="A130" s="3" t="s">
        <v>141</v>
      </c>
      <c r="B130" s="4" t="str">
        <f>HYPERLINK("ip194097.ntcu.edu.tw/longthok/bj/106-108.pdf","爸仔囝的對話")</f>
        <v>爸仔囝的對話</v>
      </c>
      <c r="C130" s="7" t="s">
        <v>46</v>
      </c>
      <c r="D130" s="4" t="str">
        <f>HYPERLINK("ip194097.ntcu.edu.tw/longthok/si/106-108爸仔囝的對話.mp3","106-108")</f>
        <v>106-108</v>
      </c>
      <c r="E130" s="3" t="s">
        <v>142</v>
      </c>
      <c r="F130" s="6"/>
    </row>
    <row r="131">
      <c r="A131" s="3" t="s">
        <v>143</v>
      </c>
      <c r="B131" s="4" t="str">
        <f>HYPERLINK("ip194097.ntcu.edu.tw/longthok/bj/106-107.pdf","母親節")</f>
        <v>母親節</v>
      </c>
      <c r="C131" s="7" t="s">
        <v>144</v>
      </c>
      <c r="D131" s="4" t="str">
        <f>HYPERLINK("ip194097.ntcu.edu.tw/longthok/si/106-107母親節.mp3","106-107")</f>
        <v>106-107</v>
      </c>
      <c r="E131" s="8" t="s">
        <v>142</v>
      </c>
      <c r="F131" s="9"/>
    </row>
    <row r="132">
      <c r="A132" s="3" t="s">
        <v>145</v>
      </c>
      <c r="B132" s="4" t="str">
        <f>HYPERLINK("ip194097.ntcu.edu.tw/longthok/bj/106-106.pdf","阮欲共老師揤一个讚")</f>
        <v>阮欲共老師揤一个讚</v>
      </c>
      <c r="C132" s="7" t="s">
        <v>116</v>
      </c>
      <c r="D132" s="4" t="str">
        <f>HYPERLINK("ip194097.ntcu.edu.tw/longthok/si/106-106阮欲共老師揤一个讚.mp3","106-106")</f>
        <v>106-106</v>
      </c>
      <c r="E132" s="8" t="s">
        <v>142</v>
      </c>
      <c r="F132" s="6"/>
    </row>
    <row r="133">
      <c r="A133" s="3" t="s">
        <v>146</v>
      </c>
      <c r="B133" s="4" t="str">
        <f>HYPERLINK("ip194097.ntcu.edu.tw/longthok/bj/106-105.pdf","雞卵糕")</f>
        <v>雞卵糕</v>
      </c>
      <c r="C133" s="7" t="s">
        <v>17</v>
      </c>
      <c r="D133" s="4" t="str">
        <f>HYPERLINK("ip194097.ntcu.edu.tw/longthok/si/106-105雞卵糕.mp3","106-105")</f>
        <v>106-105</v>
      </c>
      <c r="E133" s="8" t="s">
        <v>142</v>
      </c>
      <c r="F133" s="6"/>
    </row>
    <row r="134">
      <c r="A134" s="3" t="s">
        <v>147</v>
      </c>
      <c r="B134" s="4" t="str">
        <f>HYPERLINK("ip194097.ntcu.edu.tw/longthok/bj/106-104.pdf","蹛佇山頂的囡仔時陣")</f>
        <v>蹛佇山頂的囡仔時陣</v>
      </c>
      <c r="C134" s="7" t="s">
        <v>54</v>
      </c>
      <c r="D134" s="4" t="str">
        <f>HYPERLINK("ip194097.ntcu.edu.tw/longthok/si/106-104蹛佇山頂的囡仔時陣.mp3","106-104")</f>
        <v>106-104</v>
      </c>
      <c r="E134" s="8" t="s">
        <v>142</v>
      </c>
      <c r="F134" s="6"/>
    </row>
    <row r="135">
      <c r="A135" s="3" t="s">
        <v>148</v>
      </c>
      <c r="B135" s="4" t="str">
        <f>HYPERLINK("ip194097.ntcu.edu.tw/longthok/bj/106-103.pdf","阿母的祕密")</f>
        <v>阿母的祕密</v>
      </c>
      <c r="C135" s="7" t="s">
        <v>24</v>
      </c>
      <c r="D135" s="4" t="str">
        <f>HYPERLINK("ip194097.ntcu.edu.tw/longthok/si/106-103阿母的祕密.mp3","106-103")</f>
        <v>106-103</v>
      </c>
      <c r="E135" s="8" t="s">
        <v>142</v>
      </c>
      <c r="F135" s="6"/>
    </row>
    <row r="136">
      <c r="A136" s="3" t="s">
        <v>149</v>
      </c>
      <c r="B136" s="4" t="str">
        <f>HYPERLINK("ip194097.ntcu.edu.tw/longthok/bj/106-102.pdf","來去看火金蛄")</f>
        <v>來去看火金蛄</v>
      </c>
      <c r="C136" s="7" t="s">
        <v>150</v>
      </c>
      <c r="D136" s="4" t="str">
        <f>HYPERLINK("ip194097.ntcu.edu.tw/longthok/si/106-102來去看火金蛄.mp3","106-102")</f>
        <v>106-102</v>
      </c>
      <c r="E136" s="8" t="s">
        <v>142</v>
      </c>
      <c r="F136" s="6"/>
    </row>
    <row r="137">
      <c r="A137" s="3" t="s">
        <v>151</v>
      </c>
      <c r="B137" s="4" t="str">
        <f>HYPERLINK("ip194097.ntcu.edu.tw/longthok/bj/106-101.pdf","賣夢的阿媽——莊朱玉女")</f>
        <v>賣夢的阿媽——莊朱玉女</v>
      </c>
      <c r="C137" s="7" t="s">
        <v>152</v>
      </c>
      <c r="D137" s="4" t="str">
        <f>HYPERLINK("ip194097.ntcu.edu.tw/longthok/si/106-101賣夢的阿媽--莊朱玉女.mp3","106-101")</f>
        <v>106-101</v>
      </c>
      <c r="E137" s="8" t="s">
        <v>142</v>
      </c>
      <c r="F137" s="6"/>
    </row>
    <row r="138" hidden="1">
      <c r="A138" s="3" t="s">
        <v>153</v>
      </c>
      <c r="B138" s="4" t="str">
        <f>HYPERLINK("ip194097.ntcu.edu.tw/longthok/bj/105-610.pdf","予大家的一張批")</f>
        <v>予大家的一張批</v>
      </c>
      <c r="C138" s="7" t="s">
        <v>154</v>
      </c>
      <c r="D138" s="7" t="s">
        <v>155</v>
      </c>
      <c r="E138" s="3" t="s">
        <v>156</v>
      </c>
      <c r="F138" s="6"/>
    </row>
    <row r="139" hidden="1">
      <c r="A139" s="3" t="s">
        <v>157</v>
      </c>
      <c r="B139" s="4" t="str">
        <f>HYPERLINK("ip194097.ntcu.edu.tw/longthok/bj/105-609.pdf","喜樹仔烏貓")</f>
        <v>喜樹仔烏貓</v>
      </c>
      <c r="C139" s="7" t="s">
        <v>158</v>
      </c>
      <c r="D139" s="7" t="s">
        <v>159</v>
      </c>
      <c r="E139" s="3" t="s">
        <v>156</v>
      </c>
      <c r="F139" s="9"/>
    </row>
    <row r="140" hidden="1">
      <c r="A140" s="3" t="s">
        <v>160</v>
      </c>
      <c r="B140" s="4" t="str">
        <f>HYPERLINK("ip194097.ntcu.edu.tw/longthok/bj/105-608.pdf","臺灣水牛")</f>
        <v>臺灣水牛</v>
      </c>
      <c r="C140" s="7" t="s">
        <v>118</v>
      </c>
      <c r="D140" s="7" t="s">
        <v>161</v>
      </c>
      <c r="E140" s="3" t="s">
        <v>156</v>
      </c>
    </row>
    <row r="141" hidden="1">
      <c r="A141" s="3" t="s">
        <v>162</v>
      </c>
      <c r="B141" s="4" t="str">
        <f>HYPERLINK("ip194097.ntcu.edu.tw/longthok/bj/105-607.pdf","典雅閩南語來做伴")</f>
        <v>典雅閩南語來做伴</v>
      </c>
      <c r="C141" s="7" t="s">
        <v>106</v>
      </c>
      <c r="D141" s="7" t="s">
        <v>163</v>
      </c>
      <c r="E141" s="3" t="s">
        <v>156</v>
      </c>
    </row>
    <row r="142" hidden="1">
      <c r="A142" s="3" t="s">
        <v>164</v>
      </c>
      <c r="B142" s="4" t="str">
        <f>HYPERLINK("ip194097.ntcu.edu.tw/longthok/bj/105-606.pdf","遊學")</f>
        <v>遊學</v>
      </c>
      <c r="C142" s="7" t="s">
        <v>128</v>
      </c>
      <c r="D142" s="7" t="s">
        <v>165</v>
      </c>
      <c r="E142" s="3" t="s">
        <v>156</v>
      </c>
    </row>
    <row r="143" hidden="1">
      <c r="A143" s="3" t="s">
        <v>166</v>
      </c>
      <c r="B143" s="4" t="str">
        <f>HYPERLINK("ip194097.ntcu.edu.tw/longthok/bj/105-605.pdf","阿媽的番薯")</f>
        <v>阿媽的番薯</v>
      </c>
      <c r="C143" s="7" t="s">
        <v>104</v>
      </c>
      <c r="D143" s="7" t="s">
        <v>167</v>
      </c>
      <c r="E143" s="3" t="s">
        <v>156</v>
      </c>
    </row>
    <row r="144" hidden="1">
      <c r="A144" s="3" t="s">
        <v>168</v>
      </c>
      <c r="B144" s="4" t="str">
        <f>HYPERLINK("ip194097.ntcu.edu.tw/longthok/bj/105-604.pdf","北國雪聲")</f>
        <v>北國雪聲</v>
      </c>
      <c r="C144" s="7" t="s">
        <v>169</v>
      </c>
      <c r="D144" s="7" t="s">
        <v>170</v>
      </c>
      <c r="E144" s="3" t="s">
        <v>156</v>
      </c>
    </row>
    <row r="145" hidden="1">
      <c r="A145" s="3" t="s">
        <v>171</v>
      </c>
      <c r="B145" s="4" t="str">
        <f>HYPERLINK("ip194097.ntcu.edu.tw/longthok/bj/105-603.pdf","溫暖的七箍銀")</f>
        <v>溫暖的七箍銀</v>
      </c>
      <c r="C145" s="7" t="s">
        <v>172</v>
      </c>
      <c r="D145" s="7" t="s">
        <v>173</v>
      </c>
      <c r="E145" s="3" t="s">
        <v>156</v>
      </c>
    </row>
    <row r="146" hidden="1">
      <c r="A146" s="3" t="s">
        <v>174</v>
      </c>
      <c r="B146" s="4" t="str">
        <f>HYPERLINK("ip194097.ntcu.edu.tw/longthok/bj/105-602.pdf","霧夜的燈塔")</f>
        <v>霧夜的燈塔</v>
      </c>
      <c r="C146" s="7" t="s">
        <v>20</v>
      </c>
      <c r="D146" s="7" t="s">
        <v>175</v>
      </c>
      <c r="E146" s="3" t="s">
        <v>156</v>
      </c>
    </row>
    <row r="147" hidden="1">
      <c r="A147" s="3" t="s">
        <v>176</v>
      </c>
      <c r="B147" s="4" t="str">
        <f>HYPERLINK("ip194097.ntcu.edu.tw/longthok/bj/105-601.pdf","阿媽的心")</f>
        <v>阿媽的心</v>
      </c>
      <c r="C147" s="7" t="s">
        <v>177</v>
      </c>
      <c r="D147" s="7" t="s">
        <v>178</v>
      </c>
      <c r="E147" s="3" t="s">
        <v>156</v>
      </c>
    </row>
    <row r="148">
      <c r="A148" s="3" t="s">
        <v>179</v>
      </c>
      <c r="B148" s="4" t="str">
        <f>HYPERLINK("ip194097.ntcu.edu.tw/longthok/bj/105-512.pdf","苦瓜封的母愛")</f>
        <v>苦瓜封的母愛</v>
      </c>
      <c r="C148" s="7" t="s">
        <v>180</v>
      </c>
      <c r="D148" s="4" t="str">
        <f>HYPERLINK("ip194097.ntcu.edu.tw/longthok/si/105-512苦瓜封的母愛.mp3","105-512")</f>
        <v>105-512</v>
      </c>
      <c r="E148" s="3" t="s">
        <v>181</v>
      </c>
    </row>
    <row r="149">
      <c r="A149" s="3" t="s">
        <v>182</v>
      </c>
      <c r="B149" s="4" t="str">
        <f>HYPERLINK("ip194097.ntcu.edu.tw/longthok/bj/105-511.pdf","海口新港")</f>
        <v>海口新港</v>
      </c>
      <c r="C149" s="7" t="s">
        <v>104</v>
      </c>
      <c r="D149" s="4" t="str">
        <f>HYPERLINK("ip194097.ntcu.edu.tw/longthok/si/105-511海口新港.mp3","105-511")</f>
        <v>105-511</v>
      </c>
      <c r="E149" s="3" t="s">
        <v>181</v>
      </c>
    </row>
    <row r="150">
      <c r="A150" s="3" t="s">
        <v>183</v>
      </c>
      <c r="B150" s="4" t="str">
        <f>HYPERLINK("ip194097.ntcu.edu.tw/longthok/bj/105-510.pdf","思念認真拍拚的細漢小弟")</f>
        <v>思念認真拍拚的細漢小弟</v>
      </c>
      <c r="C150" s="7" t="s">
        <v>133</v>
      </c>
      <c r="D150" s="4" t="str">
        <f>HYPERLINK("ip194097.ntcu.edu.tw/longthok/si/105-510思念認真拍拚的細漢小弟.mp3","105-510")</f>
        <v>105-510</v>
      </c>
      <c r="E150" s="3" t="s">
        <v>181</v>
      </c>
    </row>
    <row r="151">
      <c r="A151" s="3" t="s">
        <v>184</v>
      </c>
      <c r="B151" s="4" t="str">
        <f>HYPERLINK("ip194097.ntcu.edu.tw/longthok/bj/105-509.pdf","一世紀阿媽")</f>
        <v>一世紀阿媽</v>
      </c>
      <c r="C151" s="7" t="s">
        <v>185</v>
      </c>
      <c r="D151" s="4" t="str">
        <f>HYPERLINK("ip194097.ntcu.edu.tw/longthok/si/105-509一世紀阿媽.mp3","105-509")</f>
        <v>105-509</v>
      </c>
      <c r="E151" s="3" t="s">
        <v>181</v>
      </c>
    </row>
    <row r="152">
      <c r="A152" s="3" t="s">
        <v>186</v>
      </c>
      <c r="B152" s="4" t="str">
        <f>HYPERLINK("ip194097.ntcu.edu.tw/longthok/bj/105-508.pdf","風颱暝")</f>
        <v>風颱暝</v>
      </c>
      <c r="C152" s="7" t="s">
        <v>187</v>
      </c>
      <c r="D152" s="4" t="str">
        <f>HYPERLINK("ip194097.ntcu.edu.tw/longthok/si/105-508風颱暝.mp3","105-508")</f>
        <v>105-508</v>
      </c>
      <c r="E152" s="3" t="s">
        <v>181</v>
      </c>
    </row>
    <row r="153">
      <c r="A153" s="3" t="s">
        <v>188</v>
      </c>
      <c r="B153" s="4" t="str">
        <f>HYPERLINK("ip194097.ntcu.edu.tw/longthok/bj/105-507.pdf","基隆的後花園")</f>
        <v>基隆的後花園</v>
      </c>
      <c r="C153" s="7" t="s">
        <v>189</v>
      </c>
      <c r="D153" s="4" t="str">
        <f>HYPERLINK("ip194097.ntcu.edu.tw/longthok/si/105-507基隆的後花園.mp3","105-507")</f>
        <v>105-507</v>
      </c>
      <c r="E153" s="3" t="s">
        <v>181</v>
      </c>
    </row>
    <row r="154">
      <c r="A154" s="3" t="s">
        <v>190</v>
      </c>
      <c r="B154" s="4" t="str">
        <f>HYPERLINK("ip194097.ntcu.edu.tw/longthok/bj/105-506.pdf","祭江洗港思想起")</f>
        <v>祭江洗港思想起</v>
      </c>
      <c r="C154" s="7" t="s">
        <v>191</v>
      </c>
      <c r="D154" s="4" t="str">
        <f>HYPERLINK("ip194097.ntcu.edu.tw/longthok/si/105-506祭江洗港思想起.mp3","105-506")</f>
        <v>105-506</v>
      </c>
      <c r="E154" s="3" t="s">
        <v>181</v>
      </c>
    </row>
    <row r="155">
      <c r="A155" s="3" t="s">
        <v>192</v>
      </c>
      <c r="B155" s="4" t="str">
        <f>HYPERLINK("ip194097.ntcu.edu.tw/longthok/bj/105-505.pdf","掘塗豆")</f>
        <v>掘塗豆</v>
      </c>
      <c r="C155" s="7" t="s">
        <v>193</v>
      </c>
      <c r="D155" s="4" t="str">
        <f>HYPERLINK("ip194097.ntcu.edu.tw/longthok/si/105-505掘塗豆.mp3","105-505")</f>
        <v>105-505</v>
      </c>
      <c r="E155" s="3" t="s">
        <v>181</v>
      </c>
    </row>
    <row r="156">
      <c r="A156" s="3" t="s">
        <v>194</v>
      </c>
      <c r="B156" s="4" t="str">
        <f>HYPERLINK("ip194097.ntcu.edu.tw/longthok/bj/105-504.pdf","牽罟")</f>
        <v>牽罟</v>
      </c>
      <c r="C156" s="7" t="s">
        <v>111</v>
      </c>
      <c r="D156" s="4" t="str">
        <f>HYPERLINK("ip194097.ntcu.edu.tw/longthok/si/105-504牽罟.mp3","105-504")</f>
        <v>105-504</v>
      </c>
      <c r="E156" s="3" t="s">
        <v>181</v>
      </c>
    </row>
    <row r="157">
      <c r="A157" s="3" t="s">
        <v>195</v>
      </c>
      <c r="B157" s="4" t="str">
        <f>HYPERLINK("ip194097.ntcu.edu.tw/longthok/bj/105-503.pdf","炊粿")</f>
        <v>炊粿</v>
      </c>
      <c r="C157" s="7" t="s">
        <v>20</v>
      </c>
      <c r="D157" s="4" t="str">
        <f>HYPERLINK("ip194097.ntcu.edu.tw/longthok/si/105-503炊粿.mp3","105-503")</f>
        <v>105-503</v>
      </c>
      <c r="E157" s="3" t="s">
        <v>181</v>
      </c>
    </row>
    <row r="158">
      <c r="A158" s="3" t="s">
        <v>196</v>
      </c>
      <c r="B158" s="4" t="str">
        <f>HYPERLINK("ip194097.ntcu.edu.tw/longthok/bj/105-502.pdf","阿猴迎媽祖")</f>
        <v>阿猴迎媽祖</v>
      </c>
      <c r="C158" s="7" t="s">
        <v>197</v>
      </c>
      <c r="D158" s="4" t="str">
        <f>HYPERLINK("ip194097.ntcu.edu.tw/longthok/si/105-502阿猴迎媽祖.mp3","105-502")</f>
        <v>105-502</v>
      </c>
      <c r="E158" s="3" t="s">
        <v>181</v>
      </c>
    </row>
    <row r="159">
      <c r="A159" s="3" t="s">
        <v>198</v>
      </c>
      <c r="B159" s="4" t="str">
        <f>HYPERLINK("ip194097.ntcu.edu.tw/longthok/bj/105-501.pdf","懷念古早的過年")</f>
        <v>懷念古早的過年</v>
      </c>
      <c r="C159" s="7" t="s">
        <v>199</v>
      </c>
      <c r="D159" s="4" t="str">
        <f>HYPERLINK("ip194097.ntcu.edu.tw/longthok/si/105-501懷念古早的過年.mp3","105-501")</f>
        <v>105-501</v>
      </c>
      <c r="E159" s="3" t="s">
        <v>181</v>
      </c>
    </row>
    <row r="160">
      <c r="A160" s="3" t="s">
        <v>200</v>
      </c>
      <c r="B160" s="4" t="str">
        <f>HYPERLINK("ip194097.ntcu.edu.tw/longthok/bj/105-412.pdf","「期待」煞變「傷害」")</f>
        <v>「期待」煞變「傷害」</v>
      </c>
      <c r="C160" s="7" t="s">
        <v>136</v>
      </c>
      <c r="D160" s="4" t="str">
        <f>HYPERLINK("ip194097.ntcu.edu.tw/longthok/si/105-412「期待」煞變「傷害」.mp3","105-412")</f>
        <v>105-412</v>
      </c>
      <c r="E160" s="3" t="s">
        <v>201</v>
      </c>
    </row>
    <row r="161">
      <c r="A161" s="3" t="s">
        <v>202</v>
      </c>
      <c r="B161" s="4" t="str">
        <f>HYPERLINK("ip194097.ntcu.edu.tw/longthok/bj/105-411.pdf","愛讀冊的查某上媠")</f>
        <v>愛讀冊的查某上媠</v>
      </c>
      <c r="C161" s="7" t="s">
        <v>203</v>
      </c>
      <c r="D161" s="4" t="str">
        <f>HYPERLINK("ip194097.ntcu.edu.tw/longthok/si/105-411愛讀冊的查某上媠.mp3","105-411")</f>
        <v>105-411</v>
      </c>
      <c r="E161" s="3" t="s">
        <v>201</v>
      </c>
    </row>
    <row r="162">
      <c r="A162" s="3" t="s">
        <v>204</v>
      </c>
      <c r="B162" s="4" t="str">
        <f>HYPERLINK("ip194097.ntcu.edu.tw/longthok/bj/105-410.pdf","艱苦頭，快活尾")</f>
        <v>艱苦頭，快活尾</v>
      </c>
      <c r="C162" s="7" t="s">
        <v>122</v>
      </c>
      <c r="D162" s="4" t="str">
        <f>HYPERLINK("ip194097.ntcu.edu.tw/longthok/si/105-410艱苦頭，快活尾.mp3","105-410")</f>
        <v>105-410</v>
      </c>
      <c r="E162" s="3" t="s">
        <v>201</v>
      </c>
    </row>
    <row r="163">
      <c r="A163" s="3" t="s">
        <v>205</v>
      </c>
      <c r="B163" s="4" t="str">
        <f>HYPERLINK("ip194097.ntcu.edu.tw/longthok/bj/105-409.pdf","阿爸")</f>
        <v>阿爸</v>
      </c>
      <c r="C163" s="7" t="s">
        <v>120</v>
      </c>
      <c r="D163" s="4" t="str">
        <f>HYPERLINK("ip194097.ntcu.edu.tw/longthok/si/105-409阿爸.mp3","105-409")</f>
        <v>105-409</v>
      </c>
      <c r="E163" s="3" t="s">
        <v>201</v>
      </c>
    </row>
    <row r="164">
      <c r="A164" s="3" t="s">
        <v>206</v>
      </c>
      <c r="B164" s="4" t="str">
        <f>HYPERLINK("ip194097.ntcu.edu.tw/longthok/bj/105-408.pdf","山海城市")</f>
        <v>山海城市</v>
      </c>
      <c r="C164" s="7" t="s">
        <v>126</v>
      </c>
      <c r="D164" s="4" t="str">
        <f>HYPERLINK("ip194097.ntcu.edu.tw/longthok/si/105-408山海城市.mp3","105-408")</f>
        <v>105-408</v>
      </c>
      <c r="E164" s="3" t="s">
        <v>201</v>
      </c>
    </row>
    <row r="165">
      <c r="A165" s="3" t="s">
        <v>207</v>
      </c>
      <c r="B165" s="4" t="str">
        <f>HYPERLINK("ip194097.ntcu.edu.tw/longthok/bj/105-407.pdf","開墾ㄧ坵福田")</f>
        <v>開墾ㄧ坵福田</v>
      </c>
      <c r="C165" s="7" t="s">
        <v>208</v>
      </c>
      <c r="D165" s="4" t="str">
        <f>HYPERLINK("ip194097.ntcu.edu.tw/longthok/si/105-407開墾ㄧ坵福田.mp3","105-407")</f>
        <v>105-407</v>
      </c>
      <c r="E165" s="3" t="s">
        <v>201</v>
      </c>
    </row>
    <row r="166">
      <c r="A166" s="3" t="s">
        <v>198</v>
      </c>
      <c r="B166" s="4" t="str">
        <f>HYPERLINK("ip194097.ntcu.edu.tw/longthok/bj/105-406.pdf","懷念的山城-平溪")</f>
        <v>懷念的山城-平溪</v>
      </c>
      <c r="C166" s="7" t="s">
        <v>209</v>
      </c>
      <c r="D166" s="4" t="str">
        <f>HYPERLINK("ip194097.ntcu.edu.tw/longthok/si/105-406懷念的山城-平溪.mp3","105-406")</f>
        <v>105-406</v>
      </c>
      <c r="E166" s="3" t="s">
        <v>201</v>
      </c>
    </row>
    <row r="167">
      <c r="A167" s="3" t="s">
        <v>210</v>
      </c>
      <c r="B167" s="4" t="str">
        <f>HYPERLINK("ip194097.ntcu.edu.tw/longthok/bj/105-405.pdf","性命中起大湧的彼一冬")</f>
        <v>性命中起大湧的彼一冬</v>
      </c>
      <c r="C167" s="7" t="s">
        <v>133</v>
      </c>
      <c r="D167" s="4" t="str">
        <f>HYPERLINK("ip194097.ntcu.edu.tw/longthok/si/105-405性命中起大湧的彼一冬.mp3","105-405")</f>
        <v>105-405</v>
      </c>
      <c r="E167" s="3" t="s">
        <v>201</v>
      </c>
    </row>
    <row r="168">
      <c r="A168" s="3" t="s">
        <v>211</v>
      </c>
      <c r="B168" s="4" t="str">
        <f>HYPERLINK("ip194097.ntcu.edu.tw/longthok/bj/105-404.pdf","兩雙皮鞋")</f>
        <v>兩雙皮鞋</v>
      </c>
      <c r="C168" s="7" t="s">
        <v>96</v>
      </c>
      <c r="D168" s="4" t="str">
        <f>HYPERLINK("ip194097.ntcu.edu.tw/longthok/si/105-404兩雙皮鞋.mp3","105-404")</f>
        <v>105-404</v>
      </c>
      <c r="E168" s="3" t="s">
        <v>201</v>
      </c>
    </row>
    <row r="169">
      <c r="A169" s="3" t="s">
        <v>212</v>
      </c>
      <c r="B169" s="4" t="str">
        <f>HYPERLINK("ip194097.ntcu.edu.tw/longthok/bj/105-403.pdf","菜瓜麋")</f>
        <v>菜瓜麋</v>
      </c>
      <c r="C169" s="7" t="s">
        <v>20</v>
      </c>
      <c r="D169" s="4" t="str">
        <f>HYPERLINK("ip194097.ntcu.edu.tw/longthok/si/105-403菜瓜麋.mp3","105-403")</f>
        <v>105-403</v>
      </c>
      <c r="E169" s="3" t="s">
        <v>201</v>
      </c>
    </row>
    <row r="170">
      <c r="A170" s="3" t="s">
        <v>213</v>
      </c>
      <c r="B170" s="4" t="str">
        <f>HYPERLINK("ip194097.ntcu.edu.tw/longthok/bj/105-402.pdf","暗光鳥咧叫的時")</f>
        <v>暗光鳥咧叫的時</v>
      </c>
      <c r="C170" s="7" t="s">
        <v>214</v>
      </c>
      <c r="D170" s="4" t="str">
        <f>HYPERLINK("ip194097.ntcu.edu.tw/longthok/si/105-402暗光鳥咧叫的時.mp3","105-402")</f>
        <v>105-402</v>
      </c>
      <c r="E170" s="3" t="s">
        <v>201</v>
      </c>
    </row>
    <row r="171">
      <c r="A171" s="3" t="s">
        <v>215</v>
      </c>
      <c r="B171" s="4" t="str">
        <f>HYPERLINK("ip194097.ntcu.edu.tw/longthok/bj/105-401.pdf","斷線的風吹")</f>
        <v>斷線的風吹</v>
      </c>
      <c r="C171" s="7" t="s">
        <v>216</v>
      </c>
      <c r="D171" s="4" t="str">
        <f>HYPERLINK("ip194097.ntcu.edu.tw/longthok/si/105-401斷線的風吹.mp3","105-401")</f>
        <v>105-401</v>
      </c>
      <c r="E171" s="3" t="s">
        <v>201</v>
      </c>
    </row>
    <row r="172">
      <c r="A172" s="3" t="s">
        <v>217</v>
      </c>
      <c r="B172" s="4" t="str">
        <f>HYPERLINK("ip194097.ntcu.edu.tw/longthok/bj/105-310.pdf","蘆花開，來去蘆洲心花開")</f>
        <v>蘆花開，來去蘆洲心花開</v>
      </c>
      <c r="C172" s="7" t="s">
        <v>218</v>
      </c>
      <c r="D172" s="4" t="str">
        <f>HYPERLINK("ip194097.ntcu.edu.tw/longthok/si/105-310蘆花開，來去蘆洲心花開.mp3","105-310")</f>
        <v>105-310</v>
      </c>
      <c r="E172" s="3" t="s">
        <v>219</v>
      </c>
    </row>
    <row r="173">
      <c r="A173" s="3" t="s">
        <v>220</v>
      </c>
      <c r="B173" s="4" t="str">
        <f>HYPERLINK("ip194097.ntcu.edu.tw/longthok/bj/105-309.pdf","南迴鐵路")</f>
        <v>南迴鐵路</v>
      </c>
      <c r="C173" s="7" t="s">
        <v>221</v>
      </c>
      <c r="D173" s="4" t="str">
        <f>HYPERLINK("ip194097.ntcu.edu.tw/longthok/si/105-309南迴鐵路.mp3","105-309")</f>
        <v>105-309</v>
      </c>
      <c r="E173" s="3" t="s">
        <v>219</v>
      </c>
    </row>
    <row r="174">
      <c r="A174" s="3" t="s">
        <v>222</v>
      </c>
      <c r="B174" s="4" t="str">
        <f>HYPERLINK("ip194097.ntcu.edu.tw/longthok/bj/105-308.pdf","電子時代")</f>
        <v>電子時代</v>
      </c>
      <c r="C174" s="7" t="s">
        <v>223</v>
      </c>
      <c r="D174" s="4" t="str">
        <f>HYPERLINK("ip194097.ntcu.edu.tw/longthok/si/105-308電子時代.mp3","105-308")</f>
        <v>105-308</v>
      </c>
      <c r="E174" s="3" t="s">
        <v>219</v>
      </c>
    </row>
    <row r="175">
      <c r="A175" s="3" t="s">
        <v>224</v>
      </c>
      <c r="B175" s="4" t="str">
        <f>HYPERLINK("ip194097.ntcu.edu.tw/longthok/bj/105-307.pdf","行路的體會")</f>
        <v>行路的體會</v>
      </c>
      <c r="C175" s="7" t="s">
        <v>25</v>
      </c>
      <c r="D175" s="4" t="str">
        <f>HYPERLINK("ip194097.ntcu.edu.tw/longthok/si/105-307行路的體會.mp3","105-307")</f>
        <v>105-307</v>
      </c>
      <c r="E175" s="3" t="s">
        <v>219</v>
      </c>
    </row>
    <row r="176">
      <c r="A176" s="3" t="s">
        <v>225</v>
      </c>
      <c r="B176" s="4" t="str">
        <f>HYPERLINK("ip194097.ntcu.edu.tw/longthok/bj/105-306.pdf","黃金雨")</f>
        <v>黃金雨</v>
      </c>
      <c r="C176" s="7" t="s">
        <v>226</v>
      </c>
      <c r="D176" s="4" t="str">
        <f>HYPERLINK("ip194097.ntcu.edu.tw/longthok/si/105-306黃金雨.mp3","105-306")</f>
        <v>105-306</v>
      </c>
      <c r="E176" s="3" t="s">
        <v>219</v>
      </c>
    </row>
    <row r="177">
      <c r="A177" s="3" t="s">
        <v>227</v>
      </c>
      <c r="B177" s="4" t="str">
        <f>HYPERLINK("ip194097.ntcu.edu.tw/longthok/bj/105-305.pdf","勤儉較有底，浪費不成家")</f>
        <v>勤儉較有底，浪費不成家</v>
      </c>
      <c r="C177" s="7" t="s">
        <v>26</v>
      </c>
      <c r="D177" s="4" t="str">
        <f>HYPERLINK("ip194097.ntcu.edu.tw/longthok/si/105-305勤儉較有底，浪費不成家.mp3","105-305")</f>
        <v>105-305</v>
      </c>
      <c r="E177" s="3" t="s">
        <v>219</v>
      </c>
    </row>
    <row r="178">
      <c r="A178" s="3" t="s">
        <v>228</v>
      </c>
      <c r="B178" s="4" t="str">
        <f>HYPERLINK("ip194097.ntcu.edu.tw/longthok/bj/105-304.pdf","天公疼好人")</f>
        <v>天公疼好人</v>
      </c>
      <c r="C178" s="7" t="s">
        <v>158</v>
      </c>
      <c r="D178" s="4" t="str">
        <f>HYPERLINK("ip194097.ntcu.edu.tw/longthok/si/105-304天公疼好人.mp3","105-304")</f>
        <v>105-304</v>
      </c>
      <c r="E178" s="3" t="s">
        <v>219</v>
      </c>
    </row>
    <row r="179">
      <c r="A179" s="3" t="s">
        <v>229</v>
      </c>
      <c r="B179" s="4" t="str">
        <f>HYPERLINK("ip194097.ntcu.edu.tw/longthok/bj/105-303.pdf","泳渡日月潭")</f>
        <v>泳渡日月潭</v>
      </c>
      <c r="C179" s="7" t="s">
        <v>230</v>
      </c>
      <c r="D179" s="4" t="str">
        <f>HYPERLINK("ip194097.ntcu.edu.tw/longthok/si/105-303泳渡日月潭.mp3","105-303")</f>
        <v>105-303</v>
      </c>
      <c r="E179" s="3" t="s">
        <v>219</v>
      </c>
    </row>
    <row r="180">
      <c r="A180" s="3" t="s">
        <v>231</v>
      </c>
      <c r="B180" s="4" t="str">
        <f>HYPERLINK("ip194097.ntcu.edu.tw/longthok/bj/105-302.pdf","總舖師的圍爐菜")</f>
        <v>總舖師的圍爐菜</v>
      </c>
      <c r="C180" s="7" t="s">
        <v>232</v>
      </c>
      <c r="D180" s="4" t="str">
        <f>HYPERLINK("ip194097.ntcu.edu.tw/longthok/si/105-302總舖師的圍爐菜.mp3","105-302")</f>
        <v>105-302</v>
      </c>
      <c r="E180" s="3" t="s">
        <v>219</v>
      </c>
    </row>
    <row r="181">
      <c r="A181" s="3" t="s">
        <v>233</v>
      </c>
      <c r="B181" s="4" t="str">
        <f>HYPERLINK("ip194097.ntcu.edu.tw/longthok/bj/105-301.pdf","天然的四秀仔")</f>
        <v>天然的四秀仔</v>
      </c>
      <c r="C181" s="7" t="s">
        <v>108</v>
      </c>
      <c r="D181" s="4" t="str">
        <f>HYPERLINK("ip194097.ntcu.edu.tw/longthok/si/105-301天然的四秀仔.mp3","105-301")</f>
        <v>105-301</v>
      </c>
      <c r="E181" s="3" t="s">
        <v>219</v>
      </c>
    </row>
    <row r="182">
      <c r="A182" s="3" t="s">
        <v>234</v>
      </c>
      <c r="B182" s="4" t="str">
        <f>HYPERLINK("ip194097.ntcu.edu.tw/longthok/bj/105-208.pdf","故鄉的楊桃欉")</f>
        <v>故鄉的楊桃欉</v>
      </c>
      <c r="C182" s="7" t="s">
        <v>235</v>
      </c>
      <c r="D182" s="4" t="str">
        <f>HYPERLINK("ip194097.ntcu.edu.tw/longthok/si/105-208故鄉的楊桃欉.mp3","105-208")</f>
        <v>105-208</v>
      </c>
      <c r="E182" s="3" t="s">
        <v>236</v>
      </c>
    </row>
    <row r="183">
      <c r="A183" s="3" t="s">
        <v>237</v>
      </c>
      <c r="B183" s="4" t="str">
        <f>HYPERLINK("ip194097.ntcu.edu.tw/longthok/bj/105-207.pdf","阮兜這條街")</f>
        <v>阮兜這條街</v>
      </c>
      <c r="C183" s="7" t="s">
        <v>126</v>
      </c>
      <c r="D183" s="4" t="str">
        <f>HYPERLINK("ip194097.ntcu.edu.tw/longthok/si/105-207阮兜這條街.mp3","105-207")</f>
        <v>105-207</v>
      </c>
      <c r="E183" s="3" t="s">
        <v>236</v>
      </c>
    </row>
    <row r="184">
      <c r="A184" s="3" t="s">
        <v>238</v>
      </c>
      <c r="B184" s="4" t="str">
        <f>HYPERLINK("ip194097.ntcu.edu.tw/longthok/bj/105-206.pdf","宜蘭的冬山河")</f>
        <v>宜蘭的冬山河</v>
      </c>
      <c r="C184" s="7" t="s">
        <v>239</v>
      </c>
      <c r="D184" s="4" t="str">
        <f>HYPERLINK("ip194097.ntcu.edu.tw/longthok/si/105-206宜蘭的冬山河.mp3","105-206")</f>
        <v>105-206</v>
      </c>
      <c r="E184" s="3" t="s">
        <v>236</v>
      </c>
    </row>
    <row r="185">
      <c r="A185" s="3" t="s">
        <v>240</v>
      </c>
      <c r="B185" s="4" t="str">
        <f>HYPERLINK("ip194097.ntcu.edu.tw/longthok/bj/105-205.pdf","熱天的幸福")</f>
        <v>熱天的幸福</v>
      </c>
      <c r="C185" s="7" t="s">
        <v>48</v>
      </c>
      <c r="D185" s="4" t="str">
        <f>HYPERLINK("ip194097.ntcu.edu.tw/longthok/si/105-205熱天的幸福.mp3","105-205")</f>
        <v>105-205</v>
      </c>
      <c r="E185" s="3" t="s">
        <v>236</v>
      </c>
    </row>
    <row r="186">
      <c r="A186" s="3" t="s">
        <v>241</v>
      </c>
      <c r="B186" s="4" t="str">
        <f>HYPERLINK("ip194097.ntcu.edu.tw/longthok/bj/105-204.pdf","愛讀暗學仔的阿母")</f>
        <v>愛讀暗學仔的阿母</v>
      </c>
      <c r="C186" s="7" t="s">
        <v>96</v>
      </c>
      <c r="D186" s="4" t="str">
        <f>HYPERLINK("ip194097.ntcu.edu.tw/longthok/si/105-204愛讀暗學仔的阿母.mp3","105-204")</f>
        <v>105-204</v>
      </c>
      <c r="E186" s="3" t="s">
        <v>236</v>
      </c>
    </row>
    <row r="187">
      <c r="A187" s="3" t="s">
        <v>242</v>
      </c>
      <c r="B187" s="4" t="str">
        <f>HYPERLINK("ip194097.ntcu.edu.tw/longthok/bj/105-203.pdf","烏嘛嘛")</f>
        <v>烏嘛嘛</v>
      </c>
      <c r="C187" s="7" t="s">
        <v>243</v>
      </c>
      <c r="D187" s="4" t="str">
        <f>HYPERLINK("ip194097.ntcu.edu.tw/longthok/si/105-203烏嘛嘛.mp3","105-203")</f>
        <v>105-203</v>
      </c>
      <c r="E187" s="3" t="s">
        <v>236</v>
      </c>
    </row>
    <row r="188">
      <c r="A188" s="3" t="s">
        <v>244</v>
      </c>
      <c r="B188" s="4" t="str">
        <f>HYPERLINK("ip194097.ntcu.edu.tw/longthok/bj/105-202.pdf","佮阿媽做伴")</f>
        <v>佮阿媽做伴</v>
      </c>
      <c r="C188" s="7" t="s">
        <v>245</v>
      </c>
      <c r="D188" s="4" t="str">
        <f>HYPERLINK("ip194097.ntcu.edu.tw/longthok/si/105-202佮阿媽做伴.mp3","105-202")</f>
        <v>105-202</v>
      </c>
      <c r="E188" s="3" t="s">
        <v>236</v>
      </c>
    </row>
    <row r="189">
      <c r="A189" s="3" t="s">
        <v>246</v>
      </c>
      <c r="B189" s="4" t="str">
        <f>HYPERLINK("ip194097.ntcu.edu.tw/longthok/bj/105-201.pdf","小金英飛去佗")</f>
        <v>小金英飛去佗</v>
      </c>
      <c r="C189" s="7" t="s">
        <v>118</v>
      </c>
      <c r="D189" s="4" t="str">
        <f>HYPERLINK("ip194097.ntcu.edu.tw/longthok/si/105-201小金英飛去佗.mp3","105-201")</f>
        <v>105-201</v>
      </c>
      <c r="E189" s="3" t="s">
        <v>236</v>
      </c>
    </row>
    <row r="190">
      <c r="A190" s="3" t="s">
        <v>247</v>
      </c>
      <c r="B190" s="4" t="str">
        <f>HYPERLINK("ip194097.ntcu.edu.tw/longthok/bj/105-108.pdf","家庭教師")</f>
        <v>家庭教師</v>
      </c>
      <c r="C190" s="7" t="s">
        <v>248</v>
      </c>
      <c r="D190" s="4" t="str">
        <f>HYPERLINK("ip194097.ntcu.edu.tw/longthok/si/105-108家庭教師.mp3","105-108")</f>
        <v>105-108</v>
      </c>
      <c r="E190" s="3" t="s">
        <v>249</v>
      </c>
    </row>
    <row r="191">
      <c r="A191" s="3" t="s">
        <v>250</v>
      </c>
      <c r="B191" s="4" t="str">
        <f>HYPERLINK("ip194097.ntcu.edu.tw/longthok/bj/105-107.pdf","彼年的歇熱")</f>
        <v>彼年的歇熱</v>
      </c>
      <c r="C191" s="7" t="s">
        <v>251</v>
      </c>
      <c r="D191" s="4" t="str">
        <f>HYPERLINK("ip194097.ntcu.edu.tw/longthok/si/105-107彼年的歇熱.mp3","105-107")</f>
        <v>105-107</v>
      </c>
      <c r="E191" s="3" t="s">
        <v>249</v>
      </c>
    </row>
    <row r="192">
      <c r="A192" s="3" t="s">
        <v>252</v>
      </c>
      <c r="B192" s="4" t="str">
        <f>HYPERLINK("ip194097.ntcu.edu.tw/longthok/bj/105-106.pdf","阿媽")</f>
        <v>阿媽</v>
      </c>
      <c r="C192" s="7" t="s">
        <v>253</v>
      </c>
      <c r="D192" s="4" t="str">
        <f>HYPERLINK("ip194097.ntcu.edu.tw/longthok/si/105-106阿媽.mp3","105-106")</f>
        <v>105-106</v>
      </c>
      <c r="E192" s="3" t="s">
        <v>249</v>
      </c>
    </row>
    <row r="193">
      <c r="A193" s="3" t="s">
        <v>254</v>
      </c>
      <c r="B193" s="4" t="str">
        <f>HYPERLINK("ip194097.ntcu.edu.tw/longthok/bj/105-105.pdf","阿母佮香芳")</f>
        <v>阿母佮香芳</v>
      </c>
      <c r="C193" s="7" t="s">
        <v>96</v>
      </c>
      <c r="D193" s="4" t="str">
        <f>HYPERLINK("ip194097.ntcu.edu.tw/longthok/si/105-105阿母佮香芳.mp3","105-105")</f>
        <v>105-105</v>
      </c>
      <c r="E193" s="3" t="s">
        <v>249</v>
      </c>
    </row>
    <row r="194">
      <c r="A194" s="3" t="s">
        <v>255</v>
      </c>
      <c r="B194" s="4" t="str">
        <f>HYPERLINK("ip194097.ntcu.edu.tw/longthok/bj/105-104.pdf","風颱天")</f>
        <v>風颱天</v>
      </c>
      <c r="C194" s="7" t="s">
        <v>256</v>
      </c>
      <c r="D194" s="4" t="str">
        <f>HYPERLINK("ip194097.ntcu.edu.tw/longthok/si/105-104風颱天.mp3","105-104")</f>
        <v>105-104</v>
      </c>
      <c r="E194" s="3" t="s">
        <v>249</v>
      </c>
    </row>
    <row r="195">
      <c r="A195" s="3" t="s">
        <v>257</v>
      </c>
      <c r="B195" s="4" t="str">
        <f>HYPERLINK("ip194097.ntcu.edu.tw/longthok/bj/105-103.pdf","磅米芳")</f>
        <v>磅米芳</v>
      </c>
      <c r="C195" s="7" t="s">
        <v>38</v>
      </c>
      <c r="D195" s="4" t="str">
        <f>HYPERLINK("ip194097.ntcu.edu.tw/longthok/si/105-103磅米芳.mp3","105-103")</f>
        <v>105-103</v>
      </c>
      <c r="E195" s="3" t="s">
        <v>249</v>
      </c>
    </row>
    <row r="196">
      <c r="A196" s="3" t="s">
        <v>258</v>
      </c>
      <c r="B196" s="4" t="str">
        <f>HYPERLINK("ip194097.ntcu.edu.tw/longthok/bj/105-102.pdf","鉸頭鬃")</f>
        <v>鉸頭鬃</v>
      </c>
      <c r="C196" s="7" t="s">
        <v>82</v>
      </c>
      <c r="D196" s="4" t="str">
        <f>HYPERLINK("ip194097.ntcu.edu.tw/longthok/si/105-102鉸頭鬃.mp3","105-102")</f>
        <v>105-102</v>
      </c>
      <c r="E196" s="3" t="s">
        <v>249</v>
      </c>
    </row>
    <row r="197">
      <c r="A197" s="3" t="s">
        <v>259</v>
      </c>
      <c r="B197" s="4" t="str">
        <f>HYPERLINK("ip194097.ntcu.edu.tw/longthok/bj/105-101.pdf","阮兜的早頓")</f>
        <v>阮兜的早頓</v>
      </c>
      <c r="C197" s="7" t="s">
        <v>24</v>
      </c>
      <c r="D197" s="4" t="str">
        <f>HYPERLINK("ip194097.ntcu.edu.tw/longthok/si/105-101阮兜的早頓.mp3","105-101")</f>
        <v>105-101</v>
      </c>
      <c r="E197" s="3" t="s">
        <v>249</v>
      </c>
    </row>
    <row r="198">
      <c r="A198" s="10" t="s">
        <v>260</v>
      </c>
      <c r="B198" s="11" t="str">
        <f>HYPERLINK("ip194097.ntcu.edu.tw/longthok/bj/104-610.pdf","偷食")</f>
        <v>偷食</v>
      </c>
      <c r="C198" s="7" t="s">
        <v>261</v>
      </c>
      <c r="D198" s="4" t="str">
        <f>HYPERLINK("ip194097.ntcu.edu.tw/longthok/si/104-610偷食.mp3","104-610")</f>
        <v>104-610</v>
      </c>
      <c r="E198" s="3" t="s">
        <v>262</v>
      </c>
    </row>
    <row r="199">
      <c r="A199" s="10" t="s">
        <v>263</v>
      </c>
      <c r="B199" s="11" t="str">
        <f>HYPERLINK("ip194097.ntcu.edu.tw/longthok/bj/104-609.pdf","阿媽的老私奇")</f>
        <v>阿媽的老私奇</v>
      </c>
      <c r="C199" s="7" t="s">
        <v>104</v>
      </c>
      <c r="D199" s="4" t="str">
        <f>HYPERLINK("ip194097.ntcu.edu.tw/longthok/si/104-609阿媽的老私奇.mp3","104-609")</f>
        <v>104-609</v>
      </c>
      <c r="E199" s="3" t="s">
        <v>262</v>
      </c>
    </row>
    <row r="200">
      <c r="A200" s="10" t="s">
        <v>264</v>
      </c>
      <c r="B200" s="11" t="str">
        <f>HYPERLINK("ip194097.ntcu.edu.tw/longthok/bj/104-608.pdf","我歇涼的好所在")</f>
        <v>我歇涼的好所在</v>
      </c>
      <c r="C200" s="7" t="s">
        <v>265</v>
      </c>
      <c r="D200" s="4" t="str">
        <f>HYPERLINK("ip194097.ntcu.edu.tw/longthok/si/104-608我歇涼的好所在.mp3","104-608")</f>
        <v>104-608</v>
      </c>
      <c r="E200" s="3" t="s">
        <v>262</v>
      </c>
    </row>
    <row r="201">
      <c r="A201" s="10" t="s">
        <v>266</v>
      </c>
      <c r="B201" s="11" t="str">
        <f>HYPERLINK("ip194097.ntcu.edu.tw/longthok/bj/104-607.pdf","難忘庄跤的稻草芳")</f>
        <v>難忘庄跤的稻草芳</v>
      </c>
      <c r="C201" s="7" t="s">
        <v>267</v>
      </c>
      <c r="D201" s="4" t="str">
        <f>HYPERLINK("ip194097.ntcu.edu.tw/longthok/si/104-607難忘庄跤的稻草芳.mp3","104-607")</f>
        <v>104-607</v>
      </c>
      <c r="E201" s="3" t="s">
        <v>262</v>
      </c>
    </row>
    <row r="202">
      <c r="A202" s="10" t="s">
        <v>268</v>
      </c>
      <c r="B202" s="11" t="str">
        <f>HYPERLINK("ip194097.ntcu.edu.tw/longthok/bj/104-512.pdf","一束鮮花")</f>
        <v>一束鮮花</v>
      </c>
      <c r="C202" s="7" t="s">
        <v>100</v>
      </c>
      <c r="D202" s="11" t="str">
        <f>HYPERLINK("ip194097.ntcu.edu.tw/longthok/si/104-512一束鮮花.mp3","104-512")</f>
        <v>104-512</v>
      </c>
      <c r="E202" s="8" t="s">
        <v>269</v>
      </c>
    </row>
    <row r="203">
      <c r="A203" s="10" t="s">
        <v>270</v>
      </c>
      <c r="B203" s="11" t="str">
        <f>HYPERLINK("ip194097.ntcu.edu.tw/longthok/bj/104-511.pdf","偝巾")</f>
        <v>偝巾</v>
      </c>
      <c r="C203" s="7" t="s">
        <v>271</v>
      </c>
      <c r="D203" s="11" t="str">
        <f>HYPERLINK("ip194097.ntcu.edu.tw/longthok/si/104-511偝巾.mp3","104-511")</f>
        <v>104-511</v>
      </c>
      <c r="E203" s="8" t="s">
        <v>269</v>
      </c>
    </row>
    <row r="204">
      <c r="A204" s="10" t="s">
        <v>272</v>
      </c>
      <c r="B204" s="11" t="str">
        <f>HYPERLINK("ip194097.ntcu.edu.tw/longthok/bj/104-510.pdf","燒酒落喉，人全齣頭")</f>
        <v>燒酒落喉，人全齣頭</v>
      </c>
      <c r="C204" s="7" t="s">
        <v>113</v>
      </c>
      <c r="D204" s="11" t="str">
        <f>HYPERLINK("ip194097.ntcu.edu.tw/longthok/si/104-510燒酒落喉，人全齣頭.mp3","104-510")</f>
        <v>104-510</v>
      </c>
      <c r="E204" s="8" t="s">
        <v>269</v>
      </c>
    </row>
    <row r="205">
      <c r="A205" s="10" t="s">
        <v>273</v>
      </c>
      <c r="B205" s="11" t="str">
        <f>HYPERLINK("ip194097.ntcu.edu.tw/longthok/bj/104-509.pdf","板橋查某純情曲")</f>
        <v>板橋查某純情曲</v>
      </c>
      <c r="C205" s="7" t="s">
        <v>61</v>
      </c>
      <c r="D205" s="11" t="str">
        <f>HYPERLINK("ip194097.ntcu.edu.tw/longthok/si/104-509板橋查某純情曲.mp3","104-509")</f>
        <v>104-509</v>
      </c>
      <c r="E205" s="8" t="s">
        <v>269</v>
      </c>
    </row>
    <row r="206">
      <c r="A206" s="10" t="s">
        <v>274</v>
      </c>
      <c r="B206" s="11" t="str">
        <f>HYPERLINK("ip194097.ntcu.edu.tw/longthok/bj/104-508.pdf","爸母疼囝長流水 囝想爸母樹尾風")</f>
        <v>爸母疼囝長流水 囝想爸母樹尾風</v>
      </c>
      <c r="C206" s="7" t="s">
        <v>265</v>
      </c>
      <c r="D206" s="11" t="str">
        <f>HYPERLINK("ip194097.ntcu.edu.tw/longthok/si/104-508爸母疼囝長流水 囝想爸母樹尾風.mp3","104-508")</f>
        <v>104-508</v>
      </c>
      <c r="E206" s="3" t="s">
        <v>269</v>
      </c>
    </row>
    <row r="207">
      <c r="A207" s="10" t="s">
        <v>275</v>
      </c>
      <c r="B207" s="4" t="str">
        <f>HYPERLINK("ip194097.ntcu.edu.tw/longthok/bj/104-507.pdf","我又閣夢著阿母矣")</f>
        <v>我又閣夢著阿母矣</v>
      </c>
      <c r="C207" s="7" t="s">
        <v>24</v>
      </c>
      <c r="D207" s="4" t="str">
        <f>HYPERLINK("ip194097.ntcu.edu.tw/longthok/si/104-507我又閣夢著阿母矣.mp3","104-507")</f>
        <v>104-507</v>
      </c>
      <c r="E207" s="12" t="s">
        <v>276</v>
      </c>
    </row>
    <row r="208">
      <c r="A208" s="10" t="s">
        <v>277</v>
      </c>
      <c r="B208" s="4" t="str">
        <f>HYPERLINK("ip194097.ntcu.edu.tw/longthok/bj/104-506.pdf","做工少年時")</f>
        <v>做工少年時</v>
      </c>
      <c r="C208" s="7" t="s">
        <v>116</v>
      </c>
      <c r="D208" s="4" t="str">
        <f>HYPERLINK("ip194097.ntcu.edu.tw/longthok/si/104-506做工少年時.mp3","104-506")</f>
        <v>104-506</v>
      </c>
      <c r="E208" s="12" t="s">
        <v>278</v>
      </c>
    </row>
    <row r="209">
      <c r="A209" s="10" t="s">
        <v>279</v>
      </c>
      <c r="B209" s="4" t="str">
        <f>HYPERLINK("ip194097.ntcu.edu.tw/longthok/bj/104-505.pdf","人若食老")</f>
        <v>人若食老</v>
      </c>
      <c r="C209" s="7" t="s">
        <v>280</v>
      </c>
      <c r="D209" s="4" t="str">
        <f>HYPERLINK("ip194097.ntcu.edu.tw/longthok/si/104-505人若食老.mp3","104-505")</f>
        <v>104-505</v>
      </c>
      <c r="E209" s="12" t="s">
        <v>278</v>
      </c>
    </row>
    <row r="210">
      <c r="A210" s="13" t="s">
        <v>281</v>
      </c>
      <c r="B210" s="14" t="str">
        <f>HYPERLINK("ip194097.ntcu.edu.tw/longthok/bj/104-504.pdf","懺悔")</f>
        <v>懺悔</v>
      </c>
      <c r="C210" s="1" t="s">
        <v>282</v>
      </c>
      <c r="D210" s="14" t="str">
        <f>HYPERLINK("ip194097.ntcu.edu.tw/longthok/si/104-504懺悔.mp3","104-504")</f>
        <v>104-504</v>
      </c>
      <c r="E210" s="15" t="s">
        <v>283</v>
      </c>
    </row>
    <row r="211">
      <c r="A211" s="13" t="s">
        <v>284</v>
      </c>
      <c r="B211" s="14" t="str">
        <f>HYPERLINK("ip194097.ntcu.edu.tw/longthok/bj/104-503.pdf","望海")</f>
        <v>望海</v>
      </c>
      <c r="C211" s="1" t="s">
        <v>285</v>
      </c>
      <c r="D211" s="14" t="str">
        <f>HYPERLINK("ip194097.ntcu.edu.tw/longthok/si/104-503望海.mp3","104-503")</f>
        <v>104-503</v>
      </c>
      <c r="E211" s="15" t="s">
        <v>286</v>
      </c>
    </row>
    <row r="212">
      <c r="A212" s="13" t="s">
        <v>287</v>
      </c>
      <c r="B212" s="14" t="str">
        <f>HYPERLINK("ip194097.ntcu.edu.tw/longthok/bj/104-502.pdf","毋甘")</f>
        <v>毋甘</v>
      </c>
      <c r="C212" s="1" t="s">
        <v>150</v>
      </c>
      <c r="D212" s="14" t="str">
        <f>HYPERLINK("ip194097.ntcu.edu.tw/longthok/si/104-502毋甘.mp3","104-502")</f>
        <v>104-502</v>
      </c>
      <c r="E212" s="15" t="s">
        <v>283</v>
      </c>
    </row>
    <row r="213">
      <c r="A213" s="13" t="s">
        <v>288</v>
      </c>
      <c r="B213" s="14" t="str">
        <f>HYPERLINK("ip194097.ntcu.edu.tw/longthok/bj/104-501.pdf","大家新婦")</f>
        <v>大家新婦</v>
      </c>
      <c r="C213" s="1" t="s">
        <v>108</v>
      </c>
      <c r="D213" s="14" t="str">
        <f>HYPERLINK("ip194097.ntcu.edu.tw/longthok/si/104-501大家新婦.mp3","104-501")</f>
        <v>104-501</v>
      </c>
      <c r="E213" s="15" t="s">
        <v>289</v>
      </c>
    </row>
    <row r="214">
      <c r="A214" s="10" t="s">
        <v>290</v>
      </c>
      <c r="B214" s="4" t="str">
        <f>HYPERLINK("ip194097.ntcu.edu.tw/longthok/bj/104-412.pdf","聲音")</f>
        <v>聲音</v>
      </c>
      <c r="C214" s="7" t="s">
        <v>17</v>
      </c>
      <c r="D214" s="4" t="str">
        <f>HYPERLINK("ip194097.ntcu.edu.tw/longthok/si/104-412聲音.mp3","104-412")</f>
        <v>104-412</v>
      </c>
      <c r="E214" s="12" t="s">
        <v>291</v>
      </c>
    </row>
    <row r="215">
      <c r="A215" s="10" t="s">
        <v>292</v>
      </c>
      <c r="B215" s="4" t="str">
        <f>HYPERLINK("ip194097.ntcu.edu.tw/longthok/bj/104-411.pdf","Line")</f>
        <v>Line</v>
      </c>
      <c r="C215" s="1" t="s">
        <v>100</v>
      </c>
      <c r="D215" s="14" t="str">
        <f>HYPERLINK("ip194097.ntcu.edu.tw/longthok/si/104-411Line.mp3","104-411")</f>
        <v>104-411</v>
      </c>
      <c r="E215" s="15" t="s">
        <v>291</v>
      </c>
    </row>
    <row r="216">
      <c r="A216" s="10" t="s">
        <v>198</v>
      </c>
      <c r="B216" s="4" t="str">
        <f>HYPERLINK("ip194097.ntcu.edu.tw/longthok/bj/104-410.pdf","懷念的小站")</f>
        <v>懷念的小站</v>
      </c>
      <c r="C216" s="7" t="s">
        <v>293</v>
      </c>
      <c r="D216" s="4" t="str">
        <f>HYPERLINK("ip194097.ntcu.edu.tw/longthok/si/104-410懷念的小站.mp3","104-410")</f>
        <v>104-410</v>
      </c>
      <c r="E216" s="12" t="s">
        <v>291</v>
      </c>
    </row>
    <row r="217">
      <c r="A217" s="13" t="s">
        <v>294</v>
      </c>
      <c r="B217" s="4" t="str">
        <f>HYPERLINK("ip194097.ntcu.edu.tw/longthok/bj/104-409.pdf","骨力拍拚的臺灣青年")</f>
        <v>骨力拍拚的臺灣青年</v>
      </c>
      <c r="C217" s="1" t="s">
        <v>295</v>
      </c>
      <c r="D217" s="14" t="str">
        <f>HYPERLINK("ip194097.ntcu.edu.tw/longthok/si/104-409骨力拍拚的臺灣青年.mp3","104-409")</f>
        <v>104-409</v>
      </c>
      <c r="E217" s="15" t="s">
        <v>291</v>
      </c>
    </row>
    <row r="218">
      <c r="A218" s="10" t="s">
        <v>198</v>
      </c>
      <c r="B218" s="4" t="str">
        <f>HYPERLINK("ip194097.ntcu.edu.tw/longthok/bj/104-408.pdf","懷念番薯味")</f>
        <v>懷念番薯味</v>
      </c>
      <c r="C218" s="7" t="s">
        <v>267</v>
      </c>
      <c r="D218" s="4" t="str">
        <f>HYPERLINK("ip194097.ntcu.edu.tw/longthok/si/104-408懷念番薯味.mp3","104-408")</f>
        <v>104-408</v>
      </c>
      <c r="E218" s="12" t="s">
        <v>296</v>
      </c>
    </row>
    <row r="219">
      <c r="A219" s="10" t="s">
        <v>297</v>
      </c>
      <c r="B219" s="4" t="str">
        <f>HYPERLINK("ip194097.ntcu.edu.tw/longthok/bj/104-407.pdf","麵擔仔後")</f>
        <v>麵擔仔後</v>
      </c>
      <c r="C219" s="7" t="s">
        <v>298</v>
      </c>
      <c r="D219" s="4" t="str">
        <f>HYPERLINK("ip194097.ntcu.edu.tw/longthok/si/104-407麵擔仔後.mp3","104-407")</f>
        <v>104-407</v>
      </c>
      <c r="E219" s="12" t="s">
        <v>296</v>
      </c>
    </row>
    <row r="220">
      <c r="A220" s="13" t="s">
        <v>299</v>
      </c>
      <c r="B220" s="11" t="str">
        <f>HYPERLINK("ip194097.ntcu.edu.tw/longthok/bj/104-406.pdf","轉來故鄉買靈魂的人")</f>
        <v>轉來故鄉買靈魂的人</v>
      </c>
      <c r="C220" s="1" t="s">
        <v>116</v>
      </c>
      <c r="D220" s="14" t="str">
        <f>HYPERLINK("ip194097.ntcu.edu.tw/longthok/si/104-406轉來故鄉買靈魂的人.mp3","104-406")</f>
        <v>104-406</v>
      </c>
      <c r="E220" s="15" t="s">
        <v>300</v>
      </c>
    </row>
    <row r="221">
      <c r="A221" s="13" t="s">
        <v>301</v>
      </c>
      <c r="B221" s="11" t="str">
        <f>HYPERLINK("ip194097.ntcu.edu.tw/longthok/bj/104-405.pdf","庄跤漁港")</f>
        <v>庄跤漁港</v>
      </c>
      <c r="C221" s="1" t="s">
        <v>302</v>
      </c>
      <c r="D221" s="14" t="str">
        <f>HYPERLINK("ip194097.ntcu.edu.tw/longthok/si/104-405庄跤漁港.mp3","104-405")</f>
        <v>104-405</v>
      </c>
      <c r="E221" s="15" t="s">
        <v>303</v>
      </c>
    </row>
    <row r="222">
      <c r="A222" s="13" t="s">
        <v>188</v>
      </c>
      <c r="B222" s="11" t="str">
        <f>HYPERLINK("ip194097.ntcu.edu.tw/longthok/bj/104-404.pdf","基隆的海邊仔風景媠")</f>
        <v>基隆的海邊仔風景媠</v>
      </c>
      <c r="C222" s="1" t="s">
        <v>304</v>
      </c>
      <c r="D222" s="14" t="str">
        <f>HYPERLINK("ip194097.ntcu.edu.tw/longthok/si/104-404基隆的海邊仔風景水.mp3","104-404")</f>
        <v>104-404</v>
      </c>
      <c r="E222" s="15" t="s">
        <v>305</v>
      </c>
    </row>
    <row r="223">
      <c r="A223" s="13" t="s">
        <v>306</v>
      </c>
      <c r="B223" s="14" t="str">
        <f>HYPERLINK("ip194097.ntcu.edu.tw/longthok/bj/104-403.pdf","新埔紅柿若出頭")</f>
        <v>新埔紅柿若出頭</v>
      </c>
      <c r="C223" s="1" t="s">
        <v>307</v>
      </c>
      <c r="D223" s="14" t="str">
        <f>HYPERLINK("ip194097.ntcu.edu.tw/longthok/si/104-403新埔紅柿若出頭.mp3","104-403")</f>
        <v>104-403</v>
      </c>
      <c r="E223" s="15" t="s">
        <v>308</v>
      </c>
    </row>
    <row r="224">
      <c r="A224" s="13" t="s">
        <v>309</v>
      </c>
      <c r="B224" s="14" t="str">
        <f>HYPERLINK("ip194097.ntcu.edu.tw/longthok/bj/104-402.pdf","前世緣")</f>
        <v>前世緣</v>
      </c>
      <c r="C224" s="1" t="s">
        <v>310</v>
      </c>
      <c r="D224" s="14" t="str">
        <f>HYPERLINK("ip194097.ntcu.edu.tw/longthok/si/104-402前世緣.mp3","104-402")</f>
        <v>104-402</v>
      </c>
      <c r="E224" s="15" t="s">
        <v>311</v>
      </c>
    </row>
    <row r="225">
      <c r="A225" s="13" t="s">
        <v>312</v>
      </c>
      <c r="B225" s="14" t="str">
        <f>HYPERLINK("ip194097.ntcu.edu.tw/longthok/bj/104-401.pdf","阿桑的形影")</f>
        <v>阿桑的形影</v>
      </c>
      <c r="C225" s="1" t="s">
        <v>313</v>
      </c>
      <c r="D225" s="14" t="str">
        <f>HYPERLINK("ip194097.ntcu.edu.tw/longthok/si/104-401阿桑的形影.mp3","104-401")</f>
        <v>104-401</v>
      </c>
      <c r="E225" s="15" t="s">
        <v>314</v>
      </c>
    </row>
    <row r="226">
      <c r="A226" s="10" t="s">
        <v>315</v>
      </c>
      <c r="B226" s="11" t="str">
        <f>HYPERLINK("ip194097.ntcu.edu.tw/longthok/bj/104-310.pdf","錢筒仔")</f>
        <v>錢筒仔</v>
      </c>
      <c r="C226" s="7" t="s">
        <v>261</v>
      </c>
      <c r="D226" s="11" t="str">
        <f>HYPERLINK("ip194097.ntcu.edu.tw/longthok/si/104-310錢筒仔.mp3","104-310")</f>
        <v>104-310</v>
      </c>
      <c r="E226" s="8" t="s">
        <v>316</v>
      </c>
    </row>
    <row r="227">
      <c r="A227" s="10" t="s">
        <v>317</v>
      </c>
      <c r="B227" s="11" t="str">
        <f>HYPERLINK("ip194097.ntcu.edu.tw/longthok/bj/104-309.pdf","阿母的相機")</f>
        <v>阿母的相機</v>
      </c>
      <c r="C227" s="7" t="s">
        <v>104</v>
      </c>
      <c r="D227" s="11" t="str">
        <f>HYPERLINK("ip194097.ntcu.edu.tw/longthok/si/104-309阿母的相機.mp3","104-309")</f>
        <v>104-309</v>
      </c>
      <c r="E227" s="8" t="s">
        <v>316</v>
      </c>
    </row>
    <row r="228">
      <c r="A228" s="10" t="s">
        <v>318</v>
      </c>
      <c r="B228" s="11" t="str">
        <f>HYPERLINK("ip194097.ntcu.edu.tw/longthok/bj/104-308.pdf","佮咱臺灣囡仔講母語")</f>
        <v>佮咱臺灣囡仔講母語</v>
      </c>
      <c r="C228" s="7" t="s">
        <v>295</v>
      </c>
      <c r="D228" s="11" t="str">
        <f>HYPERLINK("ip194097.ntcu.edu.tw/longthok/si/104-308佮咱臺灣囡仔講母語.mp3","104-308")</f>
        <v>104-308</v>
      </c>
      <c r="E228" s="3" t="s">
        <v>316</v>
      </c>
    </row>
    <row r="229">
      <c r="A229" s="10" t="s">
        <v>319</v>
      </c>
      <c r="B229" s="4" t="str">
        <f>HYPERLINK("ip194097.ntcu.edu.tw/longthok/bj/104-307.pdf","烏膽石")</f>
        <v>烏膽石</v>
      </c>
      <c r="C229" s="7" t="s">
        <v>61</v>
      </c>
      <c r="D229" s="4" t="str">
        <f>HYPERLINK("ip194097.ntcu.edu.tw/longthok/si/104-307烏膽石.mp3","104-307")</f>
        <v>104-307</v>
      </c>
      <c r="E229" s="15" t="s">
        <v>320</v>
      </c>
    </row>
    <row r="230">
      <c r="A230" s="13" t="s">
        <v>321</v>
      </c>
      <c r="B230" s="14" t="str">
        <f>HYPERLINK("ip194097.ntcu.edu.tw/longthok/bj/104-306.pdf","夢中的大瓦厝")</f>
        <v>夢中的大瓦厝</v>
      </c>
      <c r="C230" s="1" t="s">
        <v>322</v>
      </c>
      <c r="D230" s="14" t="str">
        <f>HYPERLINK("ip194097.ntcu.edu.tw/longthok/si/104-306夢中的大瓦厝.mp3","104-306")</f>
        <v>104-306</v>
      </c>
      <c r="E230" s="15" t="s">
        <v>323</v>
      </c>
    </row>
    <row r="231">
      <c r="A231" s="13" t="s">
        <v>324</v>
      </c>
      <c r="B231" s="14" t="str">
        <f>HYPERLINK("ip194097.ntcu.edu.tw/longthok/bj/104-305.pdf","彩券")</f>
        <v>彩券</v>
      </c>
      <c r="C231" s="1" t="s">
        <v>325</v>
      </c>
      <c r="D231" s="14" t="str">
        <f>HYPERLINK("ip194097.ntcu.edu.tw/longthok/si/104-305彩券.mp3","104-305")</f>
        <v>104-305</v>
      </c>
      <c r="E231" s="15" t="s">
        <v>326</v>
      </c>
    </row>
    <row r="232">
      <c r="A232" s="13" t="s">
        <v>327</v>
      </c>
      <c r="B232" s="11" t="str">
        <f>HYPERLINK("ip194097.ntcu.edu.tw/longthok/bj/104-304.pdf","香燈跤")</f>
        <v>香燈跤</v>
      </c>
      <c r="C232" s="1" t="s">
        <v>328</v>
      </c>
      <c r="D232" s="14" t="str">
        <f>HYPERLINK("ip194097.ntcu.edu.tw/longthok/si/104-304香燈跤.mp3","104-304")</f>
        <v>104-304</v>
      </c>
      <c r="E232" s="15" t="s">
        <v>329</v>
      </c>
    </row>
    <row r="233">
      <c r="A233" s="13" t="s">
        <v>330</v>
      </c>
      <c r="B233" s="11" t="str">
        <f>HYPERLINK("ip194097.ntcu.edu.tw/longthok/bj/104-303.pdf","日頭落山")</f>
        <v>日頭落山</v>
      </c>
      <c r="C233" s="1" t="s">
        <v>331</v>
      </c>
      <c r="D233" s="14" t="str">
        <f>HYPERLINK("ip194097.ntcu.edu.tw/longthok/si/104-303日頭落山.mp3","104-303")</f>
        <v>104-303</v>
      </c>
      <c r="E233" s="3" t="s">
        <v>332</v>
      </c>
    </row>
    <row r="234">
      <c r="A234" s="13" t="s">
        <v>333</v>
      </c>
      <c r="B234" s="11" t="str">
        <f>HYPERLINK("ip194097.ntcu.edu.tw/longthok/bj/104-302.pdf","彼年的熱天")</f>
        <v>彼年的熱天</v>
      </c>
      <c r="C234" s="1" t="s">
        <v>334</v>
      </c>
      <c r="D234" s="14" t="str">
        <f>HYPERLINK("ip194097.ntcu.edu.tw/longthok/si/104-302彼年的熱天.mp3","104-302")</f>
        <v>104-302</v>
      </c>
      <c r="E234" s="15" t="s">
        <v>335</v>
      </c>
    </row>
    <row r="235">
      <c r="A235" s="13" t="s">
        <v>336</v>
      </c>
      <c r="B235" s="14" t="str">
        <f>HYPERLINK("ip194097.ntcu.edu.tw/longthok/bj/104-301.pdf","油桐花，開矣未")</f>
        <v>油桐花，開矣未</v>
      </c>
      <c r="C235" s="1" t="s">
        <v>337</v>
      </c>
      <c r="D235" s="14" t="str">
        <f>HYPERLINK("ip194097.ntcu.edu.tw/longthok/si/104-301油桐花，開矣未.mp3","104-301")</f>
        <v>104-301</v>
      </c>
      <c r="E235" s="15" t="s">
        <v>338</v>
      </c>
    </row>
    <row r="236">
      <c r="A236" s="16" t="s">
        <v>339</v>
      </c>
      <c r="B236" s="11" t="str">
        <f>HYPERLINK("ip194097.ntcu.edu.tw/longthok/bj/104-208.pdf","阿母的跤踏車")</f>
        <v>阿母的跤踏車</v>
      </c>
      <c r="C236" s="7" t="s">
        <v>104</v>
      </c>
      <c r="D236" s="11" t="str">
        <f>HYPERLINK("ip194097.ntcu.edu.tw/longthok/si/104-208阿母的跤踏車.mp3","104-208")</f>
        <v>104-208</v>
      </c>
      <c r="E236" s="3" t="s">
        <v>340</v>
      </c>
    </row>
    <row r="237">
      <c r="A237" s="10" t="s">
        <v>341</v>
      </c>
      <c r="B237" s="11" t="str">
        <f>HYPERLINK("ip194097.ntcu.edu.tw/longthok/bj/104-207.pdf","洗手保健康")</f>
        <v>洗手保健康</v>
      </c>
      <c r="C237" s="7" t="s">
        <v>113</v>
      </c>
      <c r="D237" s="11" t="str">
        <f>HYPERLINK("ip194097.ntcu.edu.tw/longthok/si/104-207洗手保健康.mp3","104-207")</f>
        <v>104-207</v>
      </c>
      <c r="E237" s="3" t="s">
        <v>340</v>
      </c>
    </row>
    <row r="238">
      <c r="A238" s="10" t="s">
        <v>342</v>
      </c>
      <c r="B238" s="11" t="str">
        <f>HYPERLINK("ip194097.ntcu.edu.tw/longthok/bj/104-206.pdf","拍干樂")</f>
        <v>拍干樂</v>
      </c>
      <c r="C238" s="7" t="s">
        <v>343</v>
      </c>
      <c r="D238" s="11" t="str">
        <f>HYPERLINK("ip194097.ntcu.edu.tw/longthok/si/104-206拍干樂.mp3","104-206")</f>
        <v>104-206</v>
      </c>
      <c r="E238" s="3" t="s">
        <v>340</v>
      </c>
    </row>
    <row r="239">
      <c r="A239" s="13" t="s">
        <v>344</v>
      </c>
      <c r="B239" s="4" t="str">
        <f>HYPERLINK("ip194097.ntcu.edu.tw/longthok/bj/104-205.pdf","運動的好處")</f>
        <v>運動的好處</v>
      </c>
      <c r="C239" s="1" t="s">
        <v>345</v>
      </c>
      <c r="D239" s="14" t="str">
        <f>HYPERLINK("ip194097.ntcu.edu.tw/longthok/si/104-205運動的好處.mp3","104-205")</f>
        <v>104-205</v>
      </c>
      <c r="E239" s="15" t="s">
        <v>346</v>
      </c>
    </row>
    <row r="240">
      <c r="A240" s="13" t="s">
        <v>347</v>
      </c>
      <c r="B240" s="14" t="str">
        <f>HYPERLINK("ip194097.ntcu.edu.tw/longthok/bj/104-204.pdf","阿母讀冊記")</f>
        <v>阿母讀冊記</v>
      </c>
      <c r="C240" s="1" t="s">
        <v>348</v>
      </c>
      <c r="D240" s="14" t="str">
        <f>HYPERLINK("ip194097.ntcu.edu.tw/longthok/si/104-204阿母讀冊記.mp3","104-204")</f>
        <v>104-204</v>
      </c>
      <c r="E240" s="15" t="s">
        <v>349</v>
      </c>
    </row>
    <row r="241">
      <c r="A241" s="10" t="s">
        <v>350</v>
      </c>
      <c r="B241" s="4" t="str">
        <f>HYPERLINK("ip194097.ntcu.edu.tw/longthok/bj/104-203.pdf","弓蕉欉")</f>
        <v>弓蕉欉</v>
      </c>
      <c r="C241" s="7" t="s">
        <v>351</v>
      </c>
      <c r="D241" s="4" t="str">
        <f>HYPERLINK("ip194097.ntcu.edu.tw/longthok/si/104-203弓蕉欉.mp3","104-203")</f>
        <v>104-203</v>
      </c>
      <c r="E241" s="17" t="s">
        <v>352</v>
      </c>
    </row>
    <row r="242">
      <c r="A242" s="10" t="s">
        <v>353</v>
      </c>
      <c r="B242" s="4" t="str">
        <f>HYPERLINK("ip194097.ntcu.edu.tw/longthok/bj/104-202.pdf","放學了後")</f>
        <v>放學了後</v>
      </c>
      <c r="C242" s="7" t="s">
        <v>354</v>
      </c>
      <c r="D242" s="4" t="str">
        <f>HYPERLINK("ip194097.ntcu.edu.tw/longthok/si/104-202放學了後.mp3","104-202")</f>
        <v>104-202</v>
      </c>
      <c r="E242" s="12" t="s">
        <v>355</v>
      </c>
    </row>
    <row r="243">
      <c r="A243" s="13" t="s">
        <v>356</v>
      </c>
      <c r="B243" s="11" t="str">
        <f>HYPERLINK("ip194097.ntcu.edu.tw/longthok/bj/104-201.pdf","皮猴戲")</f>
        <v>皮猴戲</v>
      </c>
      <c r="C243" s="1" t="s">
        <v>357</v>
      </c>
      <c r="D243" s="14" t="str">
        <f>HYPERLINK("ip194097.ntcu.edu.tw/longthok/si/104-201皮猴戲.mp3","104-201")</f>
        <v>104-201</v>
      </c>
      <c r="E243" s="15" t="s">
        <v>358</v>
      </c>
    </row>
    <row r="244">
      <c r="A244" s="10" t="s">
        <v>359</v>
      </c>
      <c r="B244" s="11" t="str">
        <f>HYPERLINK("ip194097.ntcu.edu.tw/longthok/bj/104-108.pdf","臺灣的地名真趣味")</f>
        <v>臺灣的地名真趣味</v>
      </c>
      <c r="C244" s="7" t="s">
        <v>116</v>
      </c>
      <c r="D244" s="4" t="str">
        <f>HYPERLINK("ip194097.ntcu.edu.tw/longthok/si/104-108臺灣的地名真趣味.mp3","104-108")</f>
        <v>104-108</v>
      </c>
      <c r="E244" s="8" t="s">
        <v>360</v>
      </c>
    </row>
    <row r="245">
      <c r="A245" s="10" t="s">
        <v>361</v>
      </c>
      <c r="B245" s="11" t="str">
        <f>HYPERLINK("ip194097.ntcu.edu.tw/longthok/bj/104-107.pdf","豆花雞母的一岫卵")</f>
        <v>豆花雞母的一岫卵</v>
      </c>
      <c r="C245" s="7" t="s">
        <v>113</v>
      </c>
      <c r="D245" s="4" t="str">
        <f>HYPERLINK("ip194097.ntcu.edu.tw/longthok/si/104-107豆花雞母的一岫卵.mp3","104-107")</f>
        <v>104-107</v>
      </c>
      <c r="E245" s="8" t="s">
        <v>360</v>
      </c>
    </row>
    <row r="246">
      <c r="A246" s="10" t="s">
        <v>362</v>
      </c>
      <c r="B246" s="11" t="str">
        <f>HYPERLINK("ip194097.ntcu.edu.tw/longthok/bj/104-106.pdf","蕹菜")</f>
        <v>蕹菜</v>
      </c>
      <c r="C246" s="7" t="s">
        <v>61</v>
      </c>
      <c r="D246" s="4" t="str">
        <f>HYPERLINK("ip194097.ntcu.edu.tw/longthok/si/104-106蕹菜.mp3","104-106")</f>
        <v>104-106</v>
      </c>
      <c r="E246" s="8" t="s">
        <v>360</v>
      </c>
    </row>
    <row r="247">
      <c r="A247" s="13" t="s">
        <v>363</v>
      </c>
      <c r="B247" s="11" t="str">
        <f>HYPERLINK("ip194097.ntcu.edu.tw/longthok/bj/104-105.pdf","煙火安全")</f>
        <v>煙火安全</v>
      </c>
      <c r="C247" s="1" t="s">
        <v>357</v>
      </c>
      <c r="D247" s="14" t="str">
        <f>HYPERLINK("ip194097.ntcu.edu.tw/longthok/si/104-105煙火安全.mp3","104-105")</f>
        <v>104-105</v>
      </c>
      <c r="E247" s="15" t="s">
        <v>364</v>
      </c>
    </row>
    <row r="248">
      <c r="A248" s="13" t="s">
        <v>149</v>
      </c>
      <c r="B248" s="11" t="str">
        <f>HYPERLINK("ip194097.ntcu.edu.tw/longthok/bj/104-104.pdf","來去霧峰")</f>
        <v>來去霧峰</v>
      </c>
      <c r="C248" s="1" t="s">
        <v>137</v>
      </c>
      <c r="D248" s="14" t="str">
        <f>HYPERLINK("ip194097.ntcu.edu.tw/longthok/si/104-104來去霧峰.mp3","104-104")</f>
        <v>104-104</v>
      </c>
      <c r="E248" s="15" t="s">
        <v>365</v>
      </c>
    </row>
    <row r="249">
      <c r="A249" s="13" t="s">
        <v>366</v>
      </c>
      <c r="B249" s="11" t="str">
        <f>HYPERLINK("ip194097.ntcu.edu.tw/longthok/bj/104-103.pdf","食佮補")</f>
        <v>食佮補</v>
      </c>
      <c r="C249" s="1" t="s">
        <v>367</v>
      </c>
      <c r="D249" s="14" t="str">
        <f>HYPERLINK("ip194097.ntcu.edu.tw/longthok/si/104-103食佮補.mp3","104-103")</f>
        <v>104-103</v>
      </c>
      <c r="E249" s="15" t="s">
        <v>368</v>
      </c>
    </row>
    <row r="250">
      <c r="A250" s="13" t="s">
        <v>369</v>
      </c>
      <c r="B250" s="14" t="str">
        <f>HYPERLINK("ip194097.ntcu.edu.tw/longthok/bj/104-102.pdf","𥴊仔店")</f>
        <v>𥴊仔店</v>
      </c>
      <c r="C250" s="1" t="s">
        <v>370</v>
      </c>
      <c r="D250" s="14" t="str">
        <f>HYPERLINK("ip194097.ntcu.edu.tw/longthok/si/104-102敢仔店.mp3","104-102")</f>
        <v>104-102</v>
      </c>
      <c r="E250" s="15" t="s">
        <v>371</v>
      </c>
    </row>
    <row r="251">
      <c r="A251" s="13" t="s">
        <v>212</v>
      </c>
      <c r="B251" s="14" t="str">
        <f>HYPERLINK("ip194097.ntcu.edu.tw/longthok/bj/104-101.pdf","菜瓜棚仔跤")</f>
        <v>菜瓜棚仔跤</v>
      </c>
      <c r="C251" s="1" t="s">
        <v>136</v>
      </c>
      <c r="D251" s="14" t="str">
        <f>HYPERLINK("ip194097.ntcu.edu.tw/longthok/si/104-101菜瓜棚仔跤.mp3","104-101")</f>
        <v>104-101</v>
      </c>
      <c r="E251" s="15" t="s">
        <v>372</v>
      </c>
    </row>
    <row r="252">
      <c r="A252" s="10" t="s">
        <v>373</v>
      </c>
      <c r="B252" s="18" t="str">
        <f>HYPERLINK("ip194097.ntcu.edu.tw/longthok/bj/103-610.pdf","人生佇掌中")</f>
        <v>人生佇掌中</v>
      </c>
      <c r="C252" s="1" t="s">
        <v>82</v>
      </c>
      <c r="D252" s="7" t="s">
        <v>374</v>
      </c>
      <c r="E252" s="3" t="s">
        <v>375</v>
      </c>
    </row>
    <row r="253">
      <c r="A253" s="10" t="s">
        <v>376</v>
      </c>
      <c r="B253" s="18" t="str">
        <f>HYPERLINK("ip194097.ntcu.edu.tw/longthok/bj/103-609.pdf","老母的查某囝")</f>
        <v>老母的查某囝</v>
      </c>
      <c r="C253" s="1" t="s">
        <v>377</v>
      </c>
      <c r="D253" s="7" t="s">
        <v>378</v>
      </c>
      <c r="E253" s="3" t="s">
        <v>375</v>
      </c>
    </row>
    <row r="254">
      <c r="A254" s="10" t="s">
        <v>379</v>
      </c>
      <c r="B254" s="18" t="str">
        <f>HYPERLINK("ip194097.ntcu.edu.tw/longthok/bj/103-608.pdf","牛車")</f>
        <v>牛車</v>
      </c>
      <c r="C254" s="1" t="s">
        <v>261</v>
      </c>
      <c r="D254" s="7" t="s">
        <v>380</v>
      </c>
      <c r="E254" s="3" t="s">
        <v>375</v>
      </c>
    </row>
    <row r="255">
      <c r="A255" s="10" t="s">
        <v>381</v>
      </c>
      <c r="B255" s="18" t="str">
        <f>HYPERLINK("ip194097.ntcu.edu.tw/longthok/bj/103-607.pdf","玉蘭花")</f>
        <v>玉蘭花</v>
      </c>
      <c r="C255" s="1" t="s">
        <v>61</v>
      </c>
      <c r="D255" s="7" t="s">
        <v>382</v>
      </c>
      <c r="E255" s="3" t="s">
        <v>375</v>
      </c>
    </row>
    <row r="256">
      <c r="A256" s="10" t="s">
        <v>383</v>
      </c>
      <c r="B256" s="18" t="str">
        <f>HYPERLINK("ip194097.ntcu.edu.tw/longthok/bj/103-606.pdf","行棋")</f>
        <v>行棋</v>
      </c>
      <c r="C256" s="1" t="s">
        <v>384</v>
      </c>
      <c r="D256" s="7" t="s">
        <v>385</v>
      </c>
      <c r="E256" s="3" t="s">
        <v>375</v>
      </c>
    </row>
    <row r="257">
      <c r="A257" s="10" t="s">
        <v>386</v>
      </c>
      <c r="B257" s="18" t="str">
        <f>HYPERLINK("ip194097.ntcu.edu.tw/longthok/bj/103-604.pdf","糖廠的浴間仔")</f>
        <v>糖廠的浴間仔</v>
      </c>
      <c r="C257" s="1" t="s">
        <v>387</v>
      </c>
      <c r="D257" s="7" t="s">
        <v>388</v>
      </c>
      <c r="E257" s="3" t="s">
        <v>375</v>
      </c>
    </row>
    <row r="258">
      <c r="A258" s="10" t="s">
        <v>330</v>
      </c>
      <c r="B258" s="18" t="str">
        <f>HYPERLINK("ip194097.ntcu.edu.tw/longthok/bj/103-510.pdf","日頭")</f>
        <v>日頭</v>
      </c>
      <c r="C258" s="1" t="s">
        <v>61</v>
      </c>
      <c r="D258" s="4" t="str">
        <f>HYPERLINK("ip194097.ntcu.edu.tw/longthok/si/103-510日頭.mp3","103-510")</f>
        <v>103-510</v>
      </c>
      <c r="E258" s="3" t="s">
        <v>389</v>
      </c>
    </row>
    <row r="259">
      <c r="A259" s="10" t="s">
        <v>390</v>
      </c>
      <c r="B259" s="18" t="str">
        <f>HYPERLINK("ip194097.ntcu.edu.tw/longthok/bj/103-509.pdf","埔心百年「新」莿桐")</f>
        <v>埔心百年「新」莿桐</v>
      </c>
      <c r="C259" s="1" t="s">
        <v>82</v>
      </c>
      <c r="D259" s="4" t="str">
        <f>HYPERLINK("ip194097.ntcu.edu.tw/longthok/si/103-509埔心百年新莿桐.mp3","103-509")</f>
        <v>103-509</v>
      </c>
      <c r="E259" s="3" t="s">
        <v>389</v>
      </c>
    </row>
    <row r="260">
      <c r="A260" s="10" t="s">
        <v>391</v>
      </c>
      <c r="B260" s="18" t="str">
        <f>HYPERLINK("ip194097.ntcu.edu.tw/longthok/bj/103-508.pdf","驚人娶無某")</f>
        <v>驚人娶無某</v>
      </c>
      <c r="C260" s="1" t="s">
        <v>392</v>
      </c>
      <c r="D260" s="4" t="str">
        <f>HYPERLINK("ip194097.ntcu.edu.tw/longthok/si/103-508驚人娶無某.mp3","103-508")</f>
        <v>103-508</v>
      </c>
      <c r="E260" s="3" t="s">
        <v>389</v>
      </c>
    </row>
    <row r="261">
      <c r="A261" s="10" t="s">
        <v>393</v>
      </c>
      <c r="B261" s="18" t="str">
        <f>HYPERLINK("ip194097.ntcu.edu.tw/longthok/bj/103-507.pdf","愛的故事")</f>
        <v>愛的故事</v>
      </c>
      <c r="C261" s="1" t="s">
        <v>150</v>
      </c>
      <c r="D261" s="4" t="str">
        <f>HYPERLINK("ip194097.ntcu.edu.tw/longthok/si/103-507愛的故事.mp3","103-507")</f>
        <v>103-507</v>
      </c>
      <c r="E261" s="3" t="s">
        <v>389</v>
      </c>
    </row>
    <row r="262">
      <c r="A262" s="10" t="s">
        <v>394</v>
      </c>
      <c r="B262" s="18" t="str">
        <f>HYPERLINK("ip194097.ntcu.edu.tw/longthok/bj/103-506.pdf","山芫荽草")</f>
        <v>山芫荽草</v>
      </c>
      <c r="C262" s="1" t="s">
        <v>83</v>
      </c>
      <c r="D262" s="4" t="str">
        <f>HYPERLINK("ip194097.ntcu.edu.tw/longthok/si/103-506山芫荽草.mp3","103-506")</f>
        <v>103-506</v>
      </c>
      <c r="E262" s="3" t="s">
        <v>389</v>
      </c>
    </row>
    <row r="263">
      <c r="A263" s="10" t="s">
        <v>395</v>
      </c>
      <c r="B263" s="18" t="str">
        <f>HYPERLINK("ip194097.ntcu.edu.tw/longthok/bj/103-505.pdf","旭村分校彼欉老莿桐")</f>
        <v>旭村分校彼欉老莿桐</v>
      </c>
      <c r="C263" s="1" t="s">
        <v>396</v>
      </c>
      <c r="D263" s="4" t="str">
        <f>HYPERLINK("ip194097.ntcu.edu.tw/longthok/si/103-505旭川分校彼欉老莿桐.mp3","103-505")</f>
        <v>103-505</v>
      </c>
      <c r="E263" s="3" t="s">
        <v>389</v>
      </c>
    </row>
    <row r="264">
      <c r="A264" s="13" t="s">
        <v>149</v>
      </c>
      <c r="B264" s="19" t="str">
        <f>HYPERLINK("http://ip194097.ntcu.edu.tw/longthok/bj/103-504.pdf","來去崁仔頂")</f>
        <v>來去崁仔頂</v>
      </c>
      <c r="C264" s="1" t="s">
        <v>189</v>
      </c>
      <c r="D264" s="14" t="str">
        <f>HYPERLINK("http://ip194097.ntcu.edu.tw/longthok/si/103-504來去崁仔頂.mp3","103-504")</f>
        <v>103-504</v>
      </c>
      <c r="E264" s="15" t="s">
        <v>397</v>
      </c>
    </row>
    <row r="265">
      <c r="A265" s="10" t="s">
        <v>398</v>
      </c>
      <c r="B265" s="18" t="str">
        <f>HYPERLINK("ip194097.ntcu.edu.tw/longthok/bj/103-410.pdf","「旭」村的故事")</f>
        <v>「旭」村的故事</v>
      </c>
      <c r="C265" s="1" t="s">
        <v>396</v>
      </c>
      <c r="D265" s="4" t="str">
        <f>HYPERLINK("ip194097.ntcu.edu.tw/longthok/si/103-410旭村的故事.mp3","103-410")</f>
        <v>103-410</v>
      </c>
      <c r="E265" s="3" t="s">
        <v>399</v>
      </c>
    </row>
    <row r="266">
      <c r="A266" s="10" t="s">
        <v>400</v>
      </c>
      <c r="B266" s="18" t="str">
        <f>HYPERLINK("ip194097.ntcu.edu.tw/longthok/bj/103-409.pdf","抾大水柴")</f>
        <v>抾大水柴</v>
      </c>
      <c r="C266" s="1" t="s">
        <v>401</v>
      </c>
      <c r="D266" s="4" t="str">
        <f>HYPERLINK("ip194097.ntcu.edu.tw/longthok/si/103-409抾大水柴.mp3","103-409")</f>
        <v>103-409</v>
      </c>
      <c r="E266" s="3" t="s">
        <v>399</v>
      </c>
    </row>
    <row r="267">
      <c r="A267" s="10" t="s">
        <v>402</v>
      </c>
      <c r="B267" s="18" t="str">
        <f>HYPERLINK("ip194097.ntcu.edu.tw/longthok/bj/103-408.pdf","收成")</f>
        <v>收成</v>
      </c>
      <c r="C267" s="1" t="s">
        <v>271</v>
      </c>
      <c r="D267" s="4" t="str">
        <f>HYPERLINK("ip194097.ntcu.edu.tw/longthok/si/103-408收成.mp3","103-408")</f>
        <v>103-408</v>
      </c>
      <c r="E267" s="3" t="s">
        <v>399</v>
      </c>
    </row>
    <row r="268">
      <c r="A268" s="10" t="s">
        <v>403</v>
      </c>
      <c r="B268" s="18" t="str">
        <f>HYPERLINK("ip194097.ntcu.edu.tw/longthok/bj/103-407.pdf","華山情")</f>
        <v>華山情</v>
      </c>
      <c r="C268" s="1" t="s">
        <v>404</v>
      </c>
      <c r="D268" s="4" t="str">
        <f>HYPERLINK("ip194097.ntcu.edu.tw/longthok/si/103-407華山情.mp3","103-407")</f>
        <v>103-407</v>
      </c>
      <c r="E268" s="3" t="s">
        <v>399</v>
      </c>
    </row>
    <row r="269">
      <c r="A269" s="10" t="s">
        <v>405</v>
      </c>
      <c r="B269" s="18" t="str">
        <f>HYPERLINK("ip194097.ntcu.edu.tw/longthok/bj/103-406.pdf","王建公")</f>
        <v>王建公</v>
      </c>
      <c r="C269" s="1" t="s">
        <v>406</v>
      </c>
      <c r="D269" s="4" t="str">
        <f>HYPERLINK("ip194097.ntcu.edu.tw/longthok/si/103-406王建公.mp3","103-406")</f>
        <v>103-406</v>
      </c>
      <c r="E269" s="3" t="s">
        <v>399</v>
      </c>
    </row>
    <row r="270">
      <c r="A270" s="10" t="s">
        <v>407</v>
      </c>
      <c r="B270" s="18" t="str">
        <f>HYPERLINK("ip194097.ntcu.edu.tw/longthok/bj/103-307.pdf","民風純樸的人情味")</f>
        <v>民風純樸的人情味</v>
      </c>
      <c r="C270" s="1" t="s">
        <v>150</v>
      </c>
      <c r="D270" s="4" t="str">
        <f>HYPERLINK("ip194097.ntcu.edu.tw/longthok/si/103-307民風純樸的人情味.mp3","103-307")</f>
        <v>103-307</v>
      </c>
      <c r="E270" s="3" t="s">
        <v>408</v>
      </c>
    </row>
    <row r="271">
      <c r="A271" s="10" t="s">
        <v>409</v>
      </c>
      <c r="B271" s="18" t="str">
        <f>HYPERLINK("ip194097.ntcu.edu.tw/longthok/bj/103-306.pdf","故鄉的滋味")</f>
        <v>故鄉的滋味</v>
      </c>
      <c r="C271" s="1" t="s">
        <v>104</v>
      </c>
      <c r="D271" s="4" t="str">
        <f>HYPERLINK("ip194097.ntcu.edu.tw/longthok/si/103-306故鄉的滋味.mp3","103-306")</f>
        <v>103-306</v>
      </c>
      <c r="E271" s="3" t="s">
        <v>408</v>
      </c>
    </row>
    <row r="272">
      <c r="A272" s="10" t="s">
        <v>410</v>
      </c>
      <c r="B272" s="18" t="str">
        <f>HYPERLINK("ip194097.ntcu.edu.tw/longthok/bj/103-305.pdf","聰仔")</f>
        <v>聰仔</v>
      </c>
      <c r="C272" s="1" t="s">
        <v>411</v>
      </c>
      <c r="D272" s="4" t="str">
        <f>HYPERLINK("ip194097.ntcu.edu.tw/longthok/si/103-305聰仔.mp3","103-305")</f>
        <v>103-305</v>
      </c>
      <c r="E272" s="3" t="s">
        <v>408</v>
      </c>
    </row>
    <row r="273">
      <c r="A273" s="10" t="s">
        <v>412</v>
      </c>
      <c r="B273" s="18" t="str">
        <f>HYPERLINK("ip194097.ntcu.edu.tw/longthok/bj/103-304.pdf","氣味")</f>
        <v>氣味</v>
      </c>
      <c r="C273" s="1" t="s">
        <v>413</v>
      </c>
      <c r="D273" s="4" t="str">
        <f>HYPERLINK("ip194097.ntcu.edu.tw/longthok/si/103-304氣味.mp3","103-304")</f>
        <v>103-304</v>
      </c>
      <c r="E273" s="3" t="s">
        <v>408</v>
      </c>
    </row>
    <row r="274">
      <c r="A274" s="10" t="s">
        <v>414</v>
      </c>
      <c r="B274" s="18" t="str">
        <f>HYPERLINK("ip194097.ntcu.edu.tw/longthok/bj/103-303.pdf","臺語佮我")</f>
        <v>臺語佮我</v>
      </c>
      <c r="C274" s="1" t="s">
        <v>17</v>
      </c>
      <c r="D274" s="4" t="str">
        <f>HYPERLINK("ip194097.ntcu.edu.tw/longthok/si/103-303臺語佮我.mp3","103-303")</f>
        <v>103-303</v>
      </c>
      <c r="E274" s="3" t="s">
        <v>408</v>
      </c>
    </row>
    <row r="275">
      <c r="A275" s="10" t="s">
        <v>415</v>
      </c>
      <c r="B275" s="18" t="str">
        <f>HYPERLINK("ip194097.ntcu.edu.tw/longthok/bj/103-302.pdf","臭豆腐的滋味")</f>
        <v>臭豆腐的滋味</v>
      </c>
      <c r="C275" s="1" t="s">
        <v>24</v>
      </c>
      <c r="D275" s="4" t="str">
        <f>HYPERLINK("ip194097.ntcu.edu.tw/longthok/si/103-302臭豆腐的滋味.mp3","103-302")</f>
        <v>103-302</v>
      </c>
      <c r="E275" s="3" t="s">
        <v>408</v>
      </c>
    </row>
    <row r="276">
      <c r="A276" s="10" t="s">
        <v>234</v>
      </c>
      <c r="B276" s="18" t="str">
        <f>HYPERLINK("ip194097.ntcu.edu.tw/longthok/bj/103-301.pdf","故鄉")</f>
        <v>故鄉</v>
      </c>
      <c r="C276" s="1" t="s">
        <v>416</v>
      </c>
      <c r="D276" s="4" t="str">
        <f>HYPERLINK("ip194097.ntcu.edu.tw/longthok/si/103-301故鄉.mp3","103-301")</f>
        <v>103-301</v>
      </c>
      <c r="E276" s="3" t="s">
        <v>408</v>
      </c>
    </row>
    <row r="277">
      <c r="A277" s="10" t="s">
        <v>417</v>
      </c>
      <c r="B277" s="18" t="str">
        <f>HYPERLINK("ip194097.ntcu.edu.tw/longthok/bj/103-203.pdf","來去墾丁𨑨迌")</f>
        <v>來去墾丁𨑨迌</v>
      </c>
      <c r="C277" s="1" t="s">
        <v>418</v>
      </c>
      <c r="D277" s="4" t="str">
        <f>HYPERLINK("ip194097.ntcu.edu.tw/longthok/si/103-203來去墾丁tshit-tho.mp3","103-203")</f>
        <v>103-203</v>
      </c>
      <c r="E277" s="3" t="s">
        <v>419</v>
      </c>
    </row>
    <row r="278">
      <c r="A278" s="10" t="s">
        <v>420</v>
      </c>
      <c r="B278" s="18" t="str">
        <f>HYPERLINK("ip194097.ntcu.edu.tw/longthok/bj/103-202.pdf","思念火金蛄")</f>
        <v>思念火金蛄</v>
      </c>
      <c r="C278" s="1" t="s">
        <v>113</v>
      </c>
      <c r="D278" s="4" t="str">
        <f>HYPERLINK("ip194097.ntcu.edu.tw/longthok/si/103-202思念火金蛄.mp3","103-202")</f>
        <v>103-202</v>
      </c>
      <c r="E278" s="3" t="s">
        <v>419</v>
      </c>
    </row>
    <row r="279">
      <c r="A279" s="10" t="s">
        <v>421</v>
      </c>
      <c r="B279" s="18" t="str">
        <f>HYPERLINK("ip194097.ntcu.edu.tw/longthok/bj/103-201.pdf","空中小姐")</f>
        <v>空中小姐</v>
      </c>
      <c r="C279" s="1" t="s">
        <v>61</v>
      </c>
      <c r="D279" s="4" t="str">
        <f>HYPERLINK("ip194097.ntcu.edu.tw/longthok/si/103-201空中小姐.mp3","103-201")</f>
        <v>103-201</v>
      </c>
      <c r="E279" s="3" t="s">
        <v>419</v>
      </c>
    </row>
    <row r="280">
      <c r="A280" s="10" t="s">
        <v>422</v>
      </c>
      <c r="B280" s="18" t="str">
        <f>HYPERLINK("ip194097.ntcu.edu.tw/longthok/bj/103-103.pdf","搖囡仔歌")</f>
        <v>搖囡仔歌</v>
      </c>
      <c r="C280" s="7" t="s">
        <v>61</v>
      </c>
      <c r="D280" s="4" t="str">
        <f>HYPERLINK("ip194097.ntcu.edu.tw/longthok/si/103-103搖囡仔歌.mp3","103-103")</f>
        <v>103-103</v>
      </c>
      <c r="E280" s="17" t="s">
        <v>423</v>
      </c>
    </row>
    <row r="281">
      <c r="A281" s="10" t="s">
        <v>424</v>
      </c>
      <c r="B281" s="18" t="str">
        <f>HYPERLINK("ip194097.ntcu.edu.tw/longthok/bj/103-102.pdf","看電視")</f>
        <v>看電視</v>
      </c>
      <c r="C281" s="7" t="s">
        <v>261</v>
      </c>
      <c r="D281" s="4" t="str">
        <f>HYPERLINK("ip194097.ntcu.edu.tw/longthok/si/103-102看電視.mp3","103-102")</f>
        <v>103-102</v>
      </c>
      <c r="E281" s="17" t="s">
        <v>423</v>
      </c>
    </row>
    <row r="282">
      <c r="A282" s="10" t="s">
        <v>425</v>
      </c>
      <c r="B282" s="18" t="str">
        <f>HYPERLINK("ip194097.ntcu.edu.tw/longthok/bj/103-101.pdf","烏吉仔來做岫")</f>
        <v>烏吉仔來做岫</v>
      </c>
      <c r="C282" s="7" t="s">
        <v>116</v>
      </c>
      <c r="D282" s="4" t="str">
        <f>HYPERLINK("ip194097.ntcu.edu.tw/longthok/si/103-101烏吉仔來做岫.mp3","103-101")</f>
        <v>103-101</v>
      </c>
      <c r="E282" s="17" t="s">
        <v>423</v>
      </c>
    </row>
    <row r="283">
      <c r="A283" s="10" t="s">
        <v>266</v>
      </c>
      <c r="B283" s="4" t="str">
        <f>HYPERLINK("ip194097.ntcu.edu.tw/longthok/bj/102-610.pdf","難忘的稻草芳")</f>
        <v>難忘的稻草芳</v>
      </c>
      <c r="C283" s="7" t="s">
        <v>267</v>
      </c>
      <c r="D283" s="7" t="s">
        <v>426</v>
      </c>
      <c r="E283" s="3" t="s">
        <v>427</v>
      </c>
    </row>
    <row r="284">
      <c r="A284" s="10" t="s">
        <v>428</v>
      </c>
      <c r="B284" s="4" t="str">
        <f>HYPERLINK("ip194097.ntcu.edu.tw/longthok/bj/102-608.pdf","山明水秀無憂愁")</f>
        <v>山明水秀無憂愁</v>
      </c>
      <c r="C284" s="7" t="s">
        <v>61</v>
      </c>
      <c r="D284" s="7" t="s">
        <v>429</v>
      </c>
      <c r="E284" s="3" t="s">
        <v>427</v>
      </c>
    </row>
    <row r="285">
      <c r="A285" s="10" t="s">
        <v>430</v>
      </c>
      <c r="B285" s="4" t="str">
        <f>HYPERLINK("ip194097.ntcu.edu.tw/longthok/bj/102-510.pdf","三角仔的留戀")</f>
        <v>三角仔的留戀</v>
      </c>
      <c r="C285" s="7" t="s">
        <v>298</v>
      </c>
      <c r="D285" s="4" t="str">
        <f>HYPERLINK("ip194097.ntcu.edu.tw/longthok/si/102-510三角仔的留戀.mp3","102-510")</f>
        <v>102-510</v>
      </c>
      <c r="E285" s="12" t="s">
        <v>431</v>
      </c>
    </row>
    <row r="286">
      <c r="A286" s="10" t="s">
        <v>432</v>
      </c>
      <c r="B286" s="4" t="str">
        <f>HYPERLINK("ip194097.ntcu.edu.tw/longthok/bj/102-411.pdf","尿桶的出世")</f>
        <v>尿桶的出世</v>
      </c>
      <c r="C286" s="7" t="s">
        <v>307</v>
      </c>
      <c r="D286" s="4" t="str">
        <f>HYPERLINK("ip194097.ntcu.edu.tw/longthok/si/102-411尿桶的出世.mp3","102-411")</f>
        <v>102-411</v>
      </c>
      <c r="E286" s="12" t="s">
        <v>433</v>
      </c>
    </row>
    <row r="287">
      <c r="A287" s="10" t="s">
        <v>434</v>
      </c>
      <c r="B287" s="4" t="str">
        <f>HYPERLINK("ip194097.ntcu.edu.tw/longthok/bj/102-310.pdf","姑疼孫，仝字姓")</f>
        <v>姑疼孫，仝字姓</v>
      </c>
      <c r="C287" s="7" t="s">
        <v>76</v>
      </c>
      <c r="D287" s="4" t="str">
        <f>HYPERLINK("ip194097.ntcu.edu.tw/longthok/si/102-310姑疼孫，仝字姓.mp3","102-310")</f>
        <v>102-310</v>
      </c>
      <c r="E287" s="12" t="s">
        <v>435</v>
      </c>
    </row>
    <row r="288">
      <c r="A288" s="10" t="s">
        <v>436</v>
      </c>
      <c r="B288" s="4" t="str">
        <f>HYPERLINK("ip194097.ntcu.edu.tw/longthok/bj/102-309.pdf","少年戇膽－－記林田山林場的高山鐵路")</f>
        <v>少年戇膽－－記林田山林場的高山鐵路</v>
      </c>
      <c r="C288" s="7" t="s">
        <v>280</v>
      </c>
      <c r="D288" s="4" t="str">
        <f>HYPERLINK("ip194097.ntcu.edu.tw/longthok/si/102-309少年戇膽－－記林田山林場的高山鐵路.mp3","102-309")</f>
        <v>102-309</v>
      </c>
      <c r="E288" s="12" t="s">
        <v>437</v>
      </c>
    </row>
    <row r="289">
      <c r="A289" s="10" t="s">
        <v>438</v>
      </c>
      <c r="B289" s="4" t="str">
        <f>HYPERLINK("ip194097.ntcu.edu.tw/longthok/bj/102-208.pdf","阿義踅夜市")</f>
        <v>阿義踅夜市</v>
      </c>
      <c r="C289" s="7" t="s">
        <v>61</v>
      </c>
      <c r="D289" s="4" t="str">
        <f>HYPERLINK("ip194097.ntcu.edu.tw/longthok/si/102-208阿義踅夜市.mp3","102-208")</f>
        <v>102-208</v>
      </c>
      <c r="E289" s="17" t="s">
        <v>439</v>
      </c>
    </row>
    <row r="290">
      <c r="A290" s="13" t="s">
        <v>440</v>
      </c>
      <c r="B290" s="11" t="str">
        <f>HYPERLINK("ip194097.ntcu.edu.tw/longthok/bj/101-412.pdf","雞籠中元祭")</f>
        <v>雞籠中元祭</v>
      </c>
      <c r="C290" s="1" t="s">
        <v>189</v>
      </c>
      <c r="D290" s="14" t="str">
        <f>HYPERLINK("ip194097.ntcu.edu.tw/longthok/si/101-412雞籠中元祭.mp3","101-412")</f>
        <v>101-412</v>
      </c>
      <c r="E290" s="15" t="s">
        <v>441</v>
      </c>
    </row>
    <row r="291">
      <c r="A291" s="13" t="s">
        <v>442</v>
      </c>
      <c r="B291" s="11" t="str">
        <f>HYPERLINK("ip194097.ntcu.edu.tw/longthok/bj/101-409.pdf","做囡仔的好肥底")</f>
        <v>做囡仔的好肥底</v>
      </c>
      <c r="C291" s="1" t="s">
        <v>443</v>
      </c>
      <c r="D291" s="14" t="str">
        <f>HYPERLINK("ip194097.ntcu.edu.tw/longthok/si/101-409做囡仔的好肥底.mp3","101-409")</f>
        <v>101-409</v>
      </c>
      <c r="E291" s="15" t="s">
        <v>444</v>
      </c>
    </row>
    <row r="292">
      <c r="A292" s="13" t="s">
        <v>445</v>
      </c>
      <c r="B292" s="11" t="str">
        <f>HYPERLINK("ip194097.ntcu.edu.tw/longthok/bj/101-309.pdf","繁華的悲情城市──九份")</f>
        <v>繁華的悲情城市──九份</v>
      </c>
      <c r="C292" s="1" t="s">
        <v>351</v>
      </c>
      <c r="D292" s="14" t="str">
        <f>HYPERLINK("ip194097.ntcu.edu.tw/longthok/si/101-309繁華的悲情城市--九份.mp3","101-309")</f>
        <v>101-309</v>
      </c>
      <c r="E292" s="15" t="s">
        <v>446</v>
      </c>
    </row>
    <row r="293">
      <c r="A293" s="13" t="s">
        <v>447</v>
      </c>
      <c r="B293" s="11" t="str">
        <f>HYPERLINK("ip194097.ntcu.edu.tw/longthok/bj/101-308.pdf","媽媽的白頭鬃")</f>
        <v>媽媽的白頭鬃</v>
      </c>
      <c r="C293" s="1" t="s">
        <v>396</v>
      </c>
      <c r="D293" s="14" t="str">
        <f>HYPERLINK("ip194097.ntcu.edu.tw/longthok/si/101-308媽媽的白頭鬃.mp3","101-308")</f>
        <v>101-308</v>
      </c>
      <c r="E293" s="15" t="s">
        <v>448</v>
      </c>
    </row>
    <row r="294">
      <c r="A294" s="13" t="s">
        <v>449</v>
      </c>
      <c r="B294" s="11" t="str">
        <f>HYPERLINK("ip194097.ntcu.edu.tw/longthok/bj/101-208.pdf","來去紅頭嶼𨑨迌")</f>
        <v>來去紅頭嶼𨑨迌</v>
      </c>
      <c r="C294" s="1" t="s">
        <v>396</v>
      </c>
      <c r="D294" s="14" t="str">
        <f>HYPERLINK("ip194097.ntcu.edu.tw/longthok/si/101-208來去紅頭嶼佚陶.mp3","101-208")</f>
        <v>101-208</v>
      </c>
      <c r="E294" s="15" t="s">
        <v>450</v>
      </c>
    </row>
    <row r="295">
      <c r="A295" s="13" t="s">
        <v>451</v>
      </c>
      <c r="B295" s="11" t="str">
        <f>HYPERLINK("ip194097.ntcu.edu.tw/longthok/bj/101-206.pdf","台灣是寶島")</f>
        <v>台灣是寶島</v>
      </c>
      <c r="C295" s="1" t="s">
        <v>357</v>
      </c>
      <c r="D295" s="14" t="str">
        <f>HYPERLINK("ip194097.ntcu.edu.tw/longthok/si/101-206台灣是寶島.mp3","101-206")</f>
        <v>101-206</v>
      </c>
      <c r="E295" s="15" t="s">
        <v>450</v>
      </c>
    </row>
    <row r="296">
      <c r="A296" s="13" t="s">
        <v>452</v>
      </c>
      <c r="B296" s="11" t="str">
        <f>HYPERLINK("ip194097.ntcu.edu.tw/longthok/bj/101-108.pdf","算命仙的")</f>
        <v>算命仙的</v>
      </c>
      <c r="C296" s="1" t="s">
        <v>104</v>
      </c>
      <c r="D296" s="14" t="str">
        <f>HYPERLINK("ip194097.ntcu.edu.tw/longthok/si/101-108算命仙的.mp3","101-108")</f>
        <v>101-108</v>
      </c>
      <c r="E296" s="15" t="s">
        <v>453</v>
      </c>
    </row>
    <row r="297">
      <c r="A297" s="13" t="s">
        <v>454</v>
      </c>
      <c r="B297" s="11" t="str">
        <f>HYPERLINK("ip194097.ntcu.edu.tw/longthok/bj/101-106.pdf","火車")</f>
        <v>火車</v>
      </c>
      <c r="C297" s="1" t="s">
        <v>455</v>
      </c>
      <c r="D297" s="14" t="str">
        <f>HYPERLINK("ip194097.ntcu.edu.tw/longthok/si/101-106火車.mp3","101-106")</f>
        <v>101-106</v>
      </c>
      <c r="E297" s="15" t="s">
        <v>456</v>
      </c>
    </row>
    <row r="298">
      <c r="A298" s="13" t="s">
        <v>457</v>
      </c>
      <c r="B298" s="11" t="str">
        <f>HYPERLINK("ip194097.ntcu.edu.tw/longthok/bj/101-105.pdf","一擺上懷念的家庭旅遊")</f>
        <v>一擺上懷念的家庭旅遊</v>
      </c>
      <c r="C298" s="1" t="s">
        <v>458</v>
      </c>
      <c r="D298" s="14" t="str">
        <f>HYPERLINK("ip194097.ntcu.edu.tw/longthok/si/101-105一擺上懷念的家庭旅遊.mp3","101-105")</f>
        <v>101-105</v>
      </c>
      <c r="E298" s="15" t="s">
        <v>453</v>
      </c>
    </row>
    <row r="299">
      <c r="A299" s="13" t="s">
        <v>459</v>
      </c>
      <c r="B299" s="11" t="str">
        <f>HYPERLINK("ip194097.ntcu.edu.tw/longthok/bj/101-104.pdf","泅水百百種")</f>
        <v>泅水百百種</v>
      </c>
      <c r="C299" s="1" t="s">
        <v>307</v>
      </c>
      <c r="D299" s="14" t="str">
        <f>HYPERLINK("ip194097.ntcu.edu.tw/longthok/si/101-104泅水百百種.mp3","101-104")</f>
        <v>101-104</v>
      </c>
      <c r="E299" s="15" t="s">
        <v>460</v>
      </c>
    </row>
    <row r="300">
      <c r="A300" s="13" t="s">
        <v>461</v>
      </c>
      <c r="B300" s="11" t="str">
        <f>HYPERLINK("ip194097.ntcu.edu.tw/longthok/bj/100-60.pdf","糖蔥佮枝仔冰")</f>
        <v>糖蔥佮枝仔冰</v>
      </c>
      <c r="C300" s="1" t="s">
        <v>462</v>
      </c>
      <c r="D300" s="14" t="str">
        <f>HYPERLINK("ip194097.ntcu.edu.tw/longthok/si/100-60.糖蔥佮枝仔冰.mp3","100-60")</f>
        <v>100-60</v>
      </c>
      <c r="E300" s="15" t="s">
        <v>463</v>
      </c>
    </row>
    <row r="301">
      <c r="A301" s="13" t="s">
        <v>464</v>
      </c>
      <c r="B301" s="11" t="str">
        <f>HYPERLINK("ip194097.ntcu.edu.tw/longthok/bj/100-59.pdf","佮臺灣做伴喘氣")</f>
        <v>佮臺灣做伴喘氣</v>
      </c>
      <c r="C301" s="1" t="s">
        <v>465</v>
      </c>
      <c r="D301" s="14" t="str">
        <f>HYPERLINK("ip194097.ntcu.edu.tw/longthok/si/100-59.佮臺灣做伴喘氣.mp3","100-59")</f>
        <v>100-59</v>
      </c>
      <c r="E301" s="15" t="s">
        <v>463</v>
      </c>
    </row>
    <row r="302">
      <c r="A302" s="13" t="s">
        <v>466</v>
      </c>
      <c r="B302" s="11" t="str">
        <f>HYPERLINK("ip194097.ntcu.edu.tw/longthok/bj/100-58.pdf","灶")</f>
        <v>灶</v>
      </c>
      <c r="C302" s="1" t="s">
        <v>295</v>
      </c>
      <c r="D302" s="14" t="str">
        <f>HYPERLINK("ip194097.ntcu.edu.tw/longthok/si/100-58.灶.mp3","100-58")</f>
        <v>100-58</v>
      </c>
      <c r="E302" s="15" t="s">
        <v>463</v>
      </c>
    </row>
    <row r="303">
      <c r="A303" s="13" t="s">
        <v>467</v>
      </c>
      <c r="B303" s="11" t="str">
        <f>HYPERLINK("ip194097.ntcu.edu.tw/longthok/bj/100-57.pdf","茉莉花")</f>
        <v>茉莉花</v>
      </c>
      <c r="C303" s="1" t="s">
        <v>468</v>
      </c>
      <c r="D303" s="14" t="str">
        <f>HYPERLINK("ip194097.ntcu.edu.tw/longthok/si/100-57.茉莉花.mp3","100-57")</f>
        <v>100-57</v>
      </c>
      <c r="E303" s="15" t="s">
        <v>463</v>
      </c>
    </row>
    <row r="304">
      <c r="A304" s="13" t="s">
        <v>469</v>
      </c>
      <c r="B304" s="11" t="str">
        <f>HYPERLINK("ip194097.ntcu.edu.tw/longthok/bj/100-55.pdf","講著食")</f>
        <v>講著食</v>
      </c>
      <c r="C304" s="1" t="s">
        <v>345</v>
      </c>
      <c r="D304" s="14" t="str">
        <f>HYPERLINK("ip194097.ntcu.edu.tw/longthok/si/100-55.講著食.mp3","100-55")</f>
        <v>100-55</v>
      </c>
      <c r="E304" s="15" t="s">
        <v>470</v>
      </c>
    </row>
    <row r="305">
      <c r="A305" s="13" t="s">
        <v>471</v>
      </c>
      <c r="B305" s="11" t="str">
        <f>HYPERLINK("ip194097.ntcu.edu.tw/longthok/bj/100-54.pdf","純樸的愛")</f>
        <v>純樸的愛</v>
      </c>
      <c r="C305" s="1" t="s">
        <v>472</v>
      </c>
      <c r="D305" s="14" t="str">
        <f>HYPERLINK("ip194097.ntcu.edu.tw/longthok/si/100-54.純樸的愛.mp3","100-54")</f>
        <v>100-54</v>
      </c>
      <c r="E305" s="15" t="s">
        <v>463</v>
      </c>
    </row>
    <row r="306">
      <c r="A306" s="13" t="s">
        <v>473</v>
      </c>
      <c r="B306" s="11" t="str">
        <f>HYPERLINK("ip194097.ntcu.edu.tw/longthok/bj/100-53.pdf","牽豬哥--的")</f>
        <v>牽豬哥--的</v>
      </c>
      <c r="C306" s="1" t="s">
        <v>474</v>
      </c>
      <c r="D306" s="14" t="str">
        <f>HYPERLINK("ip194097.ntcu.edu.tw/longthok/si/100-53.牽豬哥--的.mp3","100-53")</f>
        <v>100-53</v>
      </c>
      <c r="E306" s="15" t="s">
        <v>463</v>
      </c>
    </row>
    <row r="307">
      <c r="A307" s="13" t="s">
        <v>475</v>
      </c>
      <c r="B307" s="11" t="str">
        <f>HYPERLINK("ip194097.ntcu.edu.tw/longthok/bj/100-52.pdf","無天良的山採")</f>
        <v>無天良的山採</v>
      </c>
      <c r="C307" s="1" t="s">
        <v>476</v>
      </c>
      <c r="D307" s="14" t="str">
        <f>HYPERLINK("ip194097.ntcu.edu.tw/longthok/si/100-52.無天良的山採.mp3","100-52")</f>
        <v>100-52</v>
      </c>
      <c r="E307" s="15" t="s">
        <v>463</v>
      </c>
    </row>
    <row r="308">
      <c r="A308" s="13" t="s">
        <v>477</v>
      </c>
      <c r="B308" s="11" t="str">
        <f>HYPERLINK("ip194097.ntcu.edu.tw/longthok/bj/100-49.pdf","鶯歌出碗盤，嘛有狗蟻怨")</f>
        <v>鶯歌出碗盤，嘛有狗蟻怨</v>
      </c>
      <c r="C308" s="1" t="s">
        <v>307</v>
      </c>
      <c r="D308" s="14" t="str">
        <f>HYPERLINK("ip194097.ntcu.edu.tw/longthok/si/100-49.鶯歌出碗盤，嘛有狗蟻怨.mp3","100-49")</f>
        <v>100-49</v>
      </c>
      <c r="E308" s="15" t="s">
        <v>463</v>
      </c>
    </row>
    <row r="309">
      <c r="A309" s="13" t="s">
        <v>478</v>
      </c>
      <c r="B309" s="11" t="str">
        <f>HYPERLINK("ip194097.ntcu.edu.tw/longthok/bj/100-48.pdf","彼陣吼海的子民—記Kapasua夜祭")</f>
        <v>彼陣吼海的子民—記Kapasua夜祭</v>
      </c>
      <c r="C309" s="1" t="s">
        <v>479</v>
      </c>
      <c r="D309" s="14" t="str">
        <f>HYPERLINK("ip194097.ntcu.edu.tw/longthok/si/100-48.彼陣吼海的子民-記Kapasua夜祭.mp3","100-48")</f>
        <v>100-48</v>
      </c>
      <c r="E309" s="15" t="s">
        <v>480</v>
      </c>
    </row>
    <row r="310">
      <c r="A310" s="13" t="s">
        <v>481</v>
      </c>
      <c r="B310" s="11" t="str">
        <f>HYPERLINK("ip194097.ntcu.edu.tw/longthok/bj/100-47.pdf","予冬山河發現--著")</f>
        <v>予冬山河發現--著</v>
      </c>
      <c r="C310" s="1" t="s">
        <v>482</v>
      </c>
      <c r="D310" s="14" t="str">
        <f>HYPERLINK("ip194097.ntcu.edu.tw/longthok/si/100-47.予冬山河發現--著.mp3","100-47")</f>
        <v>100-47</v>
      </c>
      <c r="E310" s="15" t="s">
        <v>480</v>
      </c>
    </row>
    <row r="311">
      <c r="A311" s="13" t="s">
        <v>483</v>
      </c>
      <c r="B311" s="11" t="str">
        <f>HYPERLINK("ip194097.ntcu.edu.tw/longthok/bj/100-46.pdf","永久地址")</f>
        <v>永久地址</v>
      </c>
      <c r="C311" s="1" t="s">
        <v>484</v>
      </c>
      <c r="D311" s="14" t="str">
        <f>HYPERLINK("ip194097.ntcu.edu.tw/longthok/si/100-46.永久地址.mp3","100-46")</f>
        <v>100-46</v>
      </c>
      <c r="E311" s="15" t="s">
        <v>480</v>
      </c>
    </row>
    <row r="312">
      <c r="A312" s="13" t="s">
        <v>485</v>
      </c>
      <c r="B312" s="11" t="str">
        <f>HYPERLINK("ip194097.ntcu.edu.tw/longthok/bj/100-45.pdf","講親情")</f>
        <v>講親情</v>
      </c>
      <c r="C312" s="1" t="s">
        <v>486</v>
      </c>
      <c r="D312" s="14" t="str">
        <f>HYPERLINK("ip194097.ntcu.edu.tw/longthok/si/100-45.講親情.mp3","100-45")</f>
        <v>100-45</v>
      </c>
      <c r="E312" s="15" t="s">
        <v>480</v>
      </c>
    </row>
    <row r="313">
      <c r="A313" s="13" t="s">
        <v>487</v>
      </c>
      <c r="B313" s="11" t="str">
        <f>HYPERLINK("ip194097.ntcu.edu.tw/longthok/bj/100-44.pdf","思念")</f>
        <v>思念</v>
      </c>
      <c r="C313" s="1" t="s">
        <v>137</v>
      </c>
      <c r="D313" s="14" t="str">
        <f>HYPERLINK("ip194097.ntcu.edu.tw/longthok/si/100-44.思念.mp3","100-44")</f>
        <v>100-44</v>
      </c>
      <c r="E313" s="15" t="s">
        <v>488</v>
      </c>
    </row>
    <row r="314">
      <c r="A314" s="13" t="s">
        <v>489</v>
      </c>
      <c r="B314" s="11" t="str">
        <f>HYPERLINK("ip194097.ntcu.edu.tw/longthok/bj/100-43.pdf","阿華的目屎")</f>
        <v>阿華的目屎</v>
      </c>
      <c r="C314" s="1" t="s">
        <v>116</v>
      </c>
      <c r="D314" s="14" t="str">
        <f>HYPERLINK("ip194097.ntcu.edu.tw/longthok/si/100-43.阿華的目屎.mp3","100-43")</f>
        <v>100-43</v>
      </c>
      <c r="E314" s="15" t="s">
        <v>490</v>
      </c>
    </row>
    <row r="315">
      <c r="A315" s="13" t="s">
        <v>491</v>
      </c>
      <c r="B315" s="11" t="str">
        <f>HYPERLINK("ip194097.ntcu.edu.tw/longthok/bj/100-42.pdf","母語是我靈魂的祖厝")</f>
        <v>母語是我靈魂的祖厝</v>
      </c>
      <c r="C315" s="1" t="s">
        <v>492</v>
      </c>
      <c r="D315" s="14" t="str">
        <f>HYPERLINK("ip194097.ntcu.edu.tw/longthok/si/100-42.母語是我靈魂的祖厝.mp3","100-42")</f>
        <v>100-42</v>
      </c>
      <c r="E315" s="15" t="s">
        <v>480</v>
      </c>
    </row>
    <row r="316">
      <c r="A316" s="13" t="s">
        <v>493</v>
      </c>
      <c r="B316" s="11" t="str">
        <f>HYPERLINK("ip194097.ntcu.edu.tw/longthok/bj/100-37.pdf","釘干樂—桃園大溪上出名")</f>
        <v>釘干樂—桃園大溪上出名</v>
      </c>
      <c r="C316" s="1" t="s">
        <v>367</v>
      </c>
      <c r="D316" s="14" t="str">
        <f>HYPERLINK("ip194097.ntcu.edu.tw/longthok/si/100-37.釘干樂-桃園大溪上出名.mp3","100-37")</f>
        <v>100-37</v>
      </c>
      <c r="E316" s="15" t="s">
        <v>494</v>
      </c>
    </row>
    <row r="317">
      <c r="A317" s="13" t="s">
        <v>495</v>
      </c>
      <c r="B317" s="11" t="str">
        <f>HYPERLINK("ip194097.ntcu.edu.tw/longthok/bj/100-36.pdf","來一隻厝鳥仔人客")</f>
        <v>來一隻厝鳥仔人客</v>
      </c>
      <c r="C317" s="1" t="s">
        <v>496</v>
      </c>
      <c r="D317" s="14" t="str">
        <f>HYPERLINK("ip194097.ntcu.edu.tw/longthok/si/100-36來一隻厝鳥仔人客.mp3","100-36")</f>
        <v>100-36</v>
      </c>
      <c r="E317" s="15" t="s">
        <v>497</v>
      </c>
    </row>
    <row r="318">
      <c r="A318" s="13" t="s">
        <v>498</v>
      </c>
      <c r="B318" s="11" t="str">
        <f>HYPERLINK("ip194097.ntcu.edu.tw/longthok/bj/100-35.pdf","落山風佮月琴")</f>
        <v>落山風佮月琴</v>
      </c>
      <c r="C318" s="1" t="s">
        <v>499</v>
      </c>
      <c r="D318" s="14" t="str">
        <f>HYPERLINK("ip194097.ntcu.edu.tw/longthok/si/100-35落山風佮月琴.mp3","100-35")</f>
        <v>100-35</v>
      </c>
      <c r="E318" s="15" t="s">
        <v>497</v>
      </c>
    </row>
    <row r="319">
      <c r="A319" s="13" t="s">
        <v>500</v>
      </c>
      <c r="B319" s="11" t="str">
        <f>HYPERLINK("ip194097.ntcu.edu.tw/longthok/bj/100-33.pdf","雜菜園")</f>
        <v>雜菜園</v>
      </c>
      <c r="C319" s="1" t="s">
        <v>501</v>
      </c>
      <c r="D319" s="14" t="str">
        <f>HYPERLINK("ip194097.ntcu.edu.tw/longthok/si/100-33雜菜園.mp3","100-33")</f>
        <v>100-33</v>
      </c>
      <c r="E319" s="15" t="s">
        <v>497</v>
      </c>
    </row>
    <row r="320">
      <c r="A320" s="13" t="s">
        <v>502</v>
      </c>
      <c r="B320" s="11" t="str">
        <f>HYPERLINK("ip194097.ntcu.edu.tw/longthok/bj/100-32.pdf","輕聲細說講諺語")</f>
        <v>輕聲細說講諺語</v>
      </c>
      <c r="C320" s="1" t="s">
        <v>367</v>
      </c>
      <c r="D320" s="14" t="str">
        <f>HYPERLINK("ip194097.ntcu.edu.tw/longthok/si/100-32輕聲細說講諺語.mp3","100-32")</f>
        <v>100-32</v>
      </c>
      <c r="E320" s="15" t="s">
        <v>497</v>
      </c>
    </row>
    <row r="321">
      <c r="A321" s="13" t="s">
        <v>503</v>
      </c>
      <c r="B321" s="11" t="str">
        <f>HYPERLINK("ip194097.ntcu.edu.tw/longthok/bj/100-27.pdf","故鄉的荖仔")</f>
        <v>故鄉的荖仔</v>
      </c>
      <c r="C321" s="1" t="s">
        <v>504</v>
      </c>
      <c r="D321" s="14" t="str">
        <f>HYPERLINK("ip194097.ntcu.edu.tw/longthok/si/100-27.故鄉的荖仔.mp3","100-27")</f>
        <v>100-27</v>
      </c>
      <c r="E321" s="15" t="s">
        <v>497</v>
      </c>
    </row>
    <row r="322">
      <c r="A322" s="13" t="s">
        <v>505</v>
      </c>
      <c r="B322" s="11" t="str">
        <f>HYPERLINK("ip194097.ntcu.edu.tw/longthok/bj/100-26.pdf","九份仔的興衰")</f>
        <v>九份仔的興衰</v>
      </c>
      <c r="C322" s="1" t="s">
        <v>506</v>
      </c>
      <c r="D322" s="14" t="str">
        <f>HYPERLINK("ip194097.ntcu.edu.tw/longthok/si/100-26九份仔的興衰.mp3","100-26")</f>
        <v>100-26</v>
      </c>
      <c r="E322" s="15" t="s">
        <v>507</v>
      </c>
    </row>
    <row r="323">
      <c r="A323" s="13" t="s">
        <v>508</v>
      </c>
      <c r="B323" s="11" t="str">
        <f>HYPERLINK("ip194097.ntcu.edu.tw/longthok/bj/100-25.pdf","星夜")</f>
        <v>星夜</v>
      </c>
      <c r="C323" s="1" t="s">
        <v>509</v>
      </c>
      <c r="D323" s="14" t="str">
        <f>HYPERLINK("ip194097.ntcu.edu.tw/longthok/si/100-25星夜.mp3","100-25")</f>
        <v>100-25</v>
      </c>
      <c r="E323" s="15" t="s">
        <v>507</v>
      </c>
    </row>
    <row r="324">
      <c r="A324" s="13" t="s">
        <v>510</v>
      </c>
      <c r="B324" s="11" t="str">
        <f>HYPERLINK("ip194097.ntcu.edu.tw/longthok/bj/100-24.pdf","南秀山的大石頭")</f>
        <v>南秀山的大石頭</v>
      </c>
      <c r="C324" s="1" t="s">
        <v>511</v>
      </c>
      <c r="D324" s="14" t="str">
        <f>HYPERLINK("ip194097.ntcu.edu.tw/longthok/si/100-24南秀山的大石頭.mp3","100-24")</f>
        <v>100-24</v>
      </c>
      <c r="E324" s="15" t="s">
        <v>507</v>
      </c>
    </row>
    <row r="325">
      <c r="A325" s="13" t="s">
        <v>512</v>
      </c>
      <c r="B325" s="11" t="str">
        <f>HYPERLINK("ip194097.ntcu.edu.tw/longthok/bj/100-23.pdf","Peh山的感想")</f>
        <v>Peh山的感想</v>
      </c>
      <c r="C325" s="1" t="s">
        <v>513</v>
      </c>
      <c r="D325" s="14" t="str">
        <f>HYPERLINK("ip194097.ntcu.edu.tw/longthok/si/100-23 peh山的感想.MP3","100-23")</f>
        <v>100-23</v>
      </c>
      <c r="E325" s="15" t="s">
        <v>507</v>
      </c>
    </row>
    <row r="326">
      <c r="A326" s="13" t="s">
        <v>514</v>
      </c>
      <c r="B326" s="11" t="str">
        <f>HYPERLINK("ip194097.ntcu.edu.tw/longthok/bj/100-22.pdf","我的故鄉")</f>
        <v>我的故鄉</v>
      </c>
      <c r="C326" s="1" t="s">
        <v>515</v>
      </c>
      <c r="D326" s="14" t="str">
        <f>HYPERLINK("ip194097.ntcu.edu.tw/longthok/si/100-22我的故鄉.mp3","100-22")</f>
        <v>100-22</v>
      </c>
      <c r="E326" s="15" t="s">
        <v>516</v>
      </c>
    </row>
    <row r="327">
      <c r="A327" s="13" t="s">
        <v>517</v>
      </c>
      <c r="B327" s="11" t="str">
        <f>HYPERLINK("ip194097.ntcu.edu.tw/longthok/bj/100-21.pdf","荷蘭豆田的日子")</f>
        <v>荷蘭豆田的日子</v>
      </c>
      <c r="C327" s="1" t="s">
        <v>295</v>
      </c>
      <c r="D327" s="14" t="str">
        <f>HYPERLINK("ip194097.ntcu.edu.tw/longthok/si/100-21荷蘭豆田的日子.mp3","100-21")</f>
        <v>100-21</v>
      </c>
      <c r="E327" s="15" t="s">
        <v>507</v>
      </c>
    </row>
    <row r="328">
      <c r="A328" s="13" t="s">
        <v>518</v>
      </c>
      <c r="B328" s="11" t="str">
        <f>HYPERLINK("ip194097.ntcu.edu.tw/longthok/bj/100-20.pdf","竹管仔飯")</f>
        <v>竹管仔飯</v>
      </c>
      <c r="C328" s="1" t="s">
        <v>519</v>
      </c>
      <c r="D328" s="14" t="str">
        <f>HYPERLINK("ip194097.ntcu.edu.tw/longthok/si/100-20竹管仔飯.mp3","100-20")</f>
        <v>100-20</v>
      </c>
      <c r="E328" s="15" t="s">
        <v>507</v>
      </c>
    </row>
    <row r="329">
      <c r="A329" s="13" t="s">
        <v>520</v>
      </c>
      <c r="B329" s="11" t="str">
        <f>HYPERLINK("ip194097.ntcu.edu.tw/longthok/bj/100-19.pdf","青盲抑是愛睏─寫施並錫的畫")</f>
        <v>青盲抑是愛睏─寫施並錫的畫</v>
      </c>
      <c r="C329" s="1" t="s">
        <v>521</v>
      </c>
      <c r="D329" s="14" t="str">
        <f>HYPERLINK("ip194097.ntcu.edu.tw/longthok/si/100-19青盲抑是愛睏─寫施並錫的畫.mp3","100-19")</f>
        <v>100-19</v>
      </c>
      <c r="E329" s="15" t="s">
        <v>507</v>
      </c>
    </row>
    <row r="330">
      <c r="A330" s="13" t="s">
        <v>522</v>
      </c>
      <c r="B330" s="11" t="str">
        <f>HYPERLINK("ip194097.ntcu.edu.tw/longthok/bj/100-18.pdf","月桃花佮海芋仔的故事")</f>
        <v>月桃花佮海芋仔的故事</v>
      </c>
      <c r="C330" s="1" t="s">
        <v>523</v>
      </c>
      <c r="D330" s="14" t="str">
        <f>HYPERLINK("ip194097.ntcu.edu.tw/longthok/si/100-18月桃花佮海芋仔的故事.mp3","100-18")</f>
        <v>100-18</v>
      </c>
      <c r="E330" s="15" t="s">
        <v>507</v>
      </c>
    </row>
    <row r="331">
      <c r="A331" s="13" t="s">
        <v>524</v>
      </c>
      <c r="B331" s="11" t="str">
        <f>HYPERLINK("ip194097.ntcu.edu.tw/longthok/bj/100-17.pdf","臺灣像海翁")</f>
        <v>臺灣像海翁</v>
      </c>
      <c r="C331" s="1" t="s">
        <v>525</v>
      </c>
      <c r="D331" s="14" t="str">
        <f>HYPERLINK("ip194097.ntcu.edu.tw/longthok/si/100-17.台灣像海翁.mp3","100-17")</f>
        <v>100-17</v>
      </c>
      <c r="E331" s="15" t="s">
        <v>507</v>
      </c>
    </row>
    <row r="332">
      <c r="A332" s="13" t="s">
        <v>526</v>
      </c>
      <c r="B332" s="11" t="str">
        <f>HYPERLINK("ip194097.ntcu.edu.tw/longthok/bj/100-16.pdf","輕便鐵枝路的少年")</f>
        <v>輕便鐵枝路的少年</v>
      </c>
      <c r="C332" s="1" t="s">
        <v>293</v>
      </c>
      <c r="D332" s="14" t="str">
        <f>HYPERLINK("ip194097.ntcu.edu.tw/longthok/si/100-16.輕便鐵枝路的少年.mp3","100-16")</f>
        <v>100-16</v>
      </c>
      <c r="E332" s="15" t="s">
        <v>527</v>
      </c>
    </row>
    <row r="333">
      <c r="A333" s="13" t="s">
        <v>528</v>
      </c>
      <c r="B333" s="11" t="str">
        <f>HYPERLINK("ip194097.ntcu.edu.tw/longthok/bj/100-15.pdf","幸福的滋味！")</f>
        <v>幸福的滋味！</v>
      </c>
      <c r="C333" s="1" t="s">
        <v>529</v>
      </c>
      <c r="D333" s="14" t="str">
        <f>HYPERLINK("ip194097.ntcu.edu.tw/longthok/si/100-15.幸福的滋味.mp3","100-15")</f>
        <v>100-15</v>
      </c>
      <c r="E333" s="15" t="s">
        <v>530</v>
      </c>
    </row>
    <row r="334">
      <c r="A334" s="13" t="s">
        <v>531</v>
      </c>
      <c r="B334" s="11" t="str">
        <f>HYPERLINK("ip194097.ntcu.edu.tw/longthok/bj/100-13.pdf","SPA")</f>
        <v>SPA</v>
      </c>
      <c r="C334" s="1" t="s">
        <v>357</v>
      </c>
      <c r="D334" s="14" t="str">
        <f>HYPERLINK("ip194097.ntcu.edu.tw/longthok/si/100-13.SPA.mp3","100-13")</f>
        <v>100-13</v>
      </c>
      <c r="E334" s="15" t="s">
        <v>532</v>
      </c>
    </row>
    <row r="335">
      <c r="A335" s="13" t="s">
        <v>533</v>
      </c>
      <c r="B335" s="11" t="str">
        <f>HYPERLINK("ip194097.ntcu.edu.tw/longthok/bj/100-12.pdf","牛墟")</f>
        <v>牛墟</v>
      </c>
      <c r="C335" s="1" t="s">
        <v>534</v>
      </c>
      <c r="D335" s="14" t="str">
        <f>HYPERLINK("ip194097.ntcu.edu.tw/longthok/si/100-12.牛墟.mp3","100-12")</f>
        <v>100-12</v>
      </c>
      <c r="E335" s="15" t="s">
        <v>527</v>
      </c>
    </row>
    <row r="336">
      <c r="A336" s="13" t="s">
        <v>535</v>
      </c>
      <c r="B336" s="11" t="str">
        <f>HYPERLINK("ip194097.ntcu.edu.tw/longthok/bj/100-11.pdf","點心")</f>
        <v>點心</v>
      </c>
      <c r="C336" s="1" t="s">
        <v>536</v>
      </c>
      <c r="D336" s="14" t="str">
        <f>HYPERLINK("ip194097.ntcu.edu.tw/longthok/si/100-11.點心.mp3","100-11")</f>
        <v>100-11</v>
      </c>
      <c r="E336" s="15" t="s">
        <v>527</v>
      </c>
    </row>
    <row r="337">
      <c r="A337" s="13" t="s">
        <v>234</v>
      </c>
      <c r="B337" s="11" t="str">
        <f>HYPERLINK("ip194097.ntcu.edu.tw/longthok/bj/100-09.pdf","故鄉的沓沓滴滴")</f>
        <v>故鄉的沓沓滴滴</v>
      </c>
      <c r="C337" s="1" t="s">
        <v>537</v>
      </c>
      <c r="D337" s="14" t="str">
        <f>HYPERLINK("ip194097.ntcu.edu.tw/longthok/si/100-09.故鄉的沓沓滴滴.mp3","100-09")</f>
        <v>100-09</v>
      </c>
      <c r="E337" s="15" t="s">
        <v>527</v>
      </c>
    </row>
    <row r="338">
      <c r="A338" s="13" t="s">
        <v>538</v>
      </c>
      <c r="B338" s="11" t="str">
        <f>HYPERLINK("ip194097.ntcu.edu.tw/longthok/bj/100-06.pdf","拍獵--的佮伊的狗")</f>
        <v>拍獵--的佮伊的狗</v>
      </c>
      <c r="C338" s="1" t="s">
        <v>474</v>
      </c>
      <c r="D338" s="14" t="str">
        <f>HYPERLINK("ip194097.ntcu.edu.tw/longthok/si/100-06.拍獵的佮伊的狗.mp3","100-06")</f>
        <v>100-06</v>
      </c>
      <c r="E338" s="15" t="s">
        <v>539</v>
      </c>
    </row>
    <row r="339">
      <c r="A339" s="13" t="s">
        <v>540</v>
      </c>
      <c r="B339" s="11" t="str">
        <f>HYPERLINK("ip194097.ntcu.edu.tw/longthok/bj/100-05.pdf","阿媽的菜園仔")</f>
        <v>阿媽的菜園仔</v>
      </c>
      <c r="C339" s="1" t="s">
        <v>39</v>
      </c>
      <c r="D339" s="14" t="str">
        <f>HYPERLINK("ip194097.ntcu.edu.tw/longthok/si/100-05.阿媽的菜園仔.mp3","100-05")</f>
        <v>100-05</v>
      </c>
      <c r="E339" s="15" t="s">
        <v>539</v>
      </c>
    </row>
    <row r="340">
      <c r="A340" s="13" t="s">
        <v>541</v>
      </c>
      <c r="B340" s="11" t="str">
        <f>HYPERLINK("ip194097.ntcu.edu.tw/longthok/bj/100-04.pdf","金山老街來𨑨迌")</f>
        <v>金山老街來𨑨迌</v>
      </c>
      <c r="C340" s="1" t="s">
        <v>307</v>
      </c>
      <c r="D340" s="14" t="str">
        <f>HYPERLINK("ip194097.ntcu.edu.tw/longthok/si/100-04.金山老街來𨑨迌.mp3","100-04")</f>
        <v>100-04</v>
      </c>
      <c r="E340" s="15" t="s">
        <v>542</v>
      </c>
    </row>
    <row r="341">
      <c r="A341" s="13" t="s">
        <v>543</v>
      </c>
      <c r="B341" s="11" t="str">
        <f>HYPERLINK("ip194097.ntcu.edu.tw/longthok/bj/100-03.pdf","阿呆讀冊")</f>
        <v>阿呆讀冊</v>
      </c>
      <c r="C341" s="1" t="s">
        <v>544</v>
      </c>
      <c r="D341" s="14" t="str">
        <f>HYPERLINK("ip194097.ntcu.edu.tw/longthok/si/100-03.阿呆讀冊.mp3","100-03")</f>
        <v>100-03</v>
      </c>
      <c r="E341" s="15" t="s">
        <v>539</v>
      </c>
    </row>
    <row r="342">
      <c r="A342" s="13" t="s">
        <v>545</v>
      </c>
      <c r="B342" s="11" t="str">
        <f>HYPERLINK("ip194097.ntcu.edu.tw/longthok/bj/100-02.pdf","貪心的人類")</f>
        <v>貪心的人類</v>
      </c>
      <c r="C342" s="1" t="s">
        <v>546</v>
      </c>
      <c r="D342" s="14" t="str">
        <f>HYPERLINK("ip194097.ntcu.edu.tw/longthok/si/100-02.貪心的人類.mp3","100-02")</f>
        <v>100-02</v>
      </c>
      <c r="E342" s="15" t="s">
        <v>539</v>
      </c>
    </row>
    <row r="343">
      <c r="A343" s="13" t="s">
        <v>547</v>
      </c>
      <c r="B343" s="11" t="str">
        <f>HYPERLINK("ip194097.ntcu.edu.tw/longthok/bj/100-01.pdf","有月娘的暗暝，足好")</f>
        <v>有月娘的暗暝，足好</v>
      </c>
      <c r="C343" s="1" t="s">
        <v>548</v>
      </c>
      <c r="D343" s="14" t="str">
        <f>HYPERLINK("ip194097.ntcu.edu.tw/longthok/si/100-01.有月娘的暗暝，足好.mp3","100-01")</f>
        <v>100-01</v>
      </c>
      <c r="E343" s="15" t="s">
        <v>539</v>
      </c>
    </row>
    <row r="344">
      <c r="A344" s="13" t="s">
        <v>549</v>
      </c>
      <c r="B344" s="14" t="str">
        <f>HYPERLINK("ip194097.ntcu.edu.tw/longthok/bj/099-57.pdf","宜蘭頭城搶孤")</f>
        <v>宜蘭頭城搶孤</v>
      </c>
      <c r="C344" s="1" t="s">
        <v>307</v>
      </c>
      <c r="D344" s="14" t="str">
        <f>HYPERLINK("ip194097.ntcu.edu.tw/longthok/si/099-57宜蘭頭城搶孤.mp3","099-57")</f>
        <v>099-57</v>
      </c>
      <c r="E344" s="15" t="s">
        <v>550</v>
      </c>
    </row>
    <row r="345">
      <c r="A345" s="13" t="s">
        <v>551</v>
      </c>
      <c r="B345" s="14" t="str">
        <f>HYPERLINK("ip194097.ntcu.edu.tw/longthok/bj/099-56.pdf","深深數念的古早味")</f>
        <v>深深數念的古早味</v>
      </c>
      <c r="C345" s="1" t="s">
        <v>367</v>
      </c>
      <c r="D345" s="14" t="str">
        <f>HYPERLINK("ip194097.ntcu.edu.tw/longthok/si/099-56深深數念的古早味.mp3","099-56")</f>
        <v>099-56</v>
      </c>
      <c r="E345" s="15" t="s">
        <v>552</v>
      </c>
    </row>
    <row r="346">
      <c r="A346" s="13" t="s">
        <v>553</v>
      </c>
      <c r="B346" s="14" t="str">
        <f>HYPERLINK("ip194097.ntcu.edu.tw/longthok/bj/099-54.pdf","鹿港八郊")</f>
        <v>鹿港八郊</v>
      </c>
      <c r="C346" s="1" t="s">
        <v>307</v>
      </c>
      <c r="D346" s="14" t="str">
        <f>HYPERLINK("ip194097.ntcu.edu.tw/longthok/si/099-54鹿港八郊.mp3","099-54")</f>
        <v>099-54</v>
      </c>
      <c r="E346" s="15" t="s">
        <v>554</v>
      </c>
    </row>
    <row r="347">
      <c r="A347" s="13" t="s">
        <v>555</v>
      </c>
      <c r="B347" s="14" t="str">
        <f>HYPERLINK("ip194097.ntcu.edu.tw/longthok/bj/099-53.pdf","鐵路宿舍的記持")</f>
        <v>鐵路宿舍的記持</v>
      </c>
      <c r="C347" s="1" t="s">
        <v>556</v>
      </c>
      <c r="D347" s="14" t="str">
        <f>HYPERLINK("ip194097.ntcu.edu.tw/longthok/si/099-53鐵路宿舍的記持.mp3","099-53")</f>
        <v>099-53</v>
      </c>
      <c r="E347" s="15" t="s">
        <v>557</v>
      </c>
    </row>
    <row r="348">
      <c r="A348" s="13" t="s">
        <v>558</v>
      </c>
      <c r="B348" s="14" t="str">
        <f>HYPERLINK("ip194097.ntcu.edu.tw/longthok/bj/099-50.pdf","講古講未來")</f>
        <v>講古講未來</v>
      </c>
      <c r="C348" s="1" t="s">
        <v>61</v>
      </c>
      <c r="D348" s="14" t="str">
        <f>HYPERLINK("ip194097.ntcu.edu.tw/longthok/si/099-50講古講未來.mp3","099-50")</f>
        <v>099-50</v>
      </c>
      <c r="E348" s="15" t="s">
        <v>559</v>
      </c>
    </row>
    <row r="349">
      <c r="A349" s="13" t="s">
        <v>560</v>
      </c>
      <c r="B349" s="14" t="str">
        <f>HYPERLINK("ip194097.ntcu.edu.tw/longthok/bj/099-48.pdf","對挲圓仔講起")</f>
        <v>對挲圓仔講起</v>
      </c>
      <c r="C349" s="1" t="s">
        <v>561</v>
      </c>
      <c r="D349" s="14" t="str">
        <f>HYPERLINK("ip194097.ntcu.edu.tw/longthok/si/099-48對挲圓仔講起.mp3","099-48")</f>
        <v>099-48</v>
      </c>
      <c r="E349" s="15" t="s">
        <v>562</v>
      </c>
    </row>
    <row r="350">
      <c r="A350" s="13" t="s">
        <v>563</v>
      </c>
      <c r="B350" s="14" t="str">
        <f>HYPERLINK("ip194097.ntcu.edu.tw/longthok/bj/099-46.pdf","跋桮")</f>
        <v>跋桮</v>
      </c>
      <c r="C350" s="1" t="s">
        <v>564</v>
      </c>
      <c r="D350" s="14" t="str">
        <f>HYPERLINK("ip194097.ntcu.edu.tw/longthok/si/099-46跋桮.mp3","099-46")</f>
        <v>099-46</v>
      </c>
      <c r="E350" s="15" t="s">
        <v>565</v>
      </c>
    </row>
    <row r="351">
      <c r="A351" s="13" t="s">
        <v>566</v>
      </c>
      <c r="B351" s="14" t="str">
        <f>HYPERLINK("ip194097.ntcu.edu.tw/longthok/bj/099-44.pdf","部落記事――【田厝寮(千秋寮)――姨婆】")</f>
        <v>部落記事――【田厝寮(千秋寮)――姨婆】</v>
      </c>
      <c r="C351" s="1" t="s">
        <v>567</v>
      </c>
      <c r="D351" s="14" t="str">
        <f>HYPERLINK("ip194097.ntcu.edu.tw/longthok/si/099-44部落記事.mp3","099-44")</f>
        <v>099-44</v>
      </c>
      <c r="E351" s="15" t="s">
        <v>568</v>
      </c>
    </row>
    <row r="352">
      <c r="A352" s="13" t="s">
        <v>569</v>
      </c>
      <c r="B352" s="14" t="str">
        <f>HYPERLINK("ip194097.ntcu.edu.tw/longthok/bj/099-43.pdf","野生寵物")</f>
        <v>野生寵物</v>
      </c>
      <c r="C352" s="1" t="s">
        <v>570</v>
      </c>
      <c r="D352" s="14" t="str">
        <f>HYPERLINK("ip194097.ntcu.edu.tw/longthok/si/099-43野生寵物.mp3","099-43")</f>
        <v>099-43</v>
      </c>
      <c r="E352" s="15" t="s">
        <v>571</v>
      </c>
    </row>
    <row r="353">
      <c r="A353" s="13" t="s">
        <v>572</v>
      </c>
      <c r="B353" s="14" t="str">
        <f>HYPERLINK("ip194097.ntcu.edu.tw/longthok/bj/099-42.pdf","眷村水交社")</f>
        <v>眷村水交社</v>
      </c>
      <c r="C353" s="1" t="s">
        <v>573</v>
      </c>
      <c r="D353" s="14" t="str">
        <f>HYPERLINK("ip194097.ntcu.edu.tw/longthok/si/099-42眷村水交社.mp3","099-42")</f>
        <v>099-42</v>
      </c>
      <c r="E353" s="15" t="s">
        <v>574</v>
      </c>
    </row>
    <row r="354">
      <c r="A354" s="13" t="s">
        <v>575</v>
      </c>
      <c r="B354" s="11" t="str">
        <f>HYPERLINK("ip194097.ntcu.edu.tw/longthok/bj/099-38.pdf","基隆港的查某囝")</f>
        <v>基隆港的查某囝</v>
      </c>
      <c r="C354" s="1" t="s">
        <v>126</v>
      </c>
      <c r="D354" s="14" t="str">
        <f>HYPERLINK("ip194097.ntcu.edu.tw/longthok/si/099-38.基隆港的查某囝.mp3","099-38")</f>
        <v>099-38</v>
      </c>
      <c r="E354" s="15" t="s">
        <v>576</v>
      </c>
    </row>
    <row r="355">
      <c r="A355" s="13" t="s">
        <v>577</v>
      </c>
      <c r="B355" s="14" t="str">
        <f>HYPERLINK("ip194097.ntcu.edu.tw/longthok/bj/099-37.pdf","烏龍海邊釣蟳仔")</f>
        <v>烏龍海邊釣蟳仔</v>
      </c>
      <c r="C355" s="1" t="s">
        <v>578</v>
      </c>
      <c r="D355" s="14" t="str">
        <f>HYPERLINK("ip194097.ntcu.edu.tw/longthok/si/099-37烏龍海邊釣蟳仔.mp3","099-37")</f>
        <v>099-37</v>
      </c>
      <c r="E355" s="15" t="s">
        <v>579</v>
      </c>
    </row>
    <row r="356">
      <c r="A356" s="13" t="s">
        <v>580</v>
      </c>
      <c r="B356" s="14" t="str">
        <f>HYPERLINK("ip194097.ntcu.edu.tw/longthok/bj/099-36.pdf","氣象報導")</f>
        <v>氣象報導</v>
      </c>
      <c r="C356" s="1" t="s">
        <v>61</v>
      </c>
      <c r="D356" s="14" t="str">
        <f>HYPERLINK("ip194097.ntcu.edu.tw/longthok/si/099-36氣象報導.mp3","099-36")</f>
        <v>099-36</v>
      </c>
      <c r="E356" s="15" t="s">
        <v>581</v>
      </c>
    </row>
    <row r="357">
      <c r="A357" s="13" t="s">
        <v>582</v>
      </c>
      <c r="B357" s="14" t="str">
        <f>HYPERLINK("ip194097.ntcu.edu.tw/longthok/bj/099-34.pdf","巷仔內的形影")</f>
        <v>巷仔內的形影</v>
      </c>
      <c r="C357" s="1" t="s">
        <v>583</v>
      </c>
      <c r="D357" s="14" t="str">
        <f>HYPERLINK("ip194097.ntcu.edu.tw/longthok/si/099-34巷仔內的形影.mp3","099-34")</f>
        <v>099-34</v>
      </c>
      <c r="E357" s="15" t="s">
        <v>584</v>
      </c>
    </row>
    <row r="358">
      <c r="A358" s="13" t="s">
        <v>205</v>
      </c>
      <c r="B358" s="14" t="str">
        <f>HYPERLINK("ip194097.ntcu.edu.tw/longthok/bj/099-31.pdf","阿爸，請你愛緊好起來")</f>
        <v>阿爸，請你愛緊好起來</v>
      </c>
      <c r="C358" s="1" t="s">
        <v>134</v>
      </c>
      <c r="D358" s="14" t="str">
        <f>HYPERLINK("ip194097.ntcu.edu.tw/longthok/si/099-31阿爸請你愛緊好起來.mp3","099-31")</f>
        <v>099-31</v>
      </c>
      <c r="E358" s="15" t="s">
        <v>585</v>
      </c>
      <c r="L358" s="6"/>
    </row>
    <row r="359">
      <c r="A359" s="13" t="s">
        <v>586</v>
      </c>
      <c r="B359" s="14" t="str">
        <f>HYPERLINK("http://ip194097.ntcu.edu.tw/longthok/bj/099-29.pdf","阿公的竹椅仔")</f>
        <v>阿公的竹椅仔</v>
      </c>
      <c r="C359" s="1" t="s">
        <v>587</v>
      </c>
      <c r="D359" s="14" t="str">
        <f>HYPERLINK("ip194097.ntcu.edu.tw/longthok/si/099-29阿公的竹椅仔.mp3","099-29")</f>
        <v>099-29</v>
      </c>
      <c r="E359" s="15" t="s">
        <v>588</v>
      </c>
    </row>
    <row r="360">
      <c r="A360" s="13" t="s">
        <v>589</v>
      </c>
      <c r="B360" s="14" t="str">
        <f>HYPERLINK("http://ip194097.ntcu.edu.tw/longthok/bj/099-28.pdf","花崗岩島的真情俺公")</f>
        <v>花崗岩島的真情俺公</v>
      </c>
      <c r="C360" s="1" t="s">
        <v>590</v>
      </c>
      <c r="D360" s="14" t="str">
        <f>HYPERLINK("ip194097.ntcu.edu.tw/longthok/si/099-28花崗岩島的真情俺公.mp3","099-28")</f>
        <v>099-28</v>
      </c>
      <c r="E360" s="15" t="s">
        <v>591</v>
      </c>
    </row>
    <row r="361">
      <c r="A361" s="13" t="s">
        <v>592</v>
      </c>
      <c r="B361" s="14" t="str">
        <f>HYPERLINK("http://ip194097.ntcu.edu.tw/longthok/bj/099-27.pdf","爸囝")</f>
        <v>爸囝</v>
      </c>
      <c r="C361" s="1" t="s">
        <v>293</v>
      </c>
      <c r="D361" s="14" t="str">
        <f>HYPERLINK("ip194097.ntcu.edu.tw/longthok/si/099-27爸囝.mp3","099-27")</f>
        <v>099-27</v>
      </c>
      <c r="E361" s="15" t="s">
        <v>593</v>
      </c>
    </row>
    <row r="362">
      <c r="A362" s="13" t="s">
        <v>594</v>
      </c>
      <c r="B362" s="14" t="str">
        <f>HYPERLINK("http://ip194097.ntcu.edu.tw/longthok/bj/099-26.pdf","放送頭")</f>
        <v>放送頭</v>
      </c>
      <c r="C362" s="1" t="s">
        <v>595</v>
      </c>
      <c r="D362" s="14" t="str">
        <f>HYPERLINK("ip194097.ntcu.edu.tw/longthok/si/099-26放送頭.mp3","099-26")</f>
        <v>099-26</v>
      </c>
      <c r="E362" s="15" t="s">
        <v>596</v>
      </c>
    </row>
    <row r="363">
      <c r="A363" s="13" t="s">
        <v>597</v>
      </c>
      <c r="B363" s="14" t="str">
        <f>HYPERLINK("http://ip194097.ntcu.edu.tw/longthok/bj/099-21.pdf","孤影")</f>
        <v>孤影</v>
      </c>
      <c r="C363" s="1" t="s">
        <v>598</v>
      </c>
      <c r="D363" s="14" t="str">
        <f>HYPERLINK("ip194097.ntcu.edu.tw/longthok/si/099-21孤影.mp3","099-21")</f>
        <v>099-21</v>
      </c>
      <c r="E363" s="15" t="s">
        <v>599</v>
      </c>
    </row>
    <row r="364">
      <c r="A364" s="13" t="s">
        <v>600</v>
      </c>
      <c r="B364" s="14" t="str">
        <f>HYPERLINK("ip194097.ntcu.edu.tw/longthok/bj/099-20.pdf","命運敢是天注定")</f>
        <v>命運敢是天注定</v>
      </c>
      <c r="C364" s="1" t="s">
        <v>601</v>
      </c>
      <c r="D364" s="14" t="str">
        <f>HYPERLINK("http://ip194097.ntcu.edu.tw/longthok/si/099-20命運敢是天注定.mp3","099-20")</f>
        <v>099-20</v>
      </c>
      <c r="E364" s="15" t="s">
        <v>602</v>
      </c>
    </row>
    <row r="365">
      <c r="A365" s="13" t="s">
        <v>603</v>
      </c>
      <c r="B365" s="14" t="str">
        <f>HYPERLINK("ip194097.ntcu.edu.tw/longthok/bj/099-19.pdf","阮兜這隻可愛的戇狗")</f>
        <v>阮兜這隻可愛的戇狗</v>
      </c>
      <c r="C365" s="1" t="s">
        <v>85</v>
      </c>
      <c r="D365" s="14" t="str">
        <f>HYPERLINK("http://ip194097.ntcu.edu.tw/longthok/si/099-19阮兜這隻可愛的戇狗.mp3","099-19")</f>
        <v>099-19</v>
      </c>
      <c r="E365" s="15" t="s">
        <v>604</v>
      </c>
    </row>
    <row r="366">
      <c r="A366" s="13" t="s">
        <v>605</v>
      </c>
      <c r="B366" s="14" t="str">
        <f>HYPERLINK("ip194097.ntcu.edu.tw/longthok/bj/099-18.pdf","批")</f>
        <v>批</v>
      </c>
      <c r="C366" s="1" t="s">
        <v>606</v>
      </c>
      <c r="D366" s="14" t="str">
        <f>HYPERLINK("http://ip194097.ntcu.edu.tw/longthok/si/099-18批.mp3","099-18")</f>
        <v>099-18</v>
      </c>
      <c r="E366" s="15" t="s">
        <v>607</v>
      </c>
    </row>
    <row r="367">
      <c r="A367" s="13" t="s">
        <v>608</v>
      </c>
      <c r="B367" s="14" t="str">
        <f>HYPERLINK("ip194097.ntcu.edu.tw/longthok/bj/099-17.pdf","我佮羅馬字相拄")</f>
        <v>我佮羅馬字相拄</v>
      </c>
      <c r="C367" s="1" t="s">
        <v>609</v>
      </c>
      <c r="D367" s="14" t="str">
        <f>HYPERLINK("http://ip194097.ntcu.edu.tw/longthok/si/099-17我佮羅馬字相拄.mp3","099-17")</f>
        <v>099-17</v>
      </c>
      <c r="E367" s="15" t="s">
        <v>610</v>
      </c>
    </row>
    <row r="368">
      <c r="A368" s="13" t="s">
        <v>608</v>
      </c>
      <c r="B368" s="14" t="str">
        <f>HYPERLINK("ip194097.ntcu.edu.tw/longthok/bj/099-16.pdf","我佮阮阿爸")</f>
        <v>我佮阮阿爸</v>
      </c>
      <c r="C368" s="1" t="s">
        <v>334</v>
      </c>
      <c r="D368" s="14" t="str">
        <f>HYPERLINK("http://ip194097.ntcu.edu.tw/longthok/si/099-16我佮阮阿爸.mp3","099-16")</f>
        <v>099-16</v>
      </c>
      <c r="E368" s="15" t="s">
        <v>611</v>
      </c>
    </row>
    <row r="369">
      <c r="A369" s="13" t="s">
        <v>612</v>
      </c>
      <c r="B369" s="14" t="str">
        <f>HYPERLINK("ip194097.ntcu.edu.tw/longthok/bj/099-15.pdf","我每冬期待的一張卡片")</f>
        <v>我每冬期待的一張卡片</v>
      </c>
      <c r="C369" s="1" t="s">
        <v>203</v>
      </c>
      <c r="D369" s="14" t="str">
        <f>HYPERLINK("http://ip194097.ntcu.edu.tw/longthok/si/099-15我每冬期待的一張卡片.mp3","099-15")</f>
        <v>099-15</v>
      </c>
      <c r="E369" s="15" t="s">
        <v>602</v>
      </c>
    </row>
    <row r="370">
      <c r="A370" s="13" t="s">
        <v>613</v>
      </c>
      <c r="B370" s="14" t="str">
        <f>HYPERLINK("ip194097.ntcu.edu.tw/longthok/bj/099-14.pdf","行出紗窗的少年烏貓兄")</f>
        <v>行出紗窗的少年烏貓兄</v>
      </c>
      <c r="C370" s="1" t="s">
        <v>614</v>
      </c>
      <c r="D370" s="14" t="str">
        <f>HYPERLINK("http://ip194097.ntcu.edu.tw/longthok/si/099-14行出紗窗的少年烏貓兄.mp3","099-14")</f>
        <v>099-14</v>
      </c>
      <c r="E370" s="15" t="s">
        <v>615</v>
      </c>
    </row>
    <row r="371">
      <c r="A371" s="13" t="s">
        <v>616</v>
      </c>
      <c r="B371" s="14" t="str">
        <f>HYPERLINK("ip194097.ntcu.edu.tw/longthok/bj/099-13.pdf","甘願做牛2")</f>
        <v>甘願做牛2</v>
      </c>
      <c r="C371" s="1" t="s">
        <v>617</v>
      </c>
      <c r="D371" s="14" t="str">
        <f>HYPERLINK("http://ip194097.ntcu.edu.tw/longthok/si/099-13甘願做牛2.mp3","099-13")</f>
        <v>099-13</v>
      </c>
      <c r="E371" s="15" t="s">
        <v>610</v>
      </c>
    </row>
    <row r="372">
      <c r="A372" s="13" t="s">
        <v>616</v>
      </c>
      <c r="B372" s="14" t="str">
        <f>HYPERLINK("ip194097.ntcu.edu.tw/longthok/bj/099-12.pdf","甘願做牛1")</f>
        <v>甘願做牛1</v>
      </c>
      <c r="C372" s="1" t="s">
        <v>617</v>
      </c>
      <c r="D372" s="14" t="str">
        <f>HYPERLINK("http://ip194097.ntcu.edu.tw/longthok/si/099-12甘願做牛1.mp3","099-12")</f>
        <v>099-12</v>
      </c>
      <c r="E372" s="15" t="s">
        <v>618</v>
      </c>
    </row>
    <row r="373">
      <c r="A373" s="13" t="s">
        <v>619</v>
      </c>
      <c r="B373" s="14" t="str">
        <f>HYPERLINK("ip194097.ntcu.edu.tw/longthok/bj/099-11.pdf","永遠的疼！陳溝溪")</f>
        <v>永遠的疼！陳溝溪</v>
      </c>
      <c r="C373" s="1" t="s">
        <v>135</v>
      </c>
      <c r="D373" s="14" t="str">
        <f>HYPERLINK("http://ip194097.ntcu.edu.tw/longthok/si/099-11永遠的疼陳溝溪.mp3","099-11")</f>
        <v>099-11</v>
      </c>
      <c r="E373" s="15" t="s">
        <v>620</v>
      </c>
    </row>
    <row r="374">
      <c r="A374" s="13" t="s">
        <v>621</v>
      </c>
      <c r="B374" s="11" t="str">
        <f>HYPERLINK("ip194097.ntcu.edu.tw/longthok/bj/099-10.pdf","臺灣歌謠．臺語情")</f>
        <v>臺灣歌謠．臺語情</v>
      </c>
      <c r="C374" s="1" t="s">
        <v>622</v>
      </c>
      <c r="D374" s="14" t="str">
        <f>HYPERLINK("ip194097.ntcu.edu.tw/longthok/si/099-10臺灣歌謠．臺語情.mp3","099-10")</f>
        <v>099-10</v>
      </c>
      <c r="E374" s="15" t="s">
        <v>623</v>
      </c>
    </row>
    <row r="375">
      <c r="A375" s="13" t="s">
        <v>624</v>
      </c>
      <c r="B375" s="14" t="str">
        <f>HYPERLINK("ip194097.ntcu.edu.tw/longthok/bj/099-09.pdf","水溝仔佮金寶螺")</f>
        <v>水溝仔佮金寶螺</v>
      </c>
      <c r="C375" s="1" t="s">
        <v>625</v>
      </c>
      <c r="D375" s="14" t="str">
        <f>HYPERLINK("http://ip194097.ntcu.edu.tw/longthok/si/099-09水溝仔佮金寶螺.mp3","099-09")</f>
        <v>099-09</v>
      </c>
      <c r="E375" s="15" t="s">
        <v>626</v>
      </c>
    </row>
    <row r="376">
      <c r="A376" s="13" t="s">
        <v>627</v>
      </c>
      <c r="B376" s="14" t="str">
        <f>HYPERLINK("ip194097.ntcu.edu.tw/longthok/bj/099-07.pdf","予阿母的一張批")</f>
        <v>予阿母的一張批</v>
      </c>
      <c r="C376" s="1" t="s">
        <v>628</v>
      </c>
      <c r="D376" s="14" t="str">
        <f>HYPERLINK("ip194097.ntcu.edu.tw/longthok/si/099-07予阿母的一張批.mp3","099-07")</f>
        <v>099-07</v>
      </c>
      <c r="E376" s="15" t="s">
        <v>629</v>
      </c>
    </row>
    <row r="377">
      <c r="A377" s="13" t="s">
        <v>630</v>
      </c>
      <c r="B377" s="11" t="str">
        <f>HYPERLINK("ip194097.ntcu.edu.tw/longthok/bj/099-06.pdf","予我上數念的彼个人")</f>
        <v>予我上數念的彼个人</v>
      </c>
      <c r="C377" s="1" t="s">
        <v>631</v>
      </c>
      <c r="D377" s="14" t="str">
        <f>HYPERLINK("ip194097.ntcu.edu.tw/longthok/si/099-06予我上數念的彼?人.mp3","099-06")</f>
        <v>099-06</v>
      </c>
      <c r="E377" s="15" t="s">
        <v>632</v>
      </c>
    </row>
    <row r="378">
      <c r="A378" s="13" t="s">
        <v>633</v>
      </c>
      <c r="B378" s="14" t="str">
        <f>HYPERLINK("ip194097.ntcu.edu.tw/longthok/bj/099-05.pdf","五月天的旅行，五月的雪")</f>
        <v>五月天的旅行，五月的雪</v>
      </c>
      <c r="C378" s="1" t="s">
        <v>634</v>
      </c>
      <c r="D378" s="14" t="str">
        <f>HYPERLINK("ip194097.ntcu.edu.tw/longthok/si/099-05五月天的旅行，五月的雪.mp3","099-05")</f>
        <v>099-05</v>
      </c>
      <c r="E378" s="15" t="s">
        <v>635</v>
      </c>
    </row>
    <row r="379">
      <c r="A379" s="13" t="s">
        <v>636</v>
      </c>
      <c r="B379" s="14" t="str">
        <f>HYPERLINK("ip194097.ntcu.edu.tw/longthok/bj/099-04.pdf","山頂的烏貓姐")</f>
        <v>山頂的烏貓姐</v>
      </c>
      <c r="C379" s="1" t="s">
        <v>637</v>
      </c>
      <c r="D379" s="14" t="str">
        <f>HYPERLINK("ip194097.ntcu.edu.tw/longthok/si/099-04山頂的烏貓姐.mp3","099-04")</f>
        <v>099-04</v>
      </c>
      <c r="E379" s="15" t="s">
        <v>602</v>
      </c>
    </row>
    <row r="380">
      <c r="A380" s="13" t="s">
        <v>638</v>
      </c>
      <c r="B380" s="18" t="str">
        <f>HYPERLINK("ip194097.ntcu.edu.tw/longthok/bj/099-02.pdf","mî-sín(ミシン)佮『麻吉』老爺")</f>
        <v>mî-sín(ミシン)佮『麻吉』老爺</v>
      </c>
      <c r="C380" s="1" t="s">
        <v>325</v>
      </c>
      <c r="D380" s="14" t="str">
        <f>HYPERLINK("ip194097.ntcu.edu.tw/longthok/si/099-02mi-sin佮『麻吉』老爺.mp3","099-02")</f>
        <v>099-02</v>
      </c>
      <c r="E380" s="15" t="s">
        <v>639</v>
      </c>
    </row>
    <row r="381">
      <c r="A381" s="13" t="s">
        <v>640</v>
      </c>
      <c r="B381" s="14" t="str">
        <f>HYPERLINK("http://ip194097.ntcu.edu.tw/longthok/bj/099-01.pdf","Grace")</f>
        <v>Grace</v>
      </c>
      <c r="C381" s="1" t="s">
        <v>641</v>
      </c>
      <c r="D381" s="14" t="str">
        <f>HYPERLINK("http://ip194097.ntcu.edu.tw/longthok/si/099-01grace.mp3","099-01")</f>
        <v>099-01</v>
      </c>
      <c r="E381" s="15" t="s">
        <v>642</v>
      </c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  <row r="1027">
      <c r="B1027" s="20"/>
      <c r="C1027" s="20"/>
      <c r="D1027" s="20"/>
    </row>
    <row r="1028">
      <c r="B1028" s="20"/>
      <c r="C1028" s="20"/>
      <c r="D1028" s="20"/>
    </row>
    <row r="1029">
      <c r="B1029" s="20"/>
      <c r="C1029" s="20"/>
      <c r="D1029" s="20"/>
    </row>
    <row r="1030">
      <c r="B1030" s="20"/>
      <c r="C1030" s="20"/>
      <c r="D1030" s="20"/>
    </row>
    <row r="1031">
      <c r="B1031" s="20"/>
      <c r="C1031" s="20"/>
      <c r="D1031" s="20"/>
    </row>
    <row r="1032">
      <c r="B1032" s="20"/>
      <c r="C1032" s="20"/>
      <c r="D1032" s="20"/>
    </row>
    <row r="1033">
      <c r="B1033" s="20"/>
      <c r="C1033" s="20"/>
      <c r="D1033" s="20"/>
    </row>
    <row r="1034">
      <c r="B1034" s="20"/>
      <c r="C1034" s="20"/>
      <c r="D1034" s="20"/>
    </row>
    <row r="1035">
      <c r="B1035" s="20"/>
      <c r="C1035" s="20"/>
      <c r="D1035" s="20"/>
    </row>
    <row r="1036">
      <c r="B1036" s="20"/>
      <c r="C1036" s="20"/>
      <c r="D1036" s="20"/>
    </row>
    <row r="1037">
      <c r="B1037" s="20"/>
      <c r="C1037" s="20"/>
      <c r="D1037" s="20"/>
    </row>
    <row r="1038">
      <c r="B1038" s="20"/>
      <c r="C1038" s="20"/>
      <c r="D1038" s="20"/>
    </row>
    <row r="1039">
      <c r="B1039" s="20"/>
      <c r="C1039" s="20"/>
      <c r="D1039" s="20"/>
    </row>
    <row r="1040">
      <c r="B1040" s="20"/>
      <c r="C1040" s="20"/>
      <c r="D1040" s="20"/>
    </row>
    <row r="1041">
      <c r="B1041" s="20"/>
      <c r="C1041" s="20"/>
      <c r="D1041" s="20"/>
    </row>
    <row r="1042">
      <c r="B1042" s="20"/>
      <c r="C1042" s="20"/>
      <c r="D1042" s="20"/>
    </row>
    <row r="1043">
      <c r="B1043" s="20"/>
      <c r="C1043" s="20"/>
      <c r="D1043" s="20"/>
    </row>
    <row r="1044">
      <c r="B1044" s="20"/>
      <c r="C1044" s="20"/>
      <c r="D1044" s="20"/>
    </row>
    <row r="1045">
      <c r="B1045" s="20"/>
      <c r="C1045" s="20"/>
      <c r="D1045" s="20"/>
    </row>
    <row r="1046">
      <c r="B1046" s="20"/>
      <c r="C1046" s="20"/>
      <c r="D1046" s="20"/>
    </row>
    <row r="1047">
      <c r="B1047" s="20"/>
      <c r="C1047" s="20"/>
      <c r="D1047" s="20"/>
    </row>
    <row r="1048">
      <c r="B1048" s="20"/>
      <c r="C1048" s="20"/>
      <c r="D1048" s="20"/>
    </row>
    <row r="1049">
      <c r="B1049" s="20"/>
      <c r="C1049" s="20"/>
      <c r="D1049" s="20"/>
    </row>
    <row r="1050">
      <c r="B1050" s="20"/>
      <c r="C1050" s="20"/>
      <c r="D1050" s="20"/>
    </row>
    <row r="1051">
      <c r="B1051" s="20"/>
      <c r="C1051" s="20"/>
      <c r="D1051" s="20"/>
    </row>
    <row r="1052">
      <c r="B1052" s="20"/>
      <c r="C1052" s="20"/>
      <c r="D1052" s="20"/>
    </row>
    <row r="1053">
      <c r="B1053" s="20"/>
      <c r="C1053" s="20"/>
      <c r="D1053" s="20"/>
    </row>
    <row r="1054">
      <c r="B1054" s="20"/>
      <c r="C1054" s="20"/>
      <c r="D1054" s="20"/>
    </row>
    <row r="1055">
      <c r="B1055" s="20"/>
      <c r="C1055" s="20"/>
      <c r="D1055" s="20"/>
    </row>
    <row r="1056">
      <c r="B1056" s="20"/>
      <c r="C1056" s="20"/>
      <c r="D1056" s="20"/>
    </row>
    <row r="1057">
      <c r="B1057" s="20"/>
      <c r="C1057" s="20"/>
      <c r="D1057" s="20"/>
    </row>
    <row r="1058">
      <c r="B1058" s="20"/>
      <c r="C1058" s="20"/>
      <c r="D1058" s="20"/>
    </row>
    <row r="1059">
      <c r="B1059" s="20"/>
      <c r="C1059" s="20"/>
      <c r="D1059" s="20"/>
    </row>
    <row r="1060">
      <c r="B1060" s="20"/>
      <c r="C1060" s="20"/>
      <c r="D1060" s="20"/>
    </row>
    <row r="1061">
      <c r="B1061" s="20"/>
      <c r="C1061" s="20"/>
      <c r="D1061" s="20"/>
    </row>
    <row r="1062">
      <c r="B1062" s="20"/>
      <c r="C1062" s="20"/>
      <c r="D1062" s="20"/>
    </row>
    <row r="1063">
      <c r="B1063" s="20"/>
      <c r="C1063" s="20"/>
      <c r="D1063" s="20"/>
    </row>
    <row r="1064">
      <c r="B1064" s="20"/>
      <c r="C1064" s="20"/>
      <c r="D1064" s="20"/>
    </row>
    <row r="1065">
      <c r="B1065" s="20"/>
      <c r="C1065" s="20"/>
      <c r="D1065" s="20"/>
    </row>
    <row r="1066">
      <c r="B1066" s="20"/>
      <c r="C1066" s="20"/>
      <c r="D1066" s="20"/>
    </row>
    <row r="1067">
      <c r="B1067" s="20"/>
      <c r="C1067" s="20"/>
      <c r="D1067" s="20"/>
    </row>
    <row r="1068">
      <c r="B1068" s="20"/>
      <c r="C1068" s="20"/>
      <c r="D1068" s="20"/>
    </row>
    <row r="1069">
      <c r="B1069" s="20"/>
      <c r="C1069" s="20"/>
      <c r="D1069" s="20"/>
    </row>
    <row r="1070">
      <c r="B1070" s="20"/>
      <c r="C1070" s="20"/>
      <c r="D1070" s="20"/>
    </row>
    <row r="1071">
      <c r="B1071" s="20"/>
      <c r="C1071" s="20"/>
      <c r="D1071" s="20"/>
    </row>
    <row r="1072">
      <c r="B1072" s="20"/>
      <c r="C1072" s="20"/>
      <c r="D1072" s="20"/>
    </row>
    <row r="1073">
      <c r="B1073" s="20"/>
      <c r="C1073" s="20"/>
      <c r="D1073" s="20"/>
    </row>
    <row r="1074">
      <c r="B1074" s="20"/>
      <c r="C1074" s="20"/>
      <c r="D1074" s="20"/>
    </row>
    <row r="1075">
      <c r="B1075" s="20"/>
      <c r="C1075" s="20"/>
      <c r="D1075" s="20"/>
    </row>
    <row r="1076">
      <c r="B1076" s="20"/>
      <c r="C1076" s="20"/>
      <c r="D1076" s="20"/>
    </row>
    <row r="1077">
      <c r="B1077" s="20"/>
      <c r="C1077" s="20"/>
      <c r="D1077" s="20"/>
    </row>
    <row r="1078">
      <c r="B1078" s="20"/>
      <c r="C1078" s="20"/>
      <c r="D1078" s="20"/>
    </row>
    <row r="1079">
      <c r="B1079" s="20"/>
      <c r="C1079" s="20"/>
      <c r="D1079" s="20"/>
    </row>
    <row r="1080">
      <c r="B1080" s="20"/>
      <c r="C1080" s="20"/>
      <c r="D1080" s="20"/>
    </row>
    <row r="1081">
      <c r="B1081" s="20"/>
      <c r="C1081" s="20"/>
      <c r="D1081" s="20"/>
    </row>
    <row r="1082">
      <c r="B1082" s="20"/>
      <c r="C1082" s="20"/>
      <c r="D1082" s="20"/>
    </row>
    <row r="1083">
      <c r="B1083" s="20"/>
      <c r="C1083" s="20"/>
      <c r="D1083" s="20"/>
    </row>
    <row r="1084">
      <c r="B1084" s="20"/>
      <c r="C1084" s="20"/>
      <c r="D1084" s="20"/>
    </row>
    <row r="1085">
      <c r="B1085" s="20"/>
      <c r="C1085" s="20"/>
      <c r="D1085" s="20"/>
    </row>
    <row r="1086">
      <c r="B1086" s="20"/>
      <c r="C1086" s="20"/>
      <c r="D1086" s="20"/>
    </row>
    <row r="1087">
      <c r="B1087" s="20"/>
      <c r="C1087" s="20"/>
      <c r="D1087" s="20"/>
    </row>
    <row r="1088">
      <c r="B1088" s="20"/>
      <c r="C1088" s="20"/>
      <c r="D1088" s="20"/>
    </row>
    <row r="1089">
      <c r="B1089" s="20"/>
      <c r="C1089" s="20"/>
      <c r="D1089" s="20"/>
    </row>
    <row r="1090">
      <c r="B1090" s="20"/>
      <c r="C1090" s="20"/>
      <c r="D1090" s="20"/>
    </row>
    <row r="1091">
      <c r="B1091" s="20"/>
      <c r="C1091" s="20"/>
      <c r="D1091" s="20"/>
    </row>
    <row r="1092">
      <c r="B1092" s="20"/>
      <c r="C1092" s="20"/>
      <c r="D1092" s="20"/>
    </row>
    <row r="1093">
      <c r="B1093" s="20"/>
      <c r="C1093" s="20"/>
      <c r="D1093" s="20"/>
    </row>
    <row r="1094">
      <c r="B1094" s="20"/>
      <c r="C1094" s="20"/>
      <c r="D1094" s="20"/>
    </row>
    <row r="1095">
      <c r="B1095" s="20"/>
      <c r="C1095" s="20"/>
      <c r="D1095" s="20"/>
    </row>
    <row r="1096">
      <c r="B1096" s="20"/>
      <c r="C1096" s="20"/>
      <c r="D1096" s="20"/>
    </row>
    <row r="1097">
      <c r="B1097" s="20"/>
      <c r="C1097" s="20"/>
      <c r="D1097" s="20"/>
    </row>
    <row r="1098">
      <c r="B1098" s="20"/>
      <c r="C1098" s="20"/>
      <c r="D1098" s="20"/>
    </row>
    <row r="1099">
      <c r="B1099" s="20"/>
      <c r="C1099" s="20"/>
      <c r="D1099" s="20"/>
    </row>
    <row r="1100">
      <c r="B1100" s="20"/>
      <c r="C1100" s="20"/>
      <c r="D1100" s="20"/>
    </row>
    <row r="1101">
      <c r="B1101" s="20"/>
      <c r="C1101" s="20"/>
      <c r="D1101" s="20"/>
    </row>
    <row r="1102">
      <c r="B1102" s="20"/>
      <c r="C1102" s="20"/>
      <c r="D1102" s="20"/>
    </row>
    <row r="1103">
      <c r="B1103" s="20"/>
      <c r="C1103" s="20"/>
      <c r="D1103" s="20"/>
    </row>
    <row r="1104">
      <c r="B1104" s="20"/>
      <c r="C1104" s="20"/>
      <c r="D1104" s="20"/>
    </row>
    <row r="1105">
      <c r="B1105" s="20"/>
      <c r="C1105" s="20"/>
      <c r="D1105" s="20"/>
    </row>
    <row r="1106">
      <c r="B1106" s="20"/>
      <c r="C1106" s="20"/>
      <c r="D1106" s="20"/>
    </row>
    <row r="1107">
      <c r="B1107" s="20"/>
      <c r="C1107" s="20"/>
      <c r="D1107" s="20"/>
    </row>
    <row r="1108">
      <c r="B1108" s="20"/>
      <c r="C1108" s="20"/>
      <c r="D1108" s="20"/>
    </row>
    <row r="1109">
      <c r="B1109" s="20"/>
      <c r="C1109" s="20"/>
      <c r="D1109" s="20"/>
    </row>
    <row r="1110">
      <c r="B1110" s="20"/>
      <c r="C1110" s="20"/>
      <c r="D1110" s="20"/>
    </row>
    <row r="1111">
      <c r="B1111" s="20"/>
      <c r="C1111" s="20"/>
      <c r="D1111" s="20"/>
    </row>
    <row r="1112">
      <c r="B1112" s="20"/>
      <c r="C1112" s="20"/>
      <c r="D1112" s="20"/>
    </row>
    <row r="1113">
      <c r="B1113" s="20"/>
      <c r="C1113" s="20"/>
      <c r="D1113" s="20"/>
    </row>
    <row r="1114">
      <c r="B1114" s="20"/>
      <c r="C1114" s="20"/>
      <c r="D1114" s="20"/>
    </row>
    <row r="1115">
      <c r="B1115" s="20"/>
      <c r="C1115" s="20"/>
      <c r="D1115" s="20"/>
    </row>
    <row r="1116">
      <c r="B1116" s="20"/>
      <c r="C1116" s="20"/>
      <c r="D1116" s="20"/>
    </row>
    <row r="1117">
      <c r="B1117" s="20"/>
      <c r="C1117" s="20"/>
      <c r="D1117" s="20"/>
    </row>
    <row r="1118">
      <c r="B1118" s="20"/>
      <c r="C1118" s="20"/>
      <c r="D1118" s="20"/>
    </row>
    <row r="1119">
      <c r="B1119" s="20"/>
      <c r="C1119" s="20"/>
      <c r="D1119" s="20"/>
    </row>
    <row r="1120">
      <c r="B1120" s="20"/>
      <c r="C1120" s="20"/>
      <c r="D1120" s="20"/>
    </row>
    <row r="1121">
      <c r="B1121" s="20"/>
      <c r="C1121" s="20"/>
      <c r="D1121" s="20"/>
    </row>
    <row r="1122">
      <c r="B1122" s="20"/>
      <c r="C1122" s="20"/>
      <c r="D1122" s="20"/>
    </row>
    <row r="1123">
      <c r="B1123" s="20"/>
      <c r="C1123" s="20"/>
      <c r="D1123" s="20"/>
    </row>
    <row r="1124">
      <c r="B1124" s="20"/>
      <c r="C1124" s="20"/>
      <c r="D1124" s="20"/>
    </row>
    <row r="1125">
      <c r="B1125" s="20"/>
      <c r="C1125" s="20"/>
      <c r="D1125" s="20"/>
    </row>
    <row r="1126">
      <c r="B1126" s="20"/>
      <c r="C1126" s="20"/>
      <c r="D1126" s="20"/>
    </row>
    <row r="1127">
      <c r="B1127" s="20"/>
      <c r="C1127" s="20"/>
      <c r="D1127" s="20"/>
    </row>
    <row r="1128">
      <c r="B1128" s="20"/>
      <c r="C1128" s="20"/>
      <c r="D1128" s="20"/>
    </row>
    <row r="1129">
      <c r="B1129" s="20"/>
      <c r="C1129" s="20"/>
      <c r="D1129" s="20"/>
    </row>
    <row r="1130">
      <c r="B1130" s="20"/>
      <c r="C1130" s="20"/>
      <c r="D1130" s="20"/>
    </row>
    <row r="1131">
      <c r="B1131" s="20"/>
      <c r="C1131" s="20"/>
      <c r="D1131" s="20"/>
    </row>
    <row r="1132">
      <c r="B1132" s="20"/>
      <c r="C1132" s="20"/>
      <c r="D1132" s="20"/>
    </row>
    <row r="1133">
      <c r="B1133" s="20"/>
      <c r="C1133" s="20"/>
      <c r="D1133" s="20"/>
    </row>
    <row r="1134">
      <c r="B1134" s="20"/>
      <c r="C1134" s="20"/>
      <c r="D1134" s="20"/>
    </row>
    <row r="1135">
      <c r="B1135" s="20"/>
      <c r="C1135" s="20"/>
      <c r="D1135" s="20"/>
    </row>
    <row r="1136">
      <c r="B1136" s="20"/>
      <c r="C1136" s="20"/>
      <c r="D1136" s="20"/>
    </row>
    <row r="1137">
      <c r="B1137" s="20"/>
      <c r="C1137" s="20"/>
      <c r="D1137" s="20"/>
    </row>
    <row r="1138">
      <c r="B1138" s="20"/>
      <c r="C1138" s="20"/>
      <c r="D1138" s="20"/>
    </row>
  </sheetData>
  <drawing r:id="rId1"/>
</worksheet>
</file>